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Documents from drive C\Laurie Files\"/>
    </mc:Choice>
  </mc:AlternateContent>
  <bookViews>
    <workbookView xWindow="0" yWindow="0" windowWidth="28800" windowHeight="12435"/>
  </bookViews>
  <sheets>
    <sheet name="AP-CHK-RPT-20190805" sheetId="1" r:id="rId1"/>
  </sheets>
  <calcPr calcId="0"/>
</workbook>
</file>

<file path=xl/calcChain.xml><?xml version="1.0" encoding="utf-8"?>
<calcChain xmlns="http://schemas.openxmlformats.org/spreadsheetml/2006/main">
  <c r="C2676" i="1" l="1"/>
  <c r="E2" i="1"/>
  <c r="F2" i="1"/>
  <c r="H2" i="1"/>
  <c r="E3" i="1"/>
  <c r="F3" i="1"/>
  <c r="H3" i="1"/>
  <c r="E4" i="1"/>
  <c r="F4" i="1"/>
  <c r="H4" i="1"/>
  <c r="E5" i="1"/>
  <c r="F5" i="1"/>
  <c r="H5" i="1"/>
  <c r="E6" i="1"/>
  <c r="F6" i="1"/>
  <c r="H6" i="1"/>
  <c r="E7" i="1"/>
  <c r="F7" i="1"/>
  <c r="H7" i="1"/>
  <c r="E8" i="1"/>
  <c r="F8" i="1"/>
  <c r="H8" i="1"/>
  <c r="E9" i="1"/>
  <c r="F9" i="1"/>
  <c r="H9" i="1"/>
  <c r="E10" i="1"/>
  <c r="F10" i="1"/>
  <c r="H10" i="1"/>
  <c r="E11" i="1"/>
  <c r="F11" i="1"/>
  <c r="H11" i="1"/>
  <c r="E12" i="1"/>
  <c r="F12" i="1"/>
  <c r="H12" i="1"/>
  <c r="E13" i="1"/>
  <c r="F13" i="1"/>
  <c r="H13" i="1"/>
  <c r="E14" i="1"/>
  <c r="F14" i="1"/>
  <c r="H14" i="1"/>
  <c r="E15" i="1"/>
  <c r="F15" i="1"/>
  <c r="H15" i="1"/>
  <c r="E16" i="1"/>
  <c r="F16" i="1"/>
  <c r="H16" i="1"/>
  <c r="E17" i="1"/>
  <c r="F17" i="1"/>
  <c r="H17" i="1"/>
  <c r="E18" i="1"/>
  <c r="F18" i="1"/>
  <c r="H18" i="1"/>
  <c r="E19" i="1"/>
  <c r="F19" i="1"/>
  <c r="H19" i="1"/>
  <c r="E20" i="1"/>
  <c r="F20" i="1"/>
  <c r="H20" i="1"/>
  <c r="E21" i="1"/>
  <c r="F21" i="1"/>
  <c r="H21" i="1"/>
  <c r="E22" i="1"/>
  <c r="F22" i="1"/>
  <c r="H22" i="1"/>
  <c r="E23" i="1"/>
  <c r="F23" i="1"/>
  <c r="H23" i="1"/>
  <c r="E24" i="1"/>
  <c r="F24" i="1"/>
  <c r="H24" i="1"/>
  <c r="E25" i="1"/>
  <c r="F25" i="1"/>
  <c r="H25" i="1"/>
  <c r="E26" i="1"/>
  <c r="F26" i="1"/>
  <c r="H26" i="1"/>
  <c r="E27" i="1"/>
  <c r="F27" i="1"/>
  <c r="H27" i="1"/>
  <c r="E28" i="1"/>
  <c r="F28" i="1"/>
  <c r="H28" i="1"/>
  <c r="E29" i="1"/>
  <c r="F29" i="1"/>
  <c r="H29" i="1"/>
  <c r="E30" i="1"/>
  <c r="F30" i="1"/>
  <c r="H30" i="1"/>
  <c r="E31" i="1"/>
  <c r="F31" i="1"/>
  <c r="H31" i="1"/>
  <c r="E32" i="1"/>
  <c r="F32" i="1"/>
  <c r="H32" i="1"/>
  <c r="E33" i="1"/>
  <c r="F33" i="1"/>
  <c r="H33" i="1"/>
  <c r="E34" i="1"/>
  <c r="F34" i="1"/>
  <c r="H34" i="1"/>
  <c r="E35" i="1"/>
  <c r="F35" i="1"/>
  <c r="H35" i="1"/>
  <c r="E36" i="1"/>
  <c r="F36" i="1"/>
  <c r="H36" i="1"/>
  <c r="E37" i="1"/>
  <c r="F37" i="1"/>
  <c r="H37" i="1"/>
  <c r="E38" i="1"/>
  <c r="F38" i="1"/>
  <c r="H38" i="1"/>
  <c r="E39" i="1"/>
  <c r="F39" i="1"/>
  <c r="H39" i="1"/>
  <c r="E40" i="1"/>
  <c r="F40" i="1"/>
  <c r="H40" i="1"/>
  <c r="E41" i="1"/>
  <c r="F41" i="1"/>
  <c r="H41" i="1"/>
  <c r="E42" i="1"/>
  <c r="F42" i="1"/>
  <c r="H42" i="1"/>
  <c r="E43" i="1"/>
  <c r="F43" i="1"/>
  <c r="H43" i="1"/>
  <c r="E44" i="1"/>
  <c r="F44" i="1"/>
  <c r="H44" i="1"/>
  <c r="E45" i="1"/>
  <c r="F45" i="1"/>
  <c r="H45" i="1"/>
  <c r="E46" i="1"/>
  <c r="F46" i="1"/>
  <c r="H46" i="1"/>
  <c r="E47" i="1"/>
  <c r="F47" i="1"/>
  <c r="H47" i="1"/>
  <c r="E48" i="1"/>
  <c r="F48" i="1"/>
  <c r="H48" i="1"/>
  <c r="E49" i="1"/>
  <c r="F49" i="1"/>
  <c r="H49" i="1"/>
  <c r="E50" i="1"/>
  <c r="F50" i="1"/>
  <c r="H50" i="1"/>
  <c r="E51" i="1"/>
  <c r="F51" i="1"/>
  <c r="H51" i="1"/>
  <c r="E52" i="1"/>
  <c r="F52" i="1"/>
  <c r="H52" i="1"/>
  <c r="E53" i="1"/>
  <c r="F53" i="1"/>
  <c r="H53" i="1"/>
  <c r="E54" i="1"/>
  <c r="F54" i="1"/>
  <c r="H54" i="1"/>
  <c r="E55" i="1"/>
  <c r="F55" i="1"/>
  <c r="H55" i="1"/>
  <c r="E56" i="1"/>
  <c r="F56" i="1"/>
  <c r="H56" i="1"/>
  <c r="E57" i="1"/>
  <c r="F57" i="1"/>
  <c r="H57" i="1"/>
  <c r="E58" i="1"/>
  <c r="F58" i="1"/>
  <c r="H58" i="1"/>
  <c r="E59" i="1"/>
  <c r="F59" i="1"/>
  <c r="H59" i="1"/>
  <c r="E60" i="1"/>
  <c r="F60" i="1"/>
  <c r="H60" i="1"/>
  <c r="E61" i="1"/>
  <c r="F61" i="1"/>
  <c r="H61" i="1"/>
  <c r="E62" i="1"/>
  <c r="F62" i="1"/>
  <c r="H62" i="1"/>
  <c r="E63" i="1"/>
  <c r="F63" i="1"/>
  <c r="H63" i="1"/>
  <c r="E64" i="1"/>
  <c r="F64" i="1"/>
  <c r="H64" i="1"/>
  <c r="E65" i="1"/>
  <c r="F65" i="1"/>
  <c r="H65" i="1"/>
  <c r="E66" i="1"/>
  <c r="F66" i="1"/>
  <c r="H66" i="1"/>
  <c r="E67" i="1"/>
  <c r="F67" i="1"/>
  <c r="H67" i="1"/>
  <c r="E68" i="1"/>
  <c r="F68" i="1"/>
  <c r="H68" i="1"/>
  <c r="E69" i="1"/>
  <c r="F69" i="1"/>
  <c r="H69" i="1"/>
  <c r="E70" i="1"/>
  <c r="F70" i="1"/>
  <c r="H70" i="1"/>
  <c r="E71" i="1"/>
  <c r="F71" i="1"/>
  <c r="H71" i="1"/>
  <c r="E72" i="1"/>
  <c r="F72" i="1"/>
  <c r="H72" i="1"/>
  <c r="E73" i="1"/>
  <c r="F73" i="1"/>
  <c r="H73" i="1"/>
  <c r="E74" i="1"/>
  <c r="F74" i="1"/>
  <c r="H74" i="1"/>
  <c r="E75" i="1"/>
  <c r="F75" i="1"/>
  <c r="H75" i="1"/>
  <c r="E76" i="1"/>
  <c r="F76" i="1"/>
  <c r="H76" i="1"/>
  <c r="E77" i="1"/>
  <c r="F77" i="1"/>
  <c r="H77" i="1"/>
  <c r="E78" i="1"/>
  <c r="F78" i="1"/>
  <c r="H78" i="1"/>
  <c r="E79" i="1"/>
  <c r="F79" i="1"/>
  <c r="H79" i="1"/>
  <c r="E80" i="1"/>
  <c r="F80" i="1"/>
  <c r="H80" i="1"/>
  <c r="E81" i="1"/>
  <c r="F81" i="1"/>
  <c r="H81" i="1"/>
  <c r="E82" i="1"/>
  <c r="F82" i="1"/>
  <c r="H82" i="1"/>
  <c r="E83" i="1"/>
  <c r="F83" i="1"/>
  <c r="H83" i="1"/>
  <c r="E84" i="1"/>
  <c r="F84" i="1"/>
  <c r="H84" i="1"/>
  <c r="E85" i="1"/>
  <c r="F85" i="1"/>
  <c r="H85" i="1"/>
  <c r="E86" i="1"/>
  <c r="F86" i="1"/>
  <c r="H86" i="1"/>
  <c r="E87" i="1"/>
  <c r="F87" i="1"/>
  <c r="H87" i="1"/>
  <c r="E88" i="1"/>
  <c r="F88" i="1"/>
  <c r="H88" i="1"/>
  <c r="E89" i="1"/>
  <c r="F89" i="1"/>
  <c r="H89" i="1"/>
  <c r="E90" i="1"/>
  <c r="F90" i="1"/>
  <c r="H90" i="1"/>
  <c r="E91" i="1"/>
  <c r="F91" i="1"/>
  <c r="H91" i="1"/>
  <c r="E92" i="1"/>
  <c r="F92" i="1"/>
  <c r="H92" i="1"/>
  <c r="E93" i="1"/>
  <c r="F93" i="1"/>
  <c r="H93" i="1"/>
  <c r="E94" i="1"/>
  <c r="F94" i="1"/>
  <c r="H94" i="1"/>
  <c r="E95" i="1"/>
  <c r="F95" i="1"/>
  <c r="H95" i="1"/>
  <c r="E96" i="1"/>
  <c r="F96" i="1"/>
  <c r="H96" i="1"/>
  <c r="E97" i="1"/>
  <c r="F97" i="1"/>
  <c r="H97" i="1"/>
  <c r="E98" i="1"/>
  <c r="F98" i="1"/>
  <c r="H98" i="1"/>
  <c r="E99" i="1"/>
  <c r="F99" i="1"/>
  <c r="H99" i="1"/>
  <c r="E100" i="1"/>
  <c r="F100" i="1"/>
  <c r="H100" i="1"/>
  <c r="E101" i="1"/>
  <c r="F101" i="1"/>
  <c r="H101" i="1"/>
  <c r="E102" i="1"/>
  <c r="F102" i="1"/>
  <c r="H102" i="1"/>
  <c r="E103" i="1"/>
  <c r="F103" i="1"/>
  <c r="H103" i="1"/>
  <c r="E104" i="1"/>
  <c r="F104" i="1"/>
  <c r="H104" i="1"/>
  <c r="E105" i="1"/>
  <c r="F105" i="1"/>
  <c r="H105" i="1"/>
  <c r="E106" i="1"/>
  <c r="F106" i="1"/>
  <c r="H106" i="1"/>
  <c r="E107" i="1"/>
  <c r="F107" i="1"/>
  <c r="H107" i="1"/>
  <c r="E108" i="1"/>
  <c r="F108" i="1"/>
  <c r="H108" i="1"/>
  <c r="E109" i="1"/>
  <c r="F109" i="1"/>
  <c r="H109" i="1"/>
  <c r="E110" i="1"/>
  <c r="F110" i="1"/>
  <c r="H110" i="1"/>
  <c r="E111" i="1"/>
  <c r="F111" i="1"/>
  <c r="H111" i="1"/>
  <c r="E112" i="1"/>
  <c r="F112" i="1"/>
  <c r="H112" i="1"/>
  <c r="E113" i="1"/>
  <c r="F113" i="1"/>
  <c r="H113" i="1"/>
  <c r="E114" i="1"/>
  <c r="F114" i="1"/>
  <c r="H114" i="1"/>
  <c r="E115" i="1"/>
  <c r="F115" i="1"/>
  <c r="H115" i="1"/>
  <c r="E116" i="1"/>
  <c r="F116" i="1"/>
  <c r="H116" i="1"/>
  <c r="E117" i="1"/>
  <c r="F117" i="1"/>
  <c r="H117" i="1"/>
  <c r="E118" i="1"/>
  <c r="F118" i="1"/>
  <c r="H118" i="1"/>
  <c r="E119" i="1"/>
  <c r="F119" i="1"/>
  <c r="H119" i="1"/>
  <c r="E120" i="1"/>
  <c r="F120" i="1"/>
  <c r="H120" i="1"/>
  <c r="E121" i="1"/>
  <c r="F121" i="1"/>
  <c r="H121" i="1"/>
  <c r="E122" i="1"/>
  <c r="F122" i="1"/>
  <c r="H122" i="1"/>
  <c r="E123" i="1"/>
  <c r="F123" i="1"/>
  <c r="H123" i="1"/>
  <c r="E124" i="1"/>
  <c r="F124" i="1"/>
  <c r="H124" i="1"/>
  <c r="E125" i="1"/>
  <c r="F125" i="1"/>
  <c r="H125" i="1"/>
  <c r="E126" i="1"/>
  <c r="F126" i="1"/>
  <c r="H126" i="1"/>
  <c r="E127" i="1"/>
  <c r="F127" i="1"/>
  <c r="H127" i="1"/>
  <c r="E128" i="1"/>
  <c r="F128" i="1"/>
  <c r="H128" i="1"/>
  <c r="E129" i="1"/>
  <c r="F129" i="1"/>
  <c r="H129" i="1"/>
  <c r="E130" i="1"/>
  <c r="F130" i="1"/>
  <c r="H130" i="1"/>
  <c r="E131" i="1"/>
  <c r="F131" i="1"/>
  <c r="H131" i="1"/>
  <c r="E132" i="1"/>
  <c r="F132" i="1"/>
  <c r="H132" i="1"/>
  <c r="E133" i="1"/>
  <c r="F133" i="1"/>
  <c r="H133" i="1"/>
  <c r="E134" i="1"/>
  <c r="F134" i="1"/>
  <c r="H134" i="1"/>
  <c r="E135" i="1"/>
  <c r="F135" i="1"/>
  <c r="H135" i="1"/>
  <c r="E136" i="1"/>
  <c r="F136" i="1"/>
  <c r="H136" i="1"/>
  <c r="E137" i="1"/>
  <c r="F137" i="1"/>
  <c r="H137" i="1"/>
  <c r="E138" i="1"/>
  <c r="F138" i="1"/>
  <c r="H138" i="1"/>
  <c r="E139" i="1"/>
  <c r="F139" i="1"/>
  <c r="H139" i="1"/>
  <c r="E140" i="1"/>
  <c r="F140" i="1"/>
  <c r="H140" i="1"/>
  <c r="E141" i="1"/>
  <c r="F141" i="1"/>
  <c r="H141" i="1"/>
  <c r="E142" i="1"/>
  <c r="F142" i="1"/>
  <c r="H142" i="1"/>
  <c r="E143" i="1"/>
  <c r="F143" i="1"/>
  <c r="H143" i="1"/>
  <c r="E144" i="1"/>
  <c r="F144" i="1"/>
  <c r="H144" i="1"/>
  <c r="E145" i="1"/>
  <c r="F145" i="1"/>
  <c r="H145" i="1"/>
  <c r="E146" i="1"/>
  <c r="F146" i="1"/>
  <c r="H146" i="1"/>
  <c r="E147" i="1"/>
  <c r="F147" i="1"/>
  <c r="H147" i="1"/>
  <c r="E148" i="1"/>
  <c r="F148" i="1"/>
  <c r="H148" i="1"/>
  <c r="E149" i="1"/>
  <c r="F149" i="1"/>
  <c r="H149" i="1"/>
  <c r="E150" i="1"/>
  <c r="F150" i="1"/>
  <c r="H150" i="1"/>
  <c r="E151" i="1"/>
  <c r="F151" i="1"/>
  <c r="H151" i="1"/>
  <c r="E152" i="1"/>
  <c r="F152" i="1"/>
  <c r="H152" i="1"/>
  <c r="E153" i="1"/>
  <c r="F153" i="1"/>
  <c r="H153" i="1"/>
  <c r="E154" i="1"/>
  <c r="F154" i="1"/>
  <c r="H154" i="1"/>
  <c r="E155" i="1"/>
  <c r="F155" i="1"/>
  <c r="H155" i="1"/>
  <c r="E156" i="1"/>
  <c r="F156" i="1"/>
  <c r="H156" i="1"/>
  <c r="E157" i="1"/>
  <c r="F157" i="1"/>
  <c r="H157" i="1"/>
  <c r="E158" i="1"/>
  <c r="F158" i="1"/>
  <c r="H158" i="1"/>
  <c r="E159" i="1"/>
  <c r="F159" i="1"/>
  <c r="H159" i="1"/>
  <c r="E160" i="1"/>
  <c r="F160" i="1"/>
  <c r="H160" i="1"/>
  <c r="E161" i="1"/>
  <c r="F161" i="1"/>
  <c r="H161" i="1"/>
  <c r="E162" i="1"/>
  <c r="F162" i="1"/>
  <c r="H162" i="1"/>
  <c r="E163" i="1"/>
  <c r="F163" i="1"/>
  <c r="H163" i="1"/>
  <c r="E164" i="1"/>
  <c r="F164" i="1"/>
  <c r="H164" i="1"/>
  <c r="E165" i="1"/>
  <c r="F165" i="1"/>
  <c r="H165" i="1"/>
  <c r="E166" i="1"/>
  <c r="F166" i="1"/>
  <c r="H166" i="1"/>
  <c r="E167" i="1"/>
  <c r="F167" i="1"/>
  <c r="H167" i="1"/>
  <c r="E168" i="1"/>
  <c r="F168" i="1"/>
  <c r="H168" i="1"/>
  <c r="E169" i="1"/>
  <c r="F169" i="1"/>
  <c r="H169" i="1"/>
  <c r="E170" i="1"/>
  <c r="F170" i="1"/>
  <c r="H170" i="1"/>
  <c r="E171" i="1"/>
  <c r="F171" i="1"/>
  <c r="H171" i="1"/>
  <c r="E172" i="1"/>
  <c r="F172" i="1"/>
  <c r="H172" i="1"/>
  <c r="E173" i="1"/>
  <c r="F173" i="1"/>
  <c r="H173" i="1"/>
  <c r="E174" i="1"/>
  <c r="F174" i="1"/>
  <c r="H174" i="1"/>
  <c r="E175" i="1"/>
  <c r="F175" i="1"/>
  <c r="H175" i="1"/>
  <c r="E176" i="1"/>
  <c r="F176" i="1"/>
  <c r="H176" i="1"/>
  <c r="E177" i="1"/>
  <c r="F177" i="1"/>
  <c r="H177" i="1"/>
  <c r="E178" i="1"/>
  <c r="F178" i="1"/>
  <c r="H178" i="1"/>
  <c r="E179" i="1"/>
  <c r="F179" i="1"/>
  <c r="H179" i="1"/>
  <c r="E180" i="1"/>
  <c r="F180" i="1"/>
  <c r="H180" i="1"/>
  <c r="E181" i="1"/>
  <c r="F181" i="1"/>
  <c r="H181" i="1"/>
  <c r="E182" i="1"/>
  <c r="F182" i="1"/>
  <c r="H182" i="1"/>
  <c r="E183" i="1"/>
  <c r="F183" i="1"/>
  <c r="H183" i="1"/>
  <c r="E184" i="1"/>
  <c r="F184" i="1"/>
  <c r="H184" i="1"/>
  <c r="E185" i="1"/>
  <c r="F185" i="1"/>
  <c r="H185" i="1"/>
  <c r="E186" i="1"/>
  <c r="F186" i="1"/>
  <c r="H186" i="1"/>
  <c r="E187" i="1"/>
  <c r="F187" i="1"/>
  <c r="H187" i="1"/>
  <c r="E188" i="1"/>
  <c r="F188" i="1"/>
  <c r="H188" i="1"/>
  <c r="E189" i="1"/>
  <c r="F189" i="1"/>
  <c r="H189" i="1"/>
  <c r="E190" i="1"/>
  <c r="F190" i="1"/>
  <c r="H190" i="1"/>
  <c r="E191" i="1"/>
  <c r="F191" i="1"/>
  <c r="H191" i="1"/>
  <c r="E192" i="1"/>
  <c r="F192" i="1"/>
  <c r="H192" i="1"/>
  <c r="E193" i="1"/>
  <c r="F193" i="1"/>
  <c r="H193" i="1"/>
  <c r="E194" i="1"/>
  <c r="F194" i="1"/>
  <c r="H194" i="1"/>
  <c r="E195" i="1"/>
  <c r="F195" i="1"/>
  <c r="H195" i="1"/>
  <c r="E196" i="1"/>
  <c r="F196" i="1"/>
  <c r="H196" i="1"/>
  <c r="E197" i="1"/>
  <c r="F197" i="1"/>
  <c r="H197" i="1"/>
  <c r="E198" i="1"/>
  <c r="F198" i="1"/>
  <c r="H198" i="1"/>
  <c r="E199" i="1"/>
  <c r="F199" i="1"/>
  <c r="H199" i="1"/>
  <c r="E200" i="1"/>
  <c r="F200" i="1"/>
  <c r="H200" i="1"/>
  <c r="E201" i="1"/>
  <c r="F201" i="1"/>
  <c r="H201" i="1"/>
  <c r="E202" i="1"/>
  <c r="F202" i="1"/>
  <c r="H202" i="1"/>
  <c r="E203" i="1"/>
  <c r="F203" i="1"/>
  <c r="H203" i="1"/>
  <c r="E204" i="1"/>
  <c r="F204" i="1"/>
  <c r="H204" i="1"/>
  <c r="E205" i="1"/>
  <c r="F205" i="1"/>
  <c r="H205" i="1"/>
  <c r="E206" i="1"/>
  <c r="F206" i="1"/>
  <c r="H206" i="1"/>
  <c r="E207" i="1"/>
  <c r="F207" i="1"/>
  <c r="H207" i="1"/>
  <c r="E208" i="1"/>
  <c r="F208" i="1"/>
  <c r="H208" i="1"/>
  <c r="E209" i="1"/>
  <c r="F209" i="1"/>
  <c r="H209" i="1"/>
  <c r="E210" i="1"/>
  <c r="F210" i="1"/>
  <c r="H210" i="1"/>
  <c r="E211" i="1"/>
  <c r="F211" i="1"/>
  <c r="H211" i="1"/>
  <c r="E212" i="1"/>
  <c r="F212" i="1"/>
  <c r="H212" i="1"/>
  <c r="E213" i="1"/>
  <c r="F213" i="1"/>
  <c r="H213" i="1"/>
  <c r="E214" i="1"/>
  <c r="F214" i="1"/>
  <c r="H214" i="1"/>
  <c r="E215" i="1"/>
  <c r="F215" i="1"/>
  <c r="H215" i="1"/>
  <c r="E216" i="1"/>
  <c r="F216" i="1"/>
  <c r="H216" i="1"/>
  <c r="E217" i="1"/>
  <c r="F217" i="1"/>
  <c r="H217" i="1"/>
  <c r="E218" i="1"/>
  <c r="F218" i="1"/>
  <c r="H218" i="1"/>
  <c r="E219" i="1"/>
  <c r="F219" i="1"/>
  <c r="H219" i="1"/>
  <c r="E220" i="1"/>
  <c r="F220" i="1"/>
  <c r="H220" i="1"/>
  <c r="E221" i="1"/>
  <c r="F221" i="1"/>
  <c r="H221" i="1"/>
  <c r="E222" i="1"/>
  <c r="F222" i="1"/>
  <c r="H222" i="1"/>
  <c r="E223" i="1"/>
  <c r="F223" i="1"/>
  <c r="H223" i="1"/>
  <c r="E224" i="1"/>
  <c r="F224" i="1"/>
  <c r="H224" i="1"/>
  <c r="E225" i="1"/>
  <c r="F225" i="1"/>
  <c r="H225" i="1"/>
  <c r="E226" i="1"/>
  <c r="F226" i="1"/>
  <c r="H226" i="1"/>
  <c r="E227" i="1"/>
  <c r="F227" i="1"/>
  <c r="H227" i="1"/>
  <c r="E228" i="1"/>
  <c r="F228" i="1"/>
  <c r="H228" i="1"/>
  <c r="E229" i="1"/>
  <c r="F229" i="1"/>
  <c r="H229" i="1"/>
  <c r="E230" i="1"/>
  <c r="F230" i="1"/>
  <c r="H230" i="1"/>
  <c r="E231" i="1"/>
  <c r="F231" i="1"/>
  <c r="H231" i="1"/>
  <c r="E232" i="1"/>
  <c r="F232" i="1"/>
  <c r="H232" i="1"/>
  <c r="E233" i="1"/>
  <c r="F233" i="1"/>
  <c r="H233" i="1"/>
  <c r="E234" i="1"/>
  <c r="F234" i="1"/>
  <c r="H234" i="1"/>
  <c r="E235" i="1"/>
  <c r="F235" i="1"/>
  <c r="H235" i="1"/>
  <c r="E236" i="1"/>
  <c r="F236" i="1"/>
  <c r="H236" i="1"/>
  <c r="E237" i="1"/>
  <c r="F237" i="1"/>
  <c r="H237" i="1"/>
  <c r="E238" i="1"/>
  <c r="F238" i="1"/>
  <c r="H238" i="1"/>
  <c r="E239" i="1"/>
  <c r="F239" i="1"/>
  <c r="H239" i="1"/>
  <c r="E240" i="1"/>
  <c r="F240" i="1"/>
  <c r="H240" i="1"/>
  <c r="E241" i="1"/>
  <c r="F241" i="1"/>
  <c r="H241" i="1"/>
  <c r="E242" i="1"/>
  <c r="F242" i="1"/>
  <c r="H242" i="1"/>
  <c r="E243" i="1"/>
  <c r="F243" i="1"/>
  <c r="H243" i="1"/>
  <c r="E244" i="1"/>
  <c r="F244" i="1"/>
  <c r="H244" i="1"/>
  <c r="E245" i="1"/>
  <c r="F245" i="1"/>
  <c r="H245" i="1"/>
  <c r="E246" i="1"/>
  <c r="F246" i="1"/>
  <c r="H246" i="1"/>
  <c r="E247" i="1"/>
  <c r="F247" i="1"/>
  <c r="H247" i="1"/>
  <c r="E248" i="1"/>
  <c r="F248" i="1"/>
  <c r="H248" i="1"/>
  <c r="E249" i="1"/>
  <c r="F249" i="1"/>
  <c r="H249" i="1"/>
  <c r="E250" i="1"/>
  <c r="F250" i="1"/>
  <c r="H250" i="1"/>
  <c r="E251" i="1"/>
  <c r="F251" i="1"/>
  <c r="H251" i="1"/>
  <c r="E252" i="1"/>
  <c r="F252" i="1"/>
  <c r="H252" i="1"/>
  <c r="E253" i="1"/>
  <c r="F253" i="1"/>
  <c r="H253" i="1"/>
  <c r="E254" i="1"/>
  <c r="F254" i="1"/>
  <c r="H254" i="1"/>
  <c r="E255" i="1"/>
  <c r="F255" i="1"/>
  <c r="H255" i="1"/>
  <c r="E256" i="1"/>
  <c r="F256" i="1"/>
  <c r="H256" i="1"/>
  <c r="E257" i="1"/>
  <c r="F257" i="1"/>
  <c r="H257" i="1"/>
  <c r="E258" i="1"/>
  <c r="F258" i="1"/>
  <c r="H258" i="1"/>
  <c r="E259" i="1"/>
  <c r="F259" i="1"/>
  <c r="H259" i="1"/>
  <c r="E260" i="1"/>
  <c r="F260" i="1"/>
  <c r="H260" i="1"/>
  <c r="E261" i="1"/>
  <c r="F261" i="1"/>
  <c r="H261" i="1"/>
  <c r="E262" i="1"/>
  <c r="F262" i="1"/>
  <c r="H262" i="1"/>
  <c r="E263" i="1"/>
  <c r="F263" i="1"/>
  <c r="H263" i="1"/>
  <c r="E264" i="1"/>
  <c r="F264" i="1"/>
  <c r="H264" i="1"/>
  <c r="E265" i="1"/>
  <c r="F265" i="1"/>
  <c r="H265" i="1"/>
  <c r="E266" i="1"/>
  <c r="F266" i="1"/>
  <c r="H266" i="1"/>
  <c r="E267" i="1"/>
  <c r="F267" i="1"/>
  <c r="H267" i="1"/>
  <c r="E268" i="1"/>
  <c r="F268" i="1"/>
  <c r="H268" i="1"/>
  <c r="E269" i="1"/>
  <c r="F269" i="1"/>
  <c r="H269" i="1"/>
  <c r="E270" i="1"/>
  <c r="F270" i="1"/>
  <c r="H270" i="1"/>
  <c r="E271" i="1"/>
  <c r="F271" i="1"/>
  <c r="H271" i="1"/>
  <c r="E272" i="1"/>
  <c r="F272" i="1"/>
  <c r="H272" i="1"/>
  <c r="E273" i="1"/>
  <c r="F273" i="1"/>
  <c r="H273" i="1"/>
  <c r="E274" i="1"/>
  <c r="F274" i="1"/>
  <c r="H274" i="1"/>
  <c r="E275" i="1"/>
  <c r="F275" i="1"/>
  <c r="H275" i="1"/>
  <c r="E276" i="1"/>
  <c r="F276" i="1"/>
  <c r="H276" i="1"/>
  <c r="E277" i="1"/>
  <c r="F277" i="1"/>
  <c r="H277" i="1"/>
  <c r="E278" i="1"/>
  <c r="F278" i="1"/>
  <c r="H278" i="1"/>
  <c r="E279" i="1"/>
  <c r="F279" i="1"/>
  <c r="H279" i="1"/>
  <c r="G280" i="1"/>
  <c r="H280" i="1"/>
  <c r="I280" i="1"/>
  <c r="E281" i="1"/>
  <c r="F281" i="1"/>
  <c r="H281" i="1"/>
  <c r="E282" i="1"/>
  <c r="F282" i="1"/>
  <c r="H282" i="1"/>
  <c r="E283" i="1"/>
  <c r="F283" i="1"/>
  <c r="H283" i="1"/>
  <c r="E284" i="1"/>
  <c r="F284" i="1"/>
  <c r="H284" i="1"/>
  <c r="E285" i="1"/>
  <c r="F285" i="1"/>
  <c r="H285" i="1"/>
  <c r="E286" i="1"/>
  <c r="F286" i="1"/>
  <c r="H286" i="1"/>
  <c r="E287" i="1"/>
  <c r="F287" i="1"/>
  <c r="H287" i="1"/>
  <c r="E288" i="1"/>
  <c r="F288" i="1"/>
  <c r="H288" i="1"/>
  <c r="E289" i="1"/>
  <c r="F289" i="1"/>
  <c r="H289" i="1"/>
  <c r="E290" i="1"/>
  <c r="F290" i="1"/>
  <c r="H290" i="1"/>
  <c r="E291" i="1"/>
  <c r="F291" i="1"/>
  <c r="H291" i="1"/>
  <c r="E292" i="1"/>
  <c r="F292" i="1"/>
  <c r="H292" i="1"/>
  <c r="E293" i="1"/>
  <c r="F293" i="1"/>
  <c r="H293" i="1"/>
  <c r="E294" i="1"/>
  <c r="F294" i="1"/>
  <c r="H294" i="1"/>
  <c r="E295" i="1"/>
  <c r="F295" i="1"/>
  <c r="H295" i="1"/>
  <c r="E296" i="1"/>
  <c r="F296" i="1"/>
  <c r="H296" i="1"/>
  <c r="E297" i="1"/>
  <c r="F297" i="1"/>
  <c r="H297" i="1"/>
  <c r="E298" i="1"/>
  <c r="F298" i="1"/>
  <c r="H298" i="1"/>
  <c r="E299" i="1"/>
  <c r="F299" i="1"/>
  <c r="H299" i="1"/>
  <c r="E300" i="1"/>
  <c r="F300" i="1"/>
  <c r="H300" i="1"/>
  <c r="E301" i="1"/>
  <c r="F301" i="1"/>
  <c r="H301" i="1"/>
  <c r="E302" i="1"/>
  <c r="F302" i="1"/>
  <c r="H302" i="1"/>
  <c r="E303" i="1"/>
  <c r="F303" i="1"/>
  <c r="H303" i="1"/>
  <c r="E304" i="1"/>
  <c r="F304" i="1"/>
  <c r="H304" i="1"/>
  <c r="E305" i="1"/>
  <c r="F305" i="1"/>
  <c r="H305" i="1"/>
  <c r="E306" i="1"/>
  <c r="F306" i="1"/>
  <c r="H306" i="1"/>
  <c r="E307" i="1"/>
  <c r="F307" i="1"/>
  <c r="H307" i="1"/>
  <c r="E308" i="1"/>
  <c r="F308" i="1"/>
  <c r="H308" i="1"/>
  <c r="G309" i="1"/>
  <c r="E310" i="1"/>
  <c r="F310" i="1"/>
  <c r="H310" i="1"/>
  <c r="E311" i="1"/>
  <c r="F311" i="1"/>
  <c r="H311" i="1"/>
  <c r="E312" i="1"/>
  <c r="F312" i="1"/>
  <c r="H312" i="1"/>
  <c r="E313" i="1"/>
  <c r="F313" i="1"/>
  <c r="H313" i="1"/>
  <c r="E314" i="1"/>
  <c r="F314" i="1"/>
  <c r="H314" i="1"/>
  <c r="E315" i="1"/>
  <c r="F315" i="1"/>
  <c r="H315" i="1"/>
  <c r="E316" i="1"/>
  <c r="F316" i="1"/>
  <c r="H316" i="1"/>
  <c r="E317" i="1"/>
  <c r="F317" i="1"/>
  <c r="H317" i="1"/>
  <c r="E318" i="1"/>
  <c r="F318" i="1"/>
  <c r="H318" i="1"/>
  <c r="E319" i="1"/>
  <c r="F319" i="1"/>
  <c r="H319" i="1"/>
  <c r="E320" i="1"/>
  <c r="F320" i="1"/>
  <c r="H320" i="1"/>
  <c r="E321" i="1"/>
  <c r="F321" i="1"/>
  <c r="H321" i="1"/>
  <c r="E322" i="1"/>
  <c r="F322" i="1"/>
  <c r="H322" i="1"/>
  <c r="E323" i="1"/>
  <c r="F323" i="1"/>
  <c r="H323" i="1"/>
  <c r="E324" i="1"/>
  <c r="F324" i="1"/>
  <c r="H324" i="1"/>
  <c r="E325" i="1"/>
  <c r="F325" i="1"/>
  <c r="H325" i="1"/>
  <c r="E326" i="1"/>
  <c r="F326" i="1"/>
  <c r="H326" i="1"/>
  <c r="E327" i="1"/>
  <c r="F327" i="1"/>
  <c r="H327" i="1"/>
  <c r="E328" i="1"/>
  <c r="F328" i="1"/>
  <c r="H328" i="1"/>
  <c r="E329" i="1"/>
  <c r="F329" i="1"/>
  <c r="H329" i="1"/>
  <c r="E330" i="1"/>
  <c r="F330" i="1"/>
  <c r="H330" i="1"/>
  <c r="E331" i="1"/>
  <c r="F331" i="1"/>
  <c r="H331" i="1"/>
  <c r="E332" i="1"/>
  <c r="F332" i="1"/>
  <c r="H332" i="1"/>
  <c r="E333" i="1"/>
  <c r="F333" i="1"/>
  <c r="H333" i="1"/>
  <c r="E334" i="1"/>
  <c r="F334" i="1"/>
  <c r="H334" i="1"/>
  <c r="E335" i="1"/>
  <c r="F335" i="1"/>
  <c r="H335" i="1"/>
  <c r="E336" i="1"/>
  <c r="F336" i="1"/>
  <c r="H336" i="1"/>
  <c r="E337" i="1"/>
  <c r="F337" i="1"/>
  <c r="H337" i="1"/>
  <c r="E338" i="1"/>
  <c r="F338" i="1"/>
  <c r="H338" i="1"/>
  <c r="E339" i="1"/>
  <c r="F339" i="1"/>
  <c r="H339" i="1"/>
  <c r="E340" i="1"/>
  <c r="F340" i="1"/>
  <c r="H340" i="1"/>
  <c r="E341" i="1"/>
  <c r="F341" i="1"/>
  <c r="H341" i="1"/>
  <c r="E342" i="1"/>
  <c r="F342" i="1"/>
  <c r="H342" i="1"/>
  <c r="E343" i="1"/>
  <c r="F343" i="1"/>
  <c r="H343" i="1"/>
  <c r="E344" i="1"/>
  <c r="F344" i="1"/>
  <c r="H344" i="1"/>
  <c r="E345" i="1"/>
  <c r="F345" i="1"/>
  <c r="H345" i="1"/>
  <c r="E346" i="1"/>
  <c r="F346" i="1"/>
  <c r="H346" i="1"/>
  <c r="E347" i="1"/>
  <c r="F347" i="1"/>
  <c r="H347" i="1"/>
  <c r="E348" i="1"/>
  <c r="F348" i="1"/>
  <c r="H348" i="1"/>
  <c r="E349" i="1"/>
  <c r="F349" i="1"/>
  <c r="H349" i="1"/>
  <c r="E350" i="1"/>
  <c r="F350" i="1"/>
  <c r="H350" i="1"/>
  <c r="E351" i="1"/>
  <c r="F351" i="1"/>
  <c r="H351" i="1"/>
  <c r="E352" i="1"/>
  <c r="F352" i="1"/>
  <c r="H352" i="1"/>
  <c r="E353" i="1"/>
  <c r="F353" i="1"/>
  <c r="H353" i="1"/>
  <c r="E354" i="1"/>
  <c r="F354" i="1"/>
  <c r="H354" i="1"/>
  <c r="E355" i="1"/>
  <c r="F355" i="1"/>
  <c r="H355" i="1"/>
  <c r="E356" i="1"/>
  <c r="F356" i="1"/>
  <c r="H356" i="1"/>
  <c r="E357" i="1"/>
  <c r="F357" i="1"/>
  <c r="H357" i="1"/>
  <c r="E358" i="1"/>
  <c r="F358" i="1"/>
  <c r="H358" i="1"/>
  <c r="E359" i="1"/>
  <c r="F359" i="1"/>
  <c r="H359" i="1"/>
  <c r="E360" i="1"/>
  <c r="F360" i="1"/>
  <c r="H360" i="1"/>
  <c r="E361" i="1"/>
  <c r="F361" i="1"/>
  <c r="H361" i="1"/>
  <c r="E362" i="1"/>
  <c r="F362" i="1"/>
  <c r="H362" i="1"/>
  <c r="E363" i="1"/>
  <c r="F363" i="1"/>
  <c r="H363" i="1"/>
  <c r="E364" i="1"/>
  <c r="F364" i="1"/>
  <c r="H364" i="1"/>
  <c r="E365" i="1"/>
  <c r="F365" i="1"/>
  <c r="H365" i="1"/>
  <c r="E366" i="1"/>
  <c r="F366" i="1"/>
  <c r="H366" i="1"/>
  <c r="E367" i="1"/>
  <c r="F367" i="1"/>
  <c r="H367" i="1"/>
  <c r="E368" i="1"/>
  <c r="F368" i="1"/>
  <c r="H368" i="1"/>
  <c r="E369" i="1"/>
  <c r="F369" i="1"/>
  <c r="H369" i="1"/>
  <c r="E370" i="1"/>
  <c r="F370" i="1"/>
  <c r="H370" i="1"/>
  <c r="E371" i="1"/>
  <c r="F371" i="1"/>
  <c r="H371" i="1"/>
  <c r="E372" i="1"/>
  <c r="F372" i="1"/>
  <c r="H372" i="1"/>
  <c r="E373" i="1"/>
  <c r="F373" i="1"/>
  <c r="H373" i="1"/>
  <c r="E374" i="1"/>
  <c r="F374" i="1"/>
  <c r="H374" i="1"/>
  <c r="E375" i="1"/>
  <c r="F375" i="1"/>
  <c r="H375" i="1"/>
  <c r="E376" i="1"/>
  <c r="F376" i="1"/>
  <c r="H376" i="1"/>
  <c r="E377" i="1"/>
  <c r="F377" i="1"/>
  <c r="H377" i="1"/>
  <c r="E378" i="1"/>
  <c r="F378" i="1"/>
  <c r="H378" i="1"/>
  <c r="E379" i="1"/>
  <c r="F379" i="1"/>
  <c r="H379" i="1"/>
  <c r="E380" i="1"/>
  <c r="F380" i="1"/>
  <c r="H380" i="1"/>
  <c r="E381" i="1"/>
  <c r="F381" i="1"/>
  <c r="H381" i="1"/>
  <c r="E382" i="1"/>
  <c r="F382" i="1"/>
  <c r="H382" i="1"/>
  <c r="E383" i="1"/>
  <c r="F383" i="1"/>
  <c r="H383" i="1"/>
  <c r="E384" i="1"/>
  <c r="F384" i="1"/>
  <c r="H384" i="1"/>
  <c r="E385" i="1"/>
  <c r="F385" i="1"/>
  <c r="H385" i="1"/>
  <c r="E386" i="1"/>
  <c r="F386" i="1"/>
  <c r="H386" i="1"/>
  <c r="E387" i="1"/>
  <c r="F387" i="1"/>
  <c r="H387" i="1"/>
  <c r="E388" i="1"/>
  <c r="F388" i="1"/>
  <c r="H388" i="1"/>
  <c r="E389" i="1"/>
  <c r="F389" i="1"/>
  <c r="H389" i="1"/>
  <c r="E390" i="1"/>
  <c r="F390" i="1"/>
  <c r="H390" i="1"/>
  <c r="E391" i="1"/>
  <c r="F391" i="1"/>
  <c r="H391" i="1"/>
  <c r="E392" i="1"/>
  <c r="F392" i="1"/>
  <c r="H392" i="1"/>
  <c r="E393" i="1"/>
  <c r="F393" i="1"/>
  <c r="H393" i="1"/>
  <c r="E394" i="1"/>
  <c r="F394" i="1"/>
  <c r="H394" i="1"/>
  <c r="E395" i="1"/>
  <c r="F395" i="1"/>
  <c r="H395" i="1"/>
  <c r="E396" i="1"/>
  <c r="F396" i="1"/>
  <c r="H396" i="1"/>
  <c r="E397" i="1"/>
  <c r="F397" i="1"/>
  <c r="H397" i="1"/>
  <c r="G398" i="1"/>
  <c r="H398" i="1"/>
  <c r="I398" i="1"/>
  <c r="E399" i="1"/>
  <c r="F399" i="1"/>
  <c r="H399" i="1"/>
  <c r="E400" i="1"/>
  <c r="F400" i="1"/>
  <c r="H400" i="1"/>
  <c r="E401" i="1"/>
  <c r="F401" i="1"/>
  <c r="H401" i="1"/>
  <c r="E402" i="1"/>
  <c r="F402" i="1"/>
  <c r="H402" i="1"/>
  <c r="E403" i="1"/>
  <c r="F403" i="1"/>
  <c r="H403" i="1"/>
  <c r="E404" i="1"/>
  <c r="F404" i="1"/>
  <c r="H404" i="1"/>
  <c r="E405" i="1"/>
  <c r="F405" i="1"/>
  <c r="H405" i="1"/>
  <c r="E406" i="1"/>
  <c r="F406" i="1"/>
  <c r="H406" i="1"/>
  <c r="E407" i="1"/>
  <c r="F407" i="1"/>
  <c r="H407" i="1"/>
  <c r="E408" i="1"/>
  <c r="F408" i="1"/>
  <c r="H408" i="1"/>
  <c r="E409" i="1"/>
  <c r="F409" i="1"/>
  <c r="E410" i="1"/>
  <c r="F410" i="1"/>
  <c r="H410" i="1"/>
  <c r="E411" i="1"/>
  <c r="F411" i="1"/>
  <c r="H411" i="1"/>
  <c r="E412" i="1"/>
  <c r="F412" i="1"/>
  <c r="H412" i="1"/>
  <c r="E413" i="1"/>
  <c r="F413" i="1"/>
  <c r="H413" i="1"/>
  <c r="E414" i="1"/>
  <c r="F414" i="1"/>
  <c r="H414" i="1"/>
  <c r="E415" i="1"/>
  <c r="F415" i="1"/>
  <c r="H415" i="1"/>
  <c r="E416" i="1"/>
  <c r="F416" i="1"/>
  <c r="H416" i="1"/>
  <c r="E417" i="1"/>
  <c r="F417" i="1"/>
  <c r="E418" i="1"/>
  <c r="F418" i="1"/>
  <c r="H418" i="1"/>
  <c r="E419" i="1"/>
  <c r="F419" i="1"/>
  <c r="H419" i="1"/>
  <c r="E420" i="1"/>
  <c r="F420" i="1"/>
  <c r="H420" i="1"/>
  <c r="E421" i="1"/>
  <c r="F421" i="1"/>
  <c r="H421" i="1"/>
  <c r="E422" i="1"/>
  <c r="F422" i="1"/>
  <c r="H422" i="1"/>
  <c r="E423" i="1"/>
  <c r="F423" i="1"/>
  <c r="H423" i="1"/>
  <c r="E424" i="1"/>
  <c r="F424" i="1"/>
  <c r="H424" i="1"/>
  <c r="E425" i="1"/>
  <c r="F425" i="1"/>
  <c r="H425" i="1"/>
  <c r="E426" i="1"/>
  <c r="F426" i="1"/>
  <c r="H426" i="1"/>
  <c r="E427" i="1"/>
  <c r="F427" i="1"/>
  <c r="H427" i="1"/>
  <c r="E428" i="1"/>
  <c r="F428" i="1"/>
  <c r="H428" i="1"/>
  <c r="E429" i="1"/>
  <c r="F429" i="1"/>
  <c r="H429" i="1"/>
  <c r="E430" i="1"/>
  <c r="F430" i="1"/>
  <c r="H430" i="1"/>
  <c r="E431" i="1"/>
  <c r="F431" i="1"/>
  <c r="H431" i="1"/>
  <c r="E432" i="1"/>
  <c r="F432" i="1"/>
  <c r="H432" i="1"/>
  <c r="E433" i="1"/>
  <c r="F433" i="1"/>
  <c r="H433" i="1"/>
  <c r="E434" i="1"/>
  <c r="F434" i="1"/>
  <c r="H434" i="1"/>
  <c r="E435" i="1"/>
  <c r="F435" i="1"/>
  <c r="H435" i="1"/>
  <c r="E436" i="1"/>
  <c r="F436" i="1"/>
  <c r="H436" i="1"/>
  <c r="E437" i="1"/>
  <c r="F437" i="1"/>
  <c r="H437" i="1"/>
  <c r="E438" i="1"/>
  <c r="F438" i="1"/>
  <c r="H438" i="1"/>
  <c r="E439" i="1"/>
  <c r="F439" i="1"/>
  <c r="H439" i="1"/>
  <c r="E440" i="1"/>
  <c r="F440" i="1"/>
  <c r="H440" i="1"/>
  <c r="E441" i="1"/>
  <c r="F441" i="1"/>
  <c r="H441" i="1"/>
  <c r="E442" i="1"/>
  <c r="F442" i="1"/>
  <c r="H442" i="1"/>
  <c r="E443" i="1"/>
  <c r="F443" i="1"/>
  <c r="H443" i="1"/>
  <c r="E444" i="1"/>
  <c r="F444" i="1"/>
  <c r="H444" i="1"/>
  <c r="E445" i="1"/>
  <c r="F445" i="1"/>
  <c r="H445" i="1"/>
  <c r="E446" i="1"/>
  <c r="F446" i="1"/>
  <c r="H446" i="1"/>
  <c r="E447" i="1"/>
  <c r="F447" i="1"/>
  <c r="H447" i="1"/>
  <c r="E448" i="1"/>
  <c r="F448" i="1"/>
  <c r="H448" i="1"/>
  <c r="E449" i="1"/>
  <c r="F449" i="1"/>
  <c r="H449" i="1"/>
  <c r="E450" i="1"/>
  <c r="F450" i="1"/>
  <c r="H450" i="1"/>
  <c r="E451" i="1"/>
  <c r="F451" i="1"/>
  <c r="H451" i="1"/>
  <c r="E452" i="1"/>
  <c r="F452" i="1"/>
  <c r="H452" i="1"/>
  <c r="E453" i="1"/>
  <c r="F453" i="1"/>
  <c r="H453" i="1"/>
  <c r="E454" i="1"/>
  <c r="F454" i="1"/>
  <c r="H454" i="1"/>
  <c r="E455" i="1"/>
  <c r="F455" i="1"/>
  <c r="H455" i="1"/>
  <c r="G456" i="1"/>
  <c r="H456" i="1"/>
  <c r="I456" i="1"/>
  <c r="E457" i="1"/>
  <c r="F457" i="1"/>
  <c r="H457" i="1"/>
  <c r="E458" i="1"/>
  <c r="F458" i="1"/>
  <c r="H458" i="1"/>
  <c r="E459" i="1"/>
  <c r="F459" i="1"/>
  <c r="H459" i="1"/>
  <c r="E460" i="1"/>
  <c r="F460" i="1"/>
  <c r="H460" i="1"/>
  <c r="E461" i="1"/>
  <c r="F461" i="1"/>
  <c r="H461" i="1"/>
  <c r="E462" i="1"/>
  <c r="F462" i="1"/>
  <c r="H462" i="1"/>
  <c r="E463" i="1"/>
  <c r="F463" i="1"/>
  <c r="H463" i="1"/>
  <c r="E464" i="1"/>
  <c r="F464" i="1"/>
  <c r="H464" i="1"/>
  <c r="E465" i="1"/>
  <c r="F465" i="1"/>
  <c r="H465" i="1"/>
  <c r="E466" i="1"/>
  <c r="F466" i="1"/>
  <c r="H466" i="1"/>
  <c r="E467" i="1"/>
  <c r="F467" i="1"/>
  <c r="H467" i="1"/>
  <c r="E468" i="1"/>
  <c r="F468" i="1"/>
  <c r="H468" i="1"/>
  <c r="E469" i="1"/>
  <c r="F469" i="1"/>
  <c r="H469" i="1"/>
  <c r="E470" i="1"/>
  <c r="F470" i="1"/>
  <c r="H470" i="1"/>
  <c r="E471" i="1"/>
  <c r="F471" i="1"/>
  <c r="H471" i="1"/>
  <c r="E472" i="1"/>
  <c r="F472" i="1"/>
  <c r="H472" i="1"/>
  <c r="E473" i="1"/>
  <c r="F473" i="1"/>
  <c r="H473" i="1"/>
  <c r="E474" i="1"/>
  <c r="F474" i="1"/>
  <c r="H474" i="1"/>
  <c r="E475" i="1"/>
  <c r="F475" i="1"/>
  <c r="H475" i="1"/>
  <c r="E476" i="1"/>
  <c r="F476" i="1"/>
  <c r="H476" i="1"/>
  <c r="E477" i="1"/>
  <c r="F477" i="1"/>
  <c r="H477" i="1"/>
  <c r="E478" i="1"/>
  <c r="F478" i="1"/>
  <c r="H478" i="1"/>
  <c r="E479" i="1"/>
  <c r="F479" i="1"/>
  <c r="H479" i="1"/>
  <c r="E480" i="1"/>
  <c r="F480" i="1"/>
  <c r="H480" i="1"/>
  <c r="E481" i="1"/>
  <c r="F481" i="1"/>
  <c r="H481" i="1"/>
  <c r="E482" i="1"/>
  <c r="F482" i="1"/>
  <c r="H482" i="1"/>
  <c r="E483" i="1"/>
  <c r="F483" i="1"/>
  <c r="H483" i="1"/>
  <c r="E484" i="1"/>
  <c r="F484" i="1"/>
  <c r="H484" i="1"/>
  <c r="E485" i="1"/>
  <c r="F485" i="1"/>
  <c r="H485" i="1"/>
  <c r="E486" i="1"/>
  <c r="F486" i="1"/>
  <c r="H486" i="1"/>
  <c r="E487" i="1"/>
  <c r="F487" i="1"/>
  <c r="H487" i="1"/>
  <c r="E488" i="1"/>
  <c r="F488" i="1"/>
  <c r="H488" i="1"/>
  <c r="E489" i="1"/>
  <c r="F489" i="1"/>
  <c r="H489" i="1"/>
  <c r="E490" i="1"/>
  <c r="F490" i="1"/>
  <c r="H490" i="1"/>
  <c r="E491" i="1"/>
  <c r="F491" i="1"/>
  <c r="H491" i="1"/>
  <c r="E492" i="1"/>
  <c r="F492" i="1"/>
  <c r="H492" i="1"/>
  <c r="E493" i="1"/>
  <c r="F493" i="1"/>
  <c r="H493" i="1"/>
  <c r="E494" i="1"/>
  <c r="F494" i="1"/>
  <c r="H494" i="1"/>
  <c r="E495" i="1"/>
  <c r="F495" i="1"/>
  <c r="H495" i="1"/>
  <c r="E496" i="1"/>
  <c r="F496" i="1"/>
  <c r="H496" i="1"/>
  <c r="E497" i="1"/>
  <c r="F497" i="1"/>
  <c r="H497" i="1"/>
  <c r="E498" i="1"/>
  <c r="F498" i="1"/>
  <c r="H498" i="1"/>
  <c r="E499" i="1"/>
  <c r="F499" i="1"/>
  <c r="H499" i="1"/>
  <c r="E500" i="1"/>
  <c r="F500" i="1"/>
  <c r="H500" i="1"/>
  <c r="E501" i="1"/>
  <c r="F501" i="1"/>
  <c r="H501" i="1"/>
  <c r="E502" i="1"/>
  <c r="F502" i="1"/>
  <c r="H502" i="1"/>
  <c r="E503" i="1"/>
  <c r="F503" i="1"/>
  <c r="H503" i="1"/>
  <c r="E504" i="1"/>
  <c r="F504" i="1"/>
  <c r="H504" i="1"/>
  <c r="E505" i="1"/>
  <c r="F505" i="1"/>
  <c r="H505" i="1"/>
  <c r="E506" i="1"/>
  <c r="F506" i="1"/>
  <c r="H506" i="1"/>
  <c r="E507" i="1"/>
  <c r="F507" i="1"/>
  <c r="H507" i="1"/>
  <c r="E508" i="1"/>
  <c r="F508" i="1"/>
  <c r="H508" i="1"/>
  <c r="E509" i="1"/>
  <c r="F509" i="1"/>
  <c r="H509" i="1"/>
  <c r="E510" i="1"/>
  <c r="F510" i="1"/>
  <c r="H510" i="1"/>
  <c r="E511" i="1"/>
  <c r="F511" i="1"/>
  <c r="H511" i="1"/>
  <c r="E512" i="1"/>
  <c r="F512" i="1"/>
  <c r="H512" i="1"/>
  <c r="E513" i="1"/>
  <c r="F513" i="1"/>
  <c r="H513" i="1"/>
  <c r="E514" i="1"/>
  <c r="F514" i="1"/>
  <c r="H514" i="1"/>
  <c r="E515" i="1"/>
  <c r="F515" i="1"/>
  <c r="H515" i="1"/>
  <c r="E516" i="1"/>
  <c r="F516" i="1"/>
  <c r="H516" i="1"/>
  <c r="E517" i="1"/>
  <c r="F517" i="1"/>
  <c r="H517" i="1"/>
  <c r="E518" i="1"/>
  <c r="F518" i="1"/>
  <c r="H518" i="1"/>
  <c r="E519" i="1"/>
  <c r="F519" i="1"/>
  <c r="H519" i="1"/>
  <c r="E520" i="1"/>
  <c r="F520" i="1"/>
  <c r="H520" i="1"/>
  <c r="E521" i="1"/>
  <c r="F521" i="1"/>
  <c r="H521" i="1"/>
  <c r="E522" i="1"/>
  <c r="F522" i="1"/>
  <c r="H522" i="1"/>
  <c r="E523" i="1"/>
  <c r="F523" i="1"/>
  <c r="H523" i="1"/>
  <c r="E524" i="1"/>
  <c r="F524" i="1"/>
  <c r="H524" i="1"/>
  <c r="E525" i="1"/>
  <c r="F525" i="1"/>
  <c r="H525" i="1"/>
  <c r="E526" i="1"/>
  <c r="F526" i="1"/>
  <c r="H526" i="1"/>
  <c r="E527" i="1"/>
  <c r="F527" i="1"/>
  <c r="H527" i="1"/>
  <c r="E528" i="1"/>
  <c r="F528" i="1"/>
  <c r="H528" i="1"/>
  <c r="E529" i="1"/>
  <c r="F529" i="1"/>
  <c r="H529" i="1"/>
  <c r="E530" i="1"/>
  <c r="F530" i="1"/>
  <c r="H530" i="1"/>
  <c r="G531" i="1"/>
  <c r="H531" i="1"/>
  <c r="I531" i="1"/>
  <c r="E532" i="1"/>
  <c r="F532" i="1"/>
  <c r="H532" i="1"/>
  <c r="E533" i="1"/>
  <c r="F533" i="1"/>
  <c r="H533" i="1"/>
  <c r="E534" i="1"/>
  <c r="F534" i="1"/>
  <c r="H534" i="1"/>
  <c r="E535" i="1"/>
  <c r="F535" i="1"/>
  <c r="H535" i="1"/>
  <c r="E536" i="1"/>
  <c r="F536" i="1"/>
  <c r="H536" i="1"/>
  <c r="E537" i="1"/>
  <c r="F537" i="1"/>
  <c r="H537" i="1"/>
  <c r="E538" i="1"/>
  <c r="F538" i="1"/>
  <c r="H538" i="1"/>
  <c r="E539" i="1"/>
  <c r="F539" i="1"/>
  <c r="E540" i="1"/>
  <c r="F540" i="1"/>
  <c r="E541" i="1"/>
  <c r="F541" i="1"/>
  <c r="H541" i="1"/>
  <c r="E542" i="1"/>
  <c r="F542" i="1"/>
  <c r="H542" i="1"/>
  <c r="E543" i="1"/>
  <c r="F543" i="1"/>
  <c r="H543" i="1"/>
  <c r="E544" i="1"/>
  <c r="F544" i="1"/>
  <c r="H544" i="1"/>
  <c r="E545" i="1"/>
  <c r="F545" i="1"/>
  <c r="H545" i="1"/>
  <c r="E546" i="1"/>
  <c r="F546" i="1"/>
  <c r="H546" i="1"/>
  <c r="E547" i="1"/>
  <c r="F547" i="1"/>
  <c r="H547" i="1"/>
  <c r="E548" i="1"/>
  <c r="F548" i="1"/>
  <c r="H548" i="1"/>
  <c r="E549" i="1"/>
  <c r="F549" i="1"/>
  <c r="H549" i="1"/>
  <c r="E550" i="1"/>
  <c r="F550" i="1"/>
  <c r="H550" i="1"/>
  <c r="E551" i="1"/>
  <c r="F551" i="1"/>
  <c r="H551" i="1"/>
  <c r="E552" i="1"/>
  <c r="F552" i="1"/>
  <c r="H552" i="1"/>
  <c r="E553" i="1"/>
  <c r="F553" i="1"/>
  <c r="H553" i="1"/>
  <c r="E554" i="1"/>
  <c r="F554" i="1"/>
  <c r="H554" i="1"/>
  <c r="E555" i="1"/>
  <c r="F555" i="1"/>
  <c r="H555" i="1"/>
  <c r="E556" i="1"/>
  <c r="F556" i="1"/>
  <c r="H556" i="1"/>
  <c r="E557" i="1"/>
  <c r="F557" i="1"/>
  <c r="H557" i="1"/>
  <c r="E558" i="1"/>
  <c r="F558" i="1"/>
  <c r="H558" i="1"/>
  <c r="E559" i="1"/>
  <c r="F559" i="1"/>
  <c r="H559" i="1"/>
  <c r="E560" i="1"/>
  <c r="F560" i="1"/>
  <c r="H560" i="1"/>
  <c r="E561" i="1"/>
  <c r="F561" i="1"/>
  <c r="H561" i="1"/>
  <c r="E562" i="1"/>
  <c r="F562" i="1"/>
  <c r="H562" i="1"/>
  <c r="E563" i="1"/>
  <c r="F563" i="1"/>
  <c r="H563" i="1"/>
  <c r="E564" i="1"/>
  <c r="F564" i="1"/>
  <c r="H564" i="1"/>
  <c r="E565" i="1"/>
  <c r="F565" i="1"/>
  <c r="H565" i="1"/>
  <c r="E566" i="1"/>
  <c r="F566" i="1"/>
  <c r="H566" i="1"/>
  <c r="E567" i="1"/>
  <c r="F567" i="1"/>
  <c r="H567" i="1"/>
  <c r="E568" i="1"/>
  <c r="F568" i="1"/>
  <c r="H568" i="1"/>
  <c r="E569" i="1"/>
  <c r="F569" i="1"/>
  <c r="H569" i="1"/>
  <c r="E570" i="1"/>
  <c r="F570" i="1"/>
  <c r="H570" i="1"/>
  <c r="E571" i="1"/>
  <c r="F571" i="1"/>
  <c r="H571" i="1"/>
  <c r="E572" i="1"/>
  <c r="F572" i="1"/>
  <c r="H572" i="1"/>
  <c r="E573" i="1"/>
  <c r="F573" i="1"/>
  <c r="H573" i="1"/>
  <c r="E574" i="1"/>
  <c r="F574" i="1"/>
  <c r="H574" i="1"/>
  <c r="E575" i="1"/>
  <c r="F575" i="1"/>
  <c r="H575" i="1"/>
  <c r="E576" i="1"/>
  <c r="F576" i="1"/>
  <c r="H576" i="1"/>
  <c r="E577" i="1"/>
  <c r="F577" i="1"/>
  <c r="H577" i="1"/>
  <c r="E578" i="1"/>
  <c r="F578" i="1"/>
  <c r="H578" i="1"/>
  <c r="E579" i="1"/>
  <c r="F579" i="1"/>
  <c r="H579" i="1"/>
  <c r="E580" i="1"/>
  <c r="F580" i="1"/>
  <c r="H580" i="1"/>
  <c r="E581" i="1"/>
  <c r="F581" i="1"/>
  <c r="H581" i="1"/>
  <c r="E582" i="1"/>
  <c r="F582" i="1"/>
  <c r="H582" i="1"/>
  <c r="E583" i="1"/>
  <c r="F583" i="1"/>
  <c r="H583" i="1"/>
  <c r="E584" i="1"/>
  <c r="F584" i="1"/>
  <c r="H584" i="1"/>
  <c r="E585" i="1"/>
  <c r="F585" i="1"/>
  <c r="H585" i="1"/>
  <c r="E586" i="1"/>
  <c r="F586" i="1"/>
  <c r="H586" i="1"/>
  <c r="E587" i="1"/>
  <c r="F587" i="1"/>
  <c r="H587" i="1"/>
  <c r="E588" i="1"/>
  <c r="F588" i="1"/>
  <c r="H588" i="1"/>
  <c r="E589" i="1"/>
  <c r="F589" i="1"/>
  <c r="H589" i="1"/>
  <c r="E590" i="1"/>
  <c r="F590" i="1"/>
  <c r="H590" i="1"/>
  <c r="E591" i="1"/>
  <c r="F591" i="1"/>
  <c r="H591" i="1"/>
  <c r="E592" i="1"/>
  <c r="F592" i="1"/>
  <c r="H592" i="1"/>
  <c r="E593" i="1"/>
  <c r="F593" i="1"/>
  <c r="H593" i="1"/>
  <c r="E594" i="1"/>
  <c r="F594" i="1"/>
  <c r="H594" i="1"/>
  <c r="E595" i="1"/>
  <c r="F595" i="1"/>
  <c r="H595" i="1"/>
  <c r="E596" i="1"/>
  <c r="F596" i="1"/>
  <c r="H596" i="1"/>
  <c r="E597" i="1"/>
  <c r="F597" i="1"/>
  <c r="H597" i="1"/>
  <c r="E598" i="1"/>
  <c r="F598" i="1"/>
  <c r="H598" i="1"/>
  <c r="E599" i="1"/>
  <c r="F599" i="1"/>
  <c r="H599" i="1"/>
  <c r="E600" i="1"/>
  <c r="F600" i="1"/>
  <c r="H600" i="1"/>
  <c r="E601" i="1"/>
  <c r="F601" i="1"/>
  <c r="H601" i="1"/>
  <c r="E602" i="1"/>
  <c r="F602" i="1"/>
  <c r="H602" i="1"/>
  <c r="E603" i="1"/>
  <c r="F603" i="1"/>
  <c r="H603" i="1"/>
  <c r="E604" i="1"/>
  <c r="F604" i="1"/>
  <c r="H604" i="1"/>
  <c r="E605" i="1"/>
  <c r="F605" i="1"/>
  <c r="H605" i="1"/>
  <c r="E606" i="1"/>
  <c r="F606" i="1"/>
  <c r="H606" i="1"/>
  <c r="E607" i="1"/>
  <c r="F607" i="1"/>
  <c r="H607" i="1"/>
  <c r="E608" i="1"/>
  <c r="F608" i="1"/>
  <c r="H608" i="1"/>
  <c r="E609" i="1"/>
  <c r="F609" i="1"/>
  <c r="H609" i="1"/>
  <c r="E610" i="1"/>
  <c r="F610" i="1"/>
  <c r="H610" i="1"/>
  <c r="E611" i="1"/>
  <c r="F611" i="1"/>
  <c r="H611" i="1"/>
  <c r="E612" i="1"/>
  <c r="F612" i="1"/>
  <c r="H612" i="1"/>
  <c r="E613" i="1"/>
  <c r="F613" i="1"/>
  <c r="H613" i="1"/>
  <c r="G614" i="1"/>
  <c r="H614" i="1"/>
  <c r="I614" i="1"/>
  <c r="E615" i="1"/>
  <c r="F615" i="1"/>
  <c r="H615" i="1"/>
  <c r="E616" i="1"/>
  <c r="F616" i="1"/>
  <c r="H616" i="1"/>
  <c r="E617" i="1"/>
  <c r="F617" i="1"/>
  <c r="H617" i="1"/>
  <c r="E618" i="1"/>
  <c r="F618" i="1"/>
  <c r="H618" i="1"/>
  <c r="E619" i="1"/>
  <c r="F619" i="1"/>
  <c r="H619" i="1"/>
  <c r="E620" i="1"/>
  <c r="F620" i="1"/>
  <c r="H620" i="1"/>
  <c r="E621" i="1"/>
  <c r="F621" i="1"/>
  <c r="H621" i="1"/>
  <c r="E622" i="1"/>
  <c r="F622" i="1"/>
  <c r="H622" i="1"/>
  <c r="E623" i="1"/>
  <c r="F623" i="1"/>
  <c r="H623" i="1"/>
  <c r="E624" i="1"/>
  <c r="F624" i="1"/>
  <c r="H624" i="1"/>
  <c r="E625" i="1"/>
  <c r="F625" i="1"/>
  <c r="H625" i="1"/>
  <c r="E626" i="1"/>
  <c r="F626" i="1"/>
  <c r="H626" i="1"/>
  <c r="E627" i="1"/>
  <c r="F627" i="1"/>
  <c r="H627" i="1"/>
  <c r="E628" i="1"/>
  <c r="F628" i="1"/>
  <c r="H628" i="1"/>
  <c r="E629" i="1"/>
  <c r="F629" i="1"/>
  <c r="H629" i="1"/>
  <c r="E630" i="1"/>
  <c r="F630" i="1"/>
  <c r="H630" i="1"/>
  <c r="E631" i="1"/>
  <c r="F631" i="1"/>
  <c r="H631" i="1"/>
  <c r="E632" i="1"/>
  <c r="F632" i="1"/>
  <c r="H632" i="1"/>
  <c r="E633" i="1"/>
  <c r="F633" i="1"/>
  <c r="H633" i="1"/>
  <c r="E634" i="1"/>
  <c r="F634" i="1"/>
  <c r="H634" i="1"/>
  <c r="E635" i="1"/>
  <c r="F635" i="1"/>
  <c r="H635" i="1"/>
  <c r="E636" i="1"/>
  <c r="F636" i="1"/>
  <c r="H636" i="1"/>
  <c r="E637" i="1"/>
  <c r="F637" i="1"/>
  <c r="H637" i="1"/>
  <c r="E638" i="1"/>
  <c r="F638" i="1"/>
  <c r="H638" i="1"/>
  <c r="E639" i="1"/>
  <c r="F639" i="1"/>
  <c r="H639" i="1"/>
  <c r="E640" i="1"/>
  <c r="F640" i="1"/>
  <c r="H640" i="1"/>
  <c r="E641" i="1"/>
  <c r="F641" i="1"/>
  <c r="H641" i="1"/>
  <c r="E642" i="1"/>
  <c r="F642" i="1"/>
  <c r="H642" i="1"/>
  <c r="E643" i="1"/>
  <c r="F643" i="1"/>
  <c r="H643" i="1"/>
  <c r="E644" i="1"/>
  <c r="F644" i="1"/>
  <c r="H644" i="1"/>
  <c r="E645" i="1"/>
  <c r="F645" i="1"/>
  <c r="H645" i="1"/>
  <c r="E646" i="1"/>
  <c r="F646" i="1"/>
  <c r="H646" i="1"/>
  <c r="E647" i="1"/>
  <c r="F647" i="1"/>
  <c r="H647" i="1"/>
  <c r="E648" i="1"/>
  <c r="F648" i="1"/>
  <c r="H648" i="1"/>
  <c r="E649" i="1"/>
  <c r="F649" i="1"/>
  <c r="H649" i="1"/>
  <c r="E650" i="1"/>
  <c r="F650" i="1"/>
  <c r="H650" i="1"/>
  <c r="E651" i="1"/>
  <c r="F651" i="1"/>
  <c r="H651" i="1"/>
  <c r="E652" i="1"/>
  <c r="F652" i="1"/>
  <c r="H652" i="1"/>
  <c r="E653" i="1"/>
  <c r="F653" i="1"/>
  <c r="H653" i="1"/>
  <c r="E654" i="1"/>
  <c r="F654" i="1"/>
  <c r="H654" i="1"/>
  <c r="E655" i="1"/>
  <c r="F655" i="1"/>
  <c r="H655" i="1"/>
  <c r="E656" i="1"/>
  <c r="F656" i="1"/>
  <c r="H656" i="1"/>
  <c r="E657" i="1"/>
  <c r="F657" i="1"/>
  <c r="H657" i="1"/>
  <c r="E658" i="1"/>
  <c r="F658" i="1"/>
  <c r="H658" i="1"/>
  <c r="E659" i="1"/>
  <c r="F659" i="1"/>
  <c r="H659" i="1"/>
  <c r="E660" i="1"/>
  <c r="F660" i="1"/>
  <c r="H660" i="1"/>
  <c r="E661" i="1"/>
  <c r="F661" i="1"/>
  <c r="H661" i="1"/>
  <c r="E662" i="1"/>
  <c r="F662" i="1"/>
  <c r="H662" i="1"/>
  <c r="E663" i="1"/>
  <c r="F663" i="1"/>
  <c r="H663" i="1"/>
  <c r="E664" i="1"/>
  <c r="F664" i="1"/>
  <c r="H664" i="1"/>
  <c r="E665" i="1"/>
  <c r="F665" i="1"/>
  <c r="H665" i="1"/>
  <c r="E666" i="1"/>
  <c r="F666" i="1"/>
  <c r="H666" i="1"/>
  <c r="E667" i="1"/>
  <c r="F667" i="1"/>
  <c r="H667" i="1"/>
  <c r="E668" i="1"/>
  <c r="F668" i="1"/>
  <c r="H668" i="1"/>
  <c r="E669" i="1"/>
  <c r="F669" i="1"/>
  <c r="H669" i="1"/>
  <c r="E670" i="1"/>
  <c r="F670" i="1"/>
  <c r="H670" i="1"/>
  <c r="E671" i="1"/>
  <c r="F671" i="1"/>
  <c r="H671" i="1"/>
  <c r="E672" i="1"/>
  <c r="F672" i="1"/>
  <c r="H672" i="1"/>
  <c r="E673" i="1"/>
  <c r="F673" i="1"/>
  <c r="H673" i="1"/>
  <c r="E674" i="1"/>
  <c r="F674" i="1"/>
  <c r="H674" i="1"/>
  <c r="E675" i="1"/>
  <c r="F675" i="1"/>
  <c r="H675" i="1"/>
  <c r="E676" i="1"/>
  <c r="F676" i="1"/>
  <c r="E677" i="1"/>
  <c r="F677" i="1"/>
  <c r="H677" i="1"/>
  <c r="E678" i="1"/>
  <c r="F678" i="1"/>
  <c r="H678" i="1"/>
  <c r="E679" i="1"/>
  <c r="F679" i="1"/>
  <c r="H679" i="1"/>
  <c r="E680" i="1"/>
  <c r="F680" i="1"/>
  <c r="H680" i="1"/>
  <c r="E681" i="1"/>
  <c r="F681" i="1"/>
  <c r="H681" i="1"/>
  <c r="E682" i="1"/>
  <c r="F682" i="1"/>
  <c r="H682" i="1"/>
  <c r="E683" i="1"/>
  <c r="F683" i="1"/>
  <c r="H683" i="1"/>
  <c r="E684" i="1"/>
  <c r="F684" i="1"/>
  <c r="H684" i="1"/>
  <c r="E685" i="1"/>
  <c r="F685" i="1"/>
  <c r="H685" i="1"/>
  <c r="E686" i="1"/>
  <c r="F686" i="1"/>
  <c r="H686" i="1"/>
  <c r="E687" i="1"/>
  <c r="F687" i="1"/>
  <c r="H687" i="1"/>
  <c r="E688" i="1"/>
  <c r="F688" i="1"/>
  <c r="H688" i="1"/>
  <c r="E689" i="1"/>
  <c r="F689" i="1"/>
  <c r="H689" i="1"/>
  <c r="E690" i="1"/>
  <c r="F690" i="1"/>
  <c r="H690" i="1"/>
  <c r="E691" i="1"/>
  <c r="F691" i="1"/>
  <c r="H691" i="1"/>
  <c r="E692" i="1"/>
  <c r="F692" i="1"/>
  <c r="H692" i="1"/>
  <c r="E693" i="1"/>
  <c r="F693" i="1"/>
  <c r="H693" i="1"/>
  <c r="E694" i="1"/>
  <c r="F694" i="1"/>
  <c r="H694" i="1"/>
  <c r="E695" i="1"/>
  <c r="F695" i="1"/>
  <c r="H695" i="1"/>
  <c r="E696" i="1"/>
  <c r="F696" i="1"/>
  <c r="H696" i="1"/>
  <c r="E697" i="1"/>
  <c r="F697" i="1"/>
  <c r="H697" i="1"/>
  <c r="E698" i="1"/>
  <c r="F698" i="1"/>
  <c r="H698" i="1"/>
  <c r="E699" i="1"/>
  <c r="F699" i="1"/>
  <c r="H699" i="1"/>
  <c r="E700" i="1"/>
  <c r="F700" i="1"/>
  <c r="H700" i="1"/>
  <c r="E701" i="1"/>
  <c r="F701" i="1"/>
  <c r="H701" i="1"/>
  <c r="E702" i="1"/>
  <c r="F702" i="1"/>
  <c r="H702" i="1"/>
  <c r="E703" i="1"/>
  <c r="F703" i="1"/>
  <c r="H703" i="1"/>
  <c r="E704" i="1"/>
  <c r="F704" i="1"/>
  <c r="H704" i="1"/>
  <c r="E705" i="1"/>
  <c r="F705" i="1"/>
  <c r="H705" i="1"/>
  <c r="E706" i="1"/>
  <c r="F706" i="1"/>
  <c r="H706" i="1"/>
  <c r="E707" i="1"/>
  <c r="F707" i="1"/>
  <c r="H707" i="1"/>
  <c r="E708" i="1"/>
  <c r="F708" i="1"/>
  <c r="H708" i="1"/>
  <c r="E709" i="1"/>
  <c r="F709" i="1"/>
  <c r="H709" i="1"/>
  <c r="E710" i="1"/>
  <c r="F710" i="1"/>
  <c r="H710" i="1"/>
  <c r="E711" i="1"/>
  <c r="F711" i="1"/>
  <c r="H711" i="1"/>
  <c r="G712" i="1"/>
  <c r="H712" i="1"/>
  <c r="I712" i="1"/>
  <c r="E713" i="1"/>
  <c r="F713" i="1"/>
  <c r="H713" i="1"/>
  <c r="E714" i="1"/>
  <c r="F714" i="1"/>
  <c r="H714" i="1"/>
  <c r="E715" i="1"/>
  <c r="F715" i="1"/>
  <c r="H715" i="1"/>
  <c r="E716" i="1"/>
  <c r="F716" i="1"/>
  <c r="H716" i="1"/>
  <c r="E717" i="1"/>
  <c r="F717" i="1"/>
  <c r="H717" i="1"/>
  <c r="E718" i="1"/>
  <c r="F718" i="1"/>
  <c r="H718" i="1"/>
  <c r="E719" i="1"/>
  <c r="F719" i="1"/>
  <c r="H719" i="1"/>
  <c r="E720" i="1"/>
  <c r="F720" i="1"/>
  <c r="H720" i="1"/>
  <c r="E721" i="1"/>
  <c r="F721" i="1"/>
  <c r="H721" i="1"/>
  <c r="E722" i="1"/>
  <c r="F722" i="1"/>
  <c r="H722" i="1"/>
  <c r="E723" i="1"/>
  <c r="F723" i="1"/>
  <c r="H723" i="1"/>
  <c r="E724" i="1"/>
  <c r="F724" i="1"/>
  <c r="H724" i="1"/>
  <c r="E725" i="1"/>
  <c r="F725" i="1"/>
  <c r="H725" i="1"/>
  <c r="E726" i="1"/>
  <c r="F726" i="1"/>
  <c r="H726" i="1"/>
  <c r="E727" i="1"/>
  <c r="F727" i="1"/>
  <c r="H727" i="1"/>
  <c r="E728" i="1"/>
  <c r="F728" i="1"/>
  <c r="H728" i="1"/>
  <c r="E729" i="1"/>
  <c r="F729" i="1"/>
  <c r="H729" i="1"/>
  <c r="E730" i="1"/>
  <c r="F730" i="1"/>
  <c r="H730" i="1"/>
  <c r="E731" i="1"/>
  <c r="F731" i="1"/>
  <c r="H731" i="1"/>
  <c r="E732" i="1"/>
  <c r="F732" i="1"/>
  <c r="H732" i="1"/>
  <c r="E733" i="1"/>
  <c r="F733" i="1"/>
  <c r="H733" i="1"/>
  <c r="E734" i="1"/>
  <c r="F734" i="1"/>
  <c r="H734" i="1"/>
  <c r="E735" i="1"/>
  <c r="F735" i="1"/>
  <c r="E736" i="1"/>
  <c r="F736" i="1"/>
  <c r="H736" i="1"/>
  <c r="E737" i="1"/>
  <c r="F737" i="1"/>
  <c r="H737" i="1"/>
  <c r="G738" i="1"/>
  <c r="H738" i="1"/>
  <c r="I738" i="1"/>
  <c r="E739" i="1"/>
  <c r="F739" i="1"/>
  <c r="H739" i="1"/>
  <c r="E740" i="1"/>
  <c r="F740" i="1"/>
  <c r="H740" i="1"/>
  <c r="E741" i="1"/>
  <c r="F741" i="1"/>
  <c r="H741" i="1"/>
  <c r="E742" i="1"/>
  <c r="F742" i="1"/>
  <c r="H742" i="1"/>
  <c r="E743" i="1"/>
  <c r="F743" i="1"/>
  <c r="H743" i="1"/>
  <c r="E744" i="1"/>
  <c r="F744" i="1"/>
  <c r="H744" i="1"/>
  <c r="E745" i="1"/>
  <c r="F745" i="1"/>
  <c r="H745" i="1"/>
  <c r="E746" i="1"/>
  <c r="F746" i="1"/>
  <c r="H746" i="1"/>
  <c r="E747" i="1"/>
  <c r="F747" i="1"/>
  <c r="H747" i="1"/>
  <c r="E748" i="1"/>
  <c r="F748" i="1"/>
  <c r="H748" i="1"/>
  <c r="E749" i="1"/>
  <c r="F749" i="1"/>
  <c r="H749" i="1"/>
  <c r="E750" i="1"/>
  <c r="F750" i="1"/>
  <c r="H750" i="1"/>
  <c r="E751" i="1"/>
  <c r="F751" i="1"/>
  <c r="H751" i="1"/>
  <c r="E752" i="1"/>
  <c r="F752" i="1"/>
  <c r="H752" i="1"/>
  <c r="E753" i="1"/>
  <c r="F753" i="1"/>
  <c r="H753" i="1"/>
  <c r="E754" i="1"/>
  <c r="F754" i="1"/>
  <c r="H754" i="1"/>
  <c r="E755" i="1"/>
  <c r="F755" i="1"/>
  <c r="H755" i="1"/>
  <c r="E756" i="1"/>
  <c r="F756" i="1"/>
  <c r="H756" i="1"/>
  <c r="E757" i="1"/>
  <c r="F757" i="1"/>
  <c r="H757" i="1"/>
  <c r="E758" i="1"/>
  <c r="F758" i="1"/>
  <c r="H758" i="1"/>
  <c r="E759" i="1"/>
  <c r="F759" i="1"/>
  <c r="H759" i="1"/>
  <c r="E760" i="1"/>
  <c r="F760" i="1"/>
  <c r="H760" i="1"/>
  <c r="E761" i="1"/>
  <c r="F761" i="1"/>
  <c r="H761" i="1"/>
  <c r="E762" i="1"/>
  <c r="F762" i="1"/>
  <c r="H762" i="1"/>
  <c r="E763" i="1"/>
  <c r="F763" i="1"/>
  <c r="H763" i="1"/>
  <c r="E764" i="1"/>
  <c r="F764" i="1"/>
  <c r="H764" i="1"/>
  <c r="E765" i="1"/>
  <c r="F765" i="1"/>
  <c r="H765" i="1"/>
  <c r="E766" i="1"/>
  <c r="F766" i="1"/>
  <c r="H766" i="1"/>
  <c r="E767" i="1"/>
  <c r="F767" i="1"/>
  <c r="H767" i="1"/>
  <c r="E768" i="1"/>
  <c r="F768" i="1"/>
  <c r="H768" i="1"/>
  <c r="E769" i="1"/>
  <c r="F769" i="1"/>
  <c r="H769" i="1"/>
  <c r="E770" i="1"/>
  <c r="F770" i="1"/>
  <c r="H770" i="1"/>
  <c r="E771" i="1"/>
  <c r="F771" i="1"/>
  <c r="H771" i="1"/>
  <c r="E772" i="1"/>
  <c r="F772" i="1"/>
  <c r="H772" i="1"/>
  <c r="E773" i="1"/>
  <c r="F773" i="1"/>
  <c r="H773" i="1"/>
  <c r="E774" i="1"/>
  <c r="F774" i="1"/>
  <c r="H774" i="1"/>
  <c r="E775" i="1"/>
  <c r="F775" i="1"/>
  <c r="H775" i="1"/>
  <c r="E776" i="1"/>
  <c r="F776" i="1"/>
  <c r="H776" i="1"/>
  <c r="E777" i="1"/>
  <c r="F777" i="1"/>
  <c r="H777" i="1"/>
  <c r="E778" i="1"/>
  <c r="F778" i="1"/>
  <c r="H778" i="1"/>
  <c r="E779" i="1"/>
  <c r="F779" i="1"/>
  <c r="H779" i="1"/>
  <c r="E780" i="1"/>
  <c r="F780" i="1"/>
  <c r="H780" i="1"/>
  <c r="E781" i="1"/>
  <c r="F781" i="1"/>
  <c r="H781" i="1"/>
  <c r="E782" i="1"/>
  <c r="F782" i="1"/>
  <c r="H782" i="1"/>
  <c r="E783" i="1"/>
  <c r="F783" i="1"/>
  <c r="H783" i="1"/>
  <c r="E784" i="1"/>
  <c r="F784" i="1"/>
  <c r="H784" i="1"/>
  <c r="E785" i="1"/>
  <c r="F785" i="1"/>
  <c r="H785" i="1"/>
  <c r="E786" i="1"/>
  <c r="F786" i="1"/>
  <c r="H786" i="1"/>
  <c r="E787" i="1"/>
  <c r="F787" i="1"/>
  <c r="H787" i="1"/>
  <c r="E788" i="1"/>
  <c r="F788" i="1"/>
  <c r="H788" i="1"/>
  <c r="E789" i="1"/>
  <c r="F789" i="1"/>
  <c r="H789" i="1"/>
  <c r="E790" i="1"/>
  <c r="F790" i="1"/>
  <c r="H790" i="1"/>
  <c r="E791" i="1"/>
  <c r="F791" i="1"/>
  <c r="H791" i="1"/>
  <c r="E792" i="1"/>
  <c r="F792" i="1"/>
  <c r="H792" i="1"/>
  <c r="E793" i="1"/>
  <c r="F793" i="1"/>
  <c r="H793" i="1"/>
  <c r="E794" i="1"/>
  <c r="F794" i="1"/>
  <c r="H794" i="1"/>
  <c r="E795" i="1"/>
  <c r="F795" i="1"/>
  <c r="H795" i="1"/>
  <c r="E796" i="1"/>
  <c r="F796" i="1"/>
  <c r="H796" i="1"/>
  <c r="E797" i="1"/>
  <c r="F797" i="1"/>
  <c r="H797" i="1"/>
  <c r="E798" i="1"/>
  <c r="F798" i="1"/>
  <c r="H798" i="1"/>
  <c r="E799" i="1"/>
  <c r="F799" i="1"/>
  <c r="H799" i="1"/>
  <c r="E800" i="1"/>
  <c r="F800" i="1"/>
  <c r="H800" i="1"/>
  <c r="E801" i="1"/>
  <c r="F801" i="1"/>
  <c r="H801" i="1"/>
  <c r="E802" i="1"/>
  <c r="F802" i="1"/>
  <c r="H802" i="1"/>
  <c r="E803" i="1"/>
  <c r="F803" i="1"/>
  <c r="H803" i="1"/>
  <c r="E804" i="1"/>
  <c r="F804" i="1"/>
  <c r="H804" i="1"/>
  <c r="E805" i="1"/>
  <c r="F805" i="1"/>
  <c r="H805" i="1"/>
  <c r="E806" i="1"/>
  <c r="F806" i="1"/>
  <c r="H806" i="1"/>
  <c r="E807" i="1"/>
  <c r="F807" i="1"/>
  <c r="H807" i="1"/>
  <c r="E808" i="1"/>
  <c r="F808" i="1"/>
  <c r="H808" i="1"/>
  <c r="E809" i="1"/>
  <c r="F809" i="1"/>
  <c r="H809" i="1"/>
  <c r="E810" i="1"/>
  <c r="F810" i="1"/>
  <c r="H810" i="1"/>
  <c r="E811" i="1"/>
  <c r="F811" i="1"/>
  <c r="H811" i="1"/>
  <c r="E812" i="1"/>
  <c r="F812" i="1"/>
  <c r="H812" i="1"/>
  <c r="E813" i="1"/>
  <c r="F813" i="1"/>
  <c r="H813" i="1"/>
  <c r="E814" i="1"/>
  <c r="F814" i="1"/>
  <c r="H814" i="1"/>
  <c r="E815" i="1"/>
  <c r="F815" i="1"/>
  <c r="H815" i="1"/>
  <c r="E816" i="1"/>
  <c r="F816" i="1"/>
  <c r="H816" i="1"/>
  <c r="E817" i="1"/>
  <c r="F817" i="1"/>
  <c r="H817" i="1"/>
  <c r="E818" i="1"/>
  <c r="F818" i="1"/>
  <c r="H818" i="1"/>
  <c r="E819" i="1"/>
  <c r="F819" i="1"/>
  <c r="H819" i="1"/>
  <c r="E820" i="1"/>
  <c r="F820" i="1"/>
  <c r="H820" i="1"/>
  <c r="E821" i="1"/>
  <c r="F821" i="1"/>
  <c r="H821" i="1"/>
  <c r="E822" i="1"/>
  <c r="F822" i="1"/>
  <c r="H822" i="1"/>
  <c r="E823" i="1"/>
  <c r="F823" i="1"/>
  <c r="H823" i="1"/>
  <c r="E824" i="1"/>
  <c r="F824" i="1"/>
  <c r="H824" i="1"/>
  <c r="E825" i="1"/>
  <c r="F825" i="1"/>
  <c r="H825" i="1"/>
  <c r="E826" i="1"/>
  <c r="F826" i="1"/>
  <c r="H826" i="1"/>
  <c r="E827" i="1"/>
  <c r="F827" i="1"/>
  <c r="H827" i="1"/>
  <c r="E828" i="1"/>
  <c r="F828" i="1"/>
  <c r="H828" i="1"/>
  <c r="E829" i="1"/>
  <c r="F829" i="1"/>
  <c r="H829" i="1"/>
  <c r="E830" i="1"/>
  <c r="F830" i="1"/>
  <c r="H830" i="1"/>
  <c r="E831" i="1"/>
  <c r="F831" i="1"/>
  <c r="H831" i="1"/>
  <c r="E832" i="1"/>
  <c r="F832" i="1"/>
  <c r="H832" i="1"/>
  <c r="E833" i="1"/>
  <c r="F833" i="1"/>
  <c r="H833" i="1"/>
  <c r="E834" i="1"/>
  <c r="F834" i="1"/>
  <c r="H834" i="1"/>
  <c r="E835" i="1"/>
  <c r="F835" i="1"/>
  <c r="H835" i="1"/>
  <c r="E836" i="1"/>
  <c r="F836" i="1"/>
  <c r="H836" i="1"/>
  <c r="E837" i="1"/>
  <c r="F837" i="1"/>
  <c r="H837" i="1"/>
  <c r="E838" i="1"/>
  <c r="F838" i="1"/>
  <c r="H838" i="1"/>
  <c r="E839" i="1"/>
  <c r="F839" i="1"/>
  <c r="H839" i="1"/>
  <c r="E840" i="1"/>
  <c r="F840" i="1"/>
  <c r="H840" i="1"/>
  <c r="E841" i="1"/>
  <c r="F841" i="1"/>
  <c r="H841" i="1"/>
  <c r="E842" i="1"/>
  <c r="F842" i="1"/>
  <c r="H842" i="1"/>
  <c r="E843" i="1"/>
  <c r="F843" i="1"/>
  <c r="H843" i="1"/>
  <c r="E844" i="1"/>
  <c r="F844" i="1"/>
  <c r="H844" i="1"/>
  <c r="E845" i="1"/>
  <c r="F845" i="1"/>
  <c r="H845" i="1"/>
  <c r="E846" i="1"/>
  <c r="F846" i="1"/>
  <c r="H846" i="1"/>
  <c r="E847" i="1"/>
  <c r="F847" i="1"/>
  <c r="H847" i="1"/>
  <c r="E848" i="1"/>
  <c r="F848" i="1"/>
  <c r="H848" i="1"/>
  <c r="E849" i="1"/>
  <c r="F849" i="1"/>
  <c r="H849" i="1"/>
  <c r="E850" i="1"/>
  <c r="F850" i="1"/>
  <c r="H850" i="1"/>
  <c r="E851" i="1"/>
  <c r="F851" i="1"/>
  <c r="H851" i="1"/>
  <c r="E852" i="1"/>
  <c r="F852" i="1"/>
  <c r="H852" i="1"/>
  <c r="E853" i="1"/>
  <c r="F853" i="1"/>
  <c r="H853" i="1"/>
  <c r="E854" i="1"/>
  <c r="F854" i="1"/>
  <c r="H854" i="1"/>
  <c r="E855" i="1"/>
  <c r="F855" i="1"/>
  <c r="H855" i="1"/>
  <c r="E856" i="1"/>
  <c r="F856" i="1"/>
  <c r="H856" i="1"/>
  <c r="E857" i="1"/>
  <c r="F857" i="1"/>
  <c r="H857" i="1"/>
  <c r="E858" i="1"/>
  <c r="F858" i="1"/>
  <c r="H858" i="1"/>
  <c r="E859" i="1"/>
  <c r="F859" i="1"/>
  <c r="H859" i="1"/>
  <c r="E860" i="1"/>
  <c r="F860" i="1"/>
  <c r="H860" i="1"/>
  <c r="E861" i="1"/>
  <c r="F861" i="1"/>
  <c r="H861" i="1"/>
  <c r="E862" i="1"/>
  <c r="F862" i="1"/>
  <c r="H862" i="1"/>
  <c r="E863" i="1"/>
  <c r="F863" i="1"/>
  <c r="H863" i="1"/>
  <c r="E864" i="1"/>
  <c r="F864" i="1"/>
  <c r="H864" i="1"/>
  <c r="E865" i="1"/>
  <c r="F865" i="1"/>
  <c r="H865" i="1"/>
  <c r="G866" i="1"/>
  <c r="H866" i="1"/>
  <c r="I866" i="1"/>
  <c r="E867" i="1"/>
  <c r="F867" i="1"/>
  <c r="H867" i="1"/>
  <c r="E868" i="1"/>
  <c r="F868" i="1"/>
  <c r="H868" i="1"/>
  <c r="E869" i="1"/>
  <c r="F869" i="1"/>
  <c r="H869" i="1"/>
  <c r="E870" i="1"/>
  <c r="F870" i="1"/>
  <c r="H870" i="1"/>
  <c r="E871" i="1"/>
  <c r="F871" i="1"/>
  <c r="H871" i="1"/>
  <c r="E872" i="1"/>
  <c r="F872" i="1"/>
  <c r="H872" i="1"/>
  <c r="E873" i="1"/>
  <c r="F873" i="1"/>
  <c r="H873" i="1"/>
  <c r="E874" i="1"/>
  <c r="F874" i="1"/>
  <c r="H874" i="1"/>
  <c r="E875" i="1"/>
  <c r="F875" i="1"/>
  <c r="H875" i="1"/>
  <c r="E876" i="1"/>
  <c r="F876" i="1"/>
  <c r="H876" i="1"/>
  <c r="E877" i="1"/>
  <c r="F877" i="1"/>
  <c r="H877" i="1"/>
  <c r="E878" i="1"/>
  <c r="F878" i="1"/>
  <c r="H878" i="1"/>
  <c r="E879" i="1"/>
  <c r="F879" i="1"/>
  <c r="H879" i="1"/>
  <c r="E880" i="1"/>
  <c r="F880" i="1"/>
  <c r="H880" i="1"/>
  <c r="E881" i="1"/>
  <c r="F881" i="1"/>
  <c r="H881" i="1"/>
  <c r="E882" i="1"/>
  <c r="F882" i="1"/>
  <c r="H882" i="1"/>
  <c r="E883" i="1"/>
  <c r="F883" i="1"/>
  <c r="H883" i="1"/>
  <c r="E884" i="1"/>
  <c r="F884" i="1"/>
  <c r="H884" i="1"/>
  <c r="E885" i="1"/>
  <c r="F885" i="1"/>
  <c r="H885" i="1"/>
  <c r="E886" i="1"/>
  <c r="F886" i="1"/>
  <c r="H886" i="1"/>
  <c r="E887" i="1"/>
  <c r="F887" i="1"/>
  <c r="H887" i="1"/>
  <c r="E888" i="1"/>
  <c r="F888" i="1"/>
  <c r="H888" i="1"/>
  <c r="E889" i="1"/>
  <c r="F889" i="1"/>
  <c r="H889" i="1"/>
  <c r="E890" i="1"/>
  <c r="F890" i="1"/>
  <c r="H890" i="1"/>
  <c r="E891" i="1"/>
  <c r="F891" i="1"/>
  <c r="H891" i="1"/>
  <c r="E892" i="1"/>
  <c r="F892" i="1"/>
  <c r="H892" i="1"/>
  <c r="E893" i="1"/>
  <c r="F893" i="1"/>
  <c r="H893" i="1"/>
  <c r="E894" i="1"/>
  <c r="F894" i="1"/>
  <c r="H894" i="1"/>
  <c r="E895" i="1"/>
  <c r="F895" i="1"/>
  <c r="H895" i="1"/>
  <c r="E896" i="1"/>
  <c r="F896" i="1"/>
  <c r="H896" i="1"/>
  <c r="E897" i="1"/>
  <c r="F897" i="1"/>
  <c r="H897" i="1"/>
  <c r="E898" i="1"/>
  <c r="F898" i="1"/>
  <c r="H898" i="1"/>
  <c r="E899" i="1"/>
  <c r="F899" i="1"/>
  <c r="H899" i="1"/>
  <c r="E900" i="1"/>
  <c r="F900" i="1"/>
  <c r="H900" i="1"/>
  <c r="E901" i="1"/>
  <c r="F901" i="1"/>
  <c r="H901" i="1"/>
  <c r="E902" i="1"/>
  <c r="F902" i="1"/>
  <c r="H902" i="1"/>
  <c r="E903" i="1"/>
  <c r="F903" i="1"/>
  <c r="H903" i="1"/>
  <c r="E904" i="1"/>
  <c r="F904" i="1"/>
  <c r="H904" i="1"/>
  <c r="E905" i="1"/>
  <c r="F905" i="1"/>
  <c r="H905" i="1"/>
  <c r="E906" i="1"/>
  <c r="F906" i="1"/>
  <c r="H906" i="1"/>
  <c r="E907" i="1"/>
  <c r="F907" i="1"/>
  <c r="H907" i="1"/>
  <c r="E908" i="1"/>
  <c r="F908" i="1"/>
  <c r="H908" i="1"/>
  <c r="E909" i="1"/>
  <c r="F909" i="1"/>
  <c r="H909" i="1"/>
  <c r="E910" i="1"/>
  <c r="F910" i="1"/>
  <c r="H910" i="1"/>
  <c r="E911" i="1"/>
  <c r="F911" i="1"/>
  <c r="H911" i="1"/>
  <c r="E912" i="1"/>
  <c r="F912" i="1"/>
  <c r="H912" i="1"/>
  <c r="E913" i="1"/>
  <c r="F913" i="1"/>
  <c r="H913" i="1"/>
  <c r="G914" i="1"/>
  <c r="H914" i="1"/>
  <c r="I914" i="1"/>
  <c r="E915" i="1"/>
  <c r="F915" i="1"/>
  <c r="H915" i="1"/>
  <c r="E916" i="1"/>
  <c r="F916" i="1"/>
  <c r="H916" i="1"/>
  <c r="E917" i="1"/>
  <c r="F917" i="1"/>
  <c r="H917" i="1"/>
  <c r="E918" i="1"/>
  <c r="F918" i="1"/>
  <c r="H918" i="1"/>
  <c r="E919" i="1"/>
  <c r="F919" i="1"/>
  <c r="H919" i="1"/>
  <c r="E920" i="1"/>
  <c r="F920" i="1"/>
  <c r="H920" i="1"/>
  <c r="E921" i="1"/>
  <c r="F921" i="1"/>
  <c r="H921" i="1"/>
  <c r="E922" i="1"/>
  <c r="F922" i="1"/>
  <c r="H922" i="1"/>
  <c r="E923" i="1"/>
  <c r="F923" i="1"/>
  <c r="H923" i="1"/>
  <c r="E924" i="1"/>
  <c r="F924" i="1"/>
  <c r="H924" i="1"/>
  <c r="E925" i="1"/>
  <c r="F925" i="1"/>
  <c r="H925" i="1"/>
  <c r="E926" i="1"/>
  <c r="F926" i="1"/>
  <c r="H926" i="1"/>
  <c r="E927" i="1"/>
  <c r="F927" i="1"/>
  <c r="H927" i="1"/>
  <c r="E928" i="1"/>
  <c r="F928" i="1"/>
  <c r="H928" i="1"/>
  <c r="E929" i="1"/>
  <c r="F929" i="1"/>
  <c r="H929" i="1"/>
  <c r="E930" i="1"/>
  <c r="F930" i="1"/>
  <c r="H930" i="1"/>
  <c r="E931" i="1"/>
  <c r="F931" i="1"/>
  <c r="H931" i="1"/>
  <c r="E932" i="1"/>
  <c r="F932" i="1"/>
  <c r="H932" i="1"/>
  <c r="E933" i="1"/>
  <c r="F933" i="1"/>
  <c r="H933" i="1"/>
  <c r="E934" i="1"/>
  <c r="F934" i="1"/>
  <c r="H934" i="1"/>
  <c r="E935" i="1"/>
  <c r="F935" i="1"/>
  <c r="H935" i="1"/>
  <c r="E936" i="1"/>
  <c r="F936" i="1"/>
  <c r="H936" i="1"/>
  <c r="E937" i="1"/>
  <c r="F937" i="1"/>
  <c r="H937" i="1"/>
  <c r="E938" i="1"/>
  <c r="F938" i="1"/>
  <c r="H938" i="1"/>
  <c r="E939" i="1"/>
  <c r="F939" i="1"/>
  <c r="H939" i="1"/>
  <c r="E940" i="1"/>
  <c r="F940" i="1"/>
  <c r="H940" i="1"/>
  <c r="E941" i="1"/>
  <c r="F941" i="1"/>
  <c r="H941" i="1"/>
  <c r="E942" i="1"/>
  <c r="F942" i="1"/>
  <c r="H942" i="1"/>
  <c r="E943" i="1"/>
  <c r="F943" i="1"/>
  <c r="H943" i="1"/>
  <c r="E944" i="1"/>
  <c r="F944" i="1"/>
  <c r="H944" i="1"/>
  <c r="E945" i="1"/>
  <c r="F945" i="1"/>
  <c r="H945" i="1"/>
  <c r="E946" i="1"/>
  <c r="F946" i="1"/>
  <c r="H946" i="1"/>
  <c r="E947" i="1"/>
  <c r="F947" i="1"/>
  <c r="H947" i="1"/>
  <c r="E948" i="1"/>
  <c r="F948" i="1"/>
  <c r="H948" i="1"/>
  <c r="E949" i="1"/>
  <c r="F949" i="1"/>
  <c r="H949" i="1"/>
  <c r="E950" i="1"/>
  <c r="F950" i="1"/>
  <c r="H950" i="1"/>
  <c r="E951" i="1"/>
  <c r="F951" i="1"/>
  <c r="H951" i="1"/>
  <c r="E952" i="1"/>
  <c r="F952" i="1"/>
  <c r="H952" i="1"/>
  <c r="E953" i="1"/>
  <c r="F953" i="1"/>
  <c r="H953" i="1"/>
  <c r="E954" i="1"/>
  <c r="F954" i="1"/>
  <c r="H954" i="1"/>
  <c r="E955" i="1"/>
  <c r="F955" i="1"/>
  <c r="H955" i="1"/>
  <c r="E956" i="1"/>
  <c r="F956" i="1"/>
  <c r="H956" i="1"/>
  <c r="E957" i="1"/>
  <c r="F957" i="1"/>
  <c r="H957" i="1"/>
  <c r="E958" i="1"/>
  <c r="F958" i="1"/>
  <c r="H958" i="1"/>
  <c r="E959" i="1"/>
  <c r="F959" i="1"/>
  <c r="H959" i="1"/>
  <c r="E960" i="1"/>
  <c r="F960" i="1"/>
  <c r="H960" i="1"/>
  <c r="E961" i="1"/>
  <c r="F961" i="1"/>
  <c r="H961" i="1"/>
  <c r="E962" i="1"/>
  <c r="F962" i="1"/>
  <c r="H962" i="1"/>
  <c r="E963" i="1"/>
  <c r="F963" i="1"/>
  <c r="H963" i="1"/>
  <c r="E964" i="1"/>
  <c r="F964" i="1"/>
  <c r="H964" i="1"/>
  <c r="E965" i="1"/>
  <c r="F965" i="1"/>
  <c r="H965" i="1"/>
  <c r="E966" i="1"/>
  <c r="F966" i="1"/>
  <c r="H966" i="1"/>
  <c r="E967" i="1"/>
  <c r="F967" i="1"/>
  <c r="H967" i="1"/>
  <c r="E968" i="1"/>
  <c r="F968" i="1"/>
  <c r="H968" i="1"/>
  <c r="E969" i="1"/>
  <c r="F969" i="1"/>
  <c r="H969" i="1"/>
  <c r="E970" i="1"/>
  <c r="F970" i="1"/>
  <c r="H970" i="1"/>
  <c r="E971" i="1"/>
  <c r="F971" i="1"/>
  <c r="H971" i="1"/>
  <c r="E972" i="1"/>
  <c r="F972" i="1"/>
  <c r="H972" i="1"/>
  <c r="E973" i="1"/>
  <c r="F973" i="1"/>
  <c r="H973" i="1"/>
  <c r="E974" i="1"/>
  <c r="F974" i="1"/>
  <c r="H974" i="1"/>
  <c r="E975" i="1"/>
  <c r="F975" i="1"/>
  <c r="H975" i="1"/>
  <c r="E976" i="1"/>
  <c r="F976" i="1"/>
  <c r="H976" i="1"/>
  <c r="E977" i="1"/>
  <c r="F977" i="1"/>
  <c r="H977" i="1"/>
  <c r="E978" i="1"/>
  <c r="F978" i="1"/>
  <c r="H978" i="1"/>
  <c r="E979" i="1"/>
  <c r="F979" i="1"/>
  <c r="H979" i="1"/>
  <c r="E980" i="1"/>
  <c r="F980" i="1"/>
  <c r="H980" i="1"/>
  <c r="E981" i="1"/>
  <c r="F981" i="1"/>
  <c r="H981" i="1"/>
  <c r="E982" i="1"/>
  <c r="F982" i="1"/>
  <c r="H982" i="1"/>
  <c r="E983" i="1"/>
  <c r="F983" i="1"/>
  <c r="H983" i="1"/>
  <c r="E984" i="1"/>
  <c r="F984" i="1"/>
  <c r="H984" i="1"/>
  <c r="E985" i="1"/>
  <c r="F985" i="1"/>
  <c r="H985" i="1"/>
  <c r="E986" i="1"/>
  <c r="F986" i="1"/>
  <c r="H986" i="1"/>
  <c r="E987" i="1"/>
  <c r="F987" i="1"/>
  <c r="H987" i="1"/>
  <c r="E988" i="1"/>
  <c r="F988" i="1"/>
  <c r="H988" i="1"/>
  <c r="E989" i="1"/>
  <c r="F989" i="1"/>
  <c r="H989" i="1"/>
  <c r="E990" i="1"/>
  <c r="F990" i="1"/>
  <c r="H990" i="1"/>
  <c r="E991" i="1"/>
  <c r="F991" i="1"/>
  <c r="H991" i="1"/>
  <c r="E992" i="1"/>
  <c r="F992" i="1"/>
  <c r="H992" i="1"/>
  <c r="E993" i="1"/>
  <c r="F993" i="1"/>
  <c r="H993" i="1"/>
  <c r="E994" i="1"/>
  <c r="F994" i="1"/>
  <c r="H994" i="1"/>
  <c r="G995" i="1"/>
  <c r="H995" i="1"/>
  <c r="I995" i="1"/>
  <c r="E996" i="1"/>
  <c r="F996" i="1"/>
  <c r="H996" i="1"/>
  <c r="E997" i="1"/>
  <c r="F997" i="1"/>
  <c r="H997" i="1"/>
  <c r="E998" i="1"/>
  <c r="F998" i="1"/>
  <c r="H998" i="1"/>
  <c r="E999" i="1"/>
  <c r="F999" i="1"/>
  <c r="H999" i="1"/>
  <c r="E1000" i="1"/>
  <c r="F1000" i="1"/>
  <c r="H1000" i="1"/>
  <c r="E1001" i="1"/>
  <c r="F1001" i="1"/>
  <c r="H1001" i="1"/>
  <c r="E1002" i="1"/>
  <c r="F1002" i="1"/>
  <c r="H1002" i="1"/>
  <c r="E1003" i="1"/>
  <c r="F1003" i="1"/>
  <c r="H1003" i="1"/>
  <c r="E1004" i="1"/>
  <c r="F1004" i="1"/>
  <c r="H1004" i="1"/>
  <c r="E1005" i="1"/>
  <c r="F1005" i="1"/>
  <c r="E1006" i="1"/>
  <c r="F1006" i="1"/>
  <c r="H1006" i="1"/>
  <c r="E1007" i="1"/>
  <c r="F1007" i="1"/>
  <c r="H1007" i="1"/>
  <c r="E1008" i="1"/>
  <c r="F1008" i="1"/>
  <c r="H1008" i="1"/>
  <c r="E1009" i="1"/>
  <c r="F1009" i="1"/>
  <c r="H1009" i="1"/>
  <c r="E1010" i="1"/>
  <c r="F1010" i="1"/>
  <c r="H1010" i="1"/>
  <c r="E1011" i="1"/>
  <c r="F1011" i="1"/>
  <c r="H1011" i="1"/>
  <c r="E1012" i="1"/>
  <c r="F1012" i="1"/>
  <c r="H1012" i="1"/>
  <c r="E1013" i="1"/>
  <c r="F1013" i="1"/>
  <c r="H1013" i="1"/>
  <c r="E1014" i="1"/>
  <c r="F1014" i="1"/>
  <c r="H1014" i="1"/>
  <c r="E1015" i="1"/>
  <c r="F1015" i="1"/>
  <c r="H1015" i="1"/>
  <c r="E1016" i="1"/>
  <c r="F1016" i="1"/>
  <c r="H1016" i="1"/>
  <c r="E1017" i="1"/>
  <c r="F1017" i="1"/>
  <c r="H1017" i="1"/>
  <c r="E1018" i="1"/>
  <c r="F1018" i="1"/>
  <c r="H1018" i="1"/>
  <c r="E1019" i="1"/>
  <c r="F1019" i="1"/>
  <c r="H1019" i="1"/>
  <c r="E1020" i="1"/>
  <c r="F1020" i="1"/>
  <c r="H1020" i="1"/>
  <c r="E1021" i="1"/>
  <c r="F1021" i="1"/>
  <c r="H1021" i="1"/>
  <c r="E1022" i="1"/>
  <c r="F1022" i="1"/>
  <c r="H1022" i="1"/>
  <c r="E1023" i="1"/>
  <c r="F1023" i="1"/>
  <c r="H1023" i="1"/>
  <c r="E1024" i="1"/>
  <c r="F1024" i="1"/>
  <c r="H1024" i="1"/>
  <c r="E1025" i="1"/>
  <c r="F1025" i="1"/>
  <c r="H1025" i="1"/>
  <c r="E1026" i="1"/>
  <c r="F1026" i="1"/>
  <c r="H1026" i="1"/>
  <c r="E1027" i="1"/>
  <c r="F1027" i="1"/>
  <c r="H1027" i="1"/>
  <c r="E1028" i="1"/>
  <c r="F1028" i="1"/>
  <c r="H1028" i="1"/>
  <c r="E1029" i="1"/>
  <c r="F1029" i="1"/>
  <c r="H1029" i="1"/>
  <c r="E1030" i="1"/>
  <c r="F1030" i="1"/>
  <c r="H1030" i="1"/>
  <c r="E1031" i="1"/>
  <c r="F1031" i="1"/>
  <c r="H1031" i="1"/>
  <c r="E1032" i="1"/>
  <c r="F1032" i="1"/>
  <c r="H1032" i="1"/>
  <c r="E1033" i="1"/>
  <c r="F1033" i="1"/>
  <c r="H1033" i="1"/>
  <c r="E1034" i="1"/>
  <c r="F1034" i="1"/>
  <c r="H1034" i="1"/>
  <c r="E1035" i="1"/>
  <c r="F1035" i="1"/>
  <c r="H1035" i="1"/>
  <c r="E1036" i="1"/>
  <c r="F1036" i="1"/>
  <c r="H1036" i="1"/>
  <c r="E1037" i="1"/>
  <c r="F1037" i="1"/>
  <c r="H1037" i="1"/>
  <c r="E1038" i="1"/>
  <c r="F1038" i="1"/>
  <c r="H1038" i="1"/>
  <c r="E1039" i="1"/>
  <c r="F1039" i="1"/>
  <c r="H1039" i="1"/>
  <c r="E1040" i="1"/>
  <c r="F1040" i="1"/>
  <c r="H1040" i="1"/>
  <c r="E1041" i="1"/>
  <c r="F1041" i="1"/>
  <c r="H1041" i="1"/>
  <c r="E1042" i="1"/>
  <c r="F1042" i="1"/>
  <c r="H1042" i="1"/>
  <c r="E1043" i="1"/>
  <c r="F1043" i="1"/>
  <c r="H1043" i="1"/>
  <c r="E1044" i="1"/>
  <c r="F1044" i="1"/>
  <c r="H1044" i="1"/>
  <c r="E1045" i="1"/>
  <c r="F1045" i="1"/>
  <c r="H1045" i="1"/>
  <c r="E1046" i="1"/>
  <c r="F1046" i="1"/>
  <c r="H1046" i="1"/>
  <c r="E1047" i="1"/>
  <c r="F1047" i="1"/>
  <c r="H1047" i="1"/>
  <c r="E1048" i="1"/>
  <c r="F1048" i="1"/>
  <c r="H1048" i="1"/>
  <c r="E1049" i="1"/>
  <c r="F1049" i="1"/>
  <c r="H1049" i="1"/>
  <c r="E1050" i="1"/>
  <c r="F1050" i="1"/>
  <c r="H1050" i="1"/>
  <c r="E1051" i="1"/>
  <c r="F1051" i="1"/>
  <c r="H1051" i="1"/>
  <c r="E1052" i="1"/>
  <c r="F1052" i="1"/>
  <c r="H1052" i="1"/>
  <c r="E1053" i="1"/>
  <c r="F1053" i="1"/>
  <c r="H1053" i="1"/>
  <c r="E1054" i="1"/>
  <c r="F1054" i="1"/>
  <c r="H1054" i="1"/>
  <c r="E1055" i="1"/>
  <c r="F1055" i="1"/>
  <c r="H1055" i="1"/>
  <c r="E1056" i="1"/>
  <c r="F1056" i="1"/>
  <c r="H1056" i="1"/>
  <c r="E1057" i="1"/>
  <c r="F1057" i="1"/>
  <c r="H1057" i="1"/>
  <c r="E1058" i="1"/>
  <c r="F1058" i="1"/>
  <c r="H1058" i="1"/>
  <c r="E1059" i="1"/>
  <c r="F1059" i="1"/>
  <c r="H1059" i="1"/>
  <c r="E1060" i="1"/>
  <c r="F1060" i="1"/>
  <c r="H1060" i="1"/>
  <c r="E1061" i="1"/>
  <c r="F1061" i="1"/>
  <c r="H1061" i="1"/>
  <c r="E1062" i="1"/>
  <c r="F1062" i="1"/>
  <c r="H1062" i="1"/>
  <c r="E1063" i="1"/>
  <c r="F1063" i="1"/>
  <c r="H1063" i="1"/>
  <c r="E1064" i="1"/>
  <c r="F1064" i="1"/>
  <c r="H1064" i="1"/>
  <c r="E1065" i="1"/>
  <c r="F1065" i="1"/>
  <c r="H1065" i="1"/>
  <c r="E1066" i="1"/>
  <c r="F1066" i="1"/>
  <c r="H1066" i="1"/>
  <c r="E1067" i="1"/>
  <c r="F1067" i="1"/>
  <c r="H1067" i="1"/>
  <c r="E1068" i="1"/>
  <c r="F1068" i="1"/>
  <c r="H1068" i="1"/>
  <c r="E1069" i="1"/>
  <c r="F1069" i="1"/>
  <c r="H1069" i="1"/>
  <c r="E1070" i="1"/>
  <c r="F1070" i="1"/>
  <c r="H1070" i="1"/>
  <c r="E1071" i="1"/>
  <c r="F1071" i="1"/>
  <c r="H1071" i="1"/>
  <c r="E1072" i="1"/>
  <c r="F1072" i="1"/>
  <c r="H1072" i="1"/>
  <c r="E1073" i="1"/>
  <c r="F1073" i="1"/>
  <c r="H1073" i="1"/>
  <c r="E1074" i="1"/>
  <c r="F1074" i="1"/>
  <c r="H1074" i="1"/>
  <c r="E1075" i="1"/>
  <c r="F1075" i="1"/>
  <c r="H1075" i="1"/>
  <c r="E1076" i="1"/>
  <c r="F1076" i="1"/>
  <c r="H1076" i="1"/>
  <c r="E1077" i="1"/>
  <c r="F1077" i="1"/>
  <c r="H1077" i="1"/>
  <c r="E1078" i="1"/>
  <c r="F1078" i="1"/>
  <c r="H1078" i="1"/>
  <c r="G1079" i="1"/>
  <c r="H1079" i="1"/>
  <c r="I1079" i="1"/>
  <c r="E1080" i="1"/>
  <c r="F1080" i="1"/>
  <c r="H1080" i="1"/>
  <c r="E1081" i="1"/>
  <c r="F1081" i="1"/>
  <c r="H1081" i="1"/>
  <c r="E1082" i="1"/>
  <c r="F1082" i="1"/>
  <c r="H1082" i="1"/>
  <c r="E1083" i="1"/>
  <c r="F1083" i="1"/>
  <c r="H1083" i="1"/>
  <c r="E1084" i="1"/>
  <c r="F1084" i="1"/>
  <c r="H1084" i="1"/>
  <c r="E1085" i="1"/>
  <c r="F1085" i="1"/>
  <c r="H1085" i="1"/>
  <c r="E1086" i="1"/>
  <c r="F1086" i="1"/>
  <c r="H1086" i="1"/>
  <c r="E1087" i="1"/>
  <c r="F1087" i="1"/>
  <c r="H1087" i="1"/>
  <c r="E1088" i="1"/>
  <c r="F1088" i="1"/>
  <c r="H1088" i="1"/>
  <c r="E1089" i="1"/>
  <c r="F1089" i="1"/>
  <c r="H1089" i="1"/>
  <c r="E1090" i="1"/>
  <c r="F1090" i="1"/>
  <c r="H1090" i="1"/>
  <c r="E1091" i="1"/>
  <c r="F1091" i="1"/>
  <c r="H1091" i="1"/>
  <c r="E1092" i="1"/>
  <c r="F1092" i="1"/>
  <c r="H1092" i="1"/>
  <c r="E1093" i="1"/>
  <c r="F1093" i="1"/>
  <c r="H1093" i="1"/>
  <c r="E1094" i="1"/>
  <c r="F1094" i="1"/>
  <c r="H1094" i="1"/>
  <c r="E1095" i="1"/>
  <c r="F1095" i="1"/>
  <c r="H1095" i="1"/>
  <c r="E1096" i="1"/>
  <c r="F1096" i="1"/>
  <c r="H1096" i="1"/>
  <c r="E1097" i="1"/>
  <c r="F1097" i="1"/>
  <c r="H1097" i="1"/>
  <c r="E1098" i="1"/>
  <c r="F1098" i="1"/>
  <c r="H1098" i="1"/>
  <c r="E1099" i="1"/>
  <c r="F1099" i="1"/>
  <c r="H1099" i="1"/>
  <c r="E1100" i="1"/>
  <c r="F1100" i="1"/>
  <c r="H1100" i="1"/>
  <c r="E1101" i="1"/>
  <c r="F1101" i="1"/>
  <c r="H1101" i="1"/>
  <c r="E1102" i="1"/>
  <c r="F1102" i="1"/>
  <c r="H1102" i="1"/>
  <c r="E1103" i="1"/>
  <c r="F1103" i="1"/>
  <c r="H1103" i="1"/>
  <c r="E1104" i="1"/>
  <c r="F1104" i="1"/>
  <c r="H1104" i="1"/>
  <c r="E1105" i="1"/>
  <c r="F1105" i="1"/>
  <c r="H1105" i="1"/>
  <c r="E1106" i="1"/>
  <c r="F1106" i="1"/>
  <c r="H1106" i="1"/>
  <c r="E1107" i="1"/>
  <c r="F1107" i="1"/>
  <c r="H1107" i="1"/>
  <c r="E1108" i="1"/>
  <c r="F1108" i="1"/>
  <c r="H1108" i="1"/>
  <c r="E1109" i="1"/>
  <c r="F1109" i="1"/>
  <c r="H1109" i="1"/>
  <c r="E1110" i="1"/>
  <c r="F1110" i="1"/>
  <c r="E1111" i="1"/>
  <c r="F1111" i="1"/>
  <c r="E1112" i="1"/>
  <c r="F1112" i="1"/>
  <c r="H1112" i="1"/>
  <c r="E1113" i="1"/>
  <c r="F1113" i="1"/>
  <c r="H1113" i="1"/>
  <c r="E1114" i="1"/>
  <c r="F1114" i="1"/>
  <c r="H1114" i="1"/>
  <c r="E1115" i="1"/>
  <c r="F1115" i="1"/>
  <c r="H1115" i="1"/>
  <c r="E1116" i="1"/>
  <c r="F1116" i="1"/>
  <c r="H1116" i="1"/>
  <c r="E1117" i="1"/>
  <c r="F1117" i="1"/>
  <c r="H1117" i="1"/>
  <c r="E1118" i="1"/>
  <c r="F1118" i="1"/>
  <c r="H1118" i="1"/>
  <c r="E1119" i="1"/>
  <c r="F1119" i="1"/>
  <c r="H1119" i="1"/>
  <c r="E1120" i="1"/>
  <c r="F1120" i="1"/>
  <c r="H1120" i="1"/>
  <c r="E1121" i="1"/>
  <c r="F1121" i="1"/>
  <c r="H1121" i="1"/>
  <c r="E1122" i="1"/>
  <c r="F1122" i="1"/>
  <c r="H1122" i="1"/>
  <c r="E1123" i="1"/>
  <c r="F1123" i="1"/>
  <c r="H1123" i="1"/>
  <c r="E1124" i="1"/>
  <c r="F1124" i="1"/>
  <c r="H1124" i="1"/>
  <c r="E1125" i="1"/>
  <c r="F1125" i="1"/>
  <c r="H1125" i="1"/>
  <c r="E1126" i="1"/>
  <c r="F1126" i="1"/>
  <c r="H1126" i="1"/>
  <c r="E1127" i="1"/>
  <c r="F1127" i="1"/>
  <c r="H1127" i="1"/>
  <c r="E1128" i="1"/>
  <c r="F1128" i="1"/>
  <c r="H1128" i="1"/>
  <c r="E1129" i="1"/>
  <c r="F1129" i="1"/>
  <c r="H1129" i="1"/>
  <c r="E1130" i="1"/>
  <c r="F1130" i="1"/>
  <c r="H1130" i="1"/>
  <c r="E1131" i="1"/>
  <c r="F1131" i="1"/>
  <c r="H1131" i="1"/>
  <c r="E1132" i="1"/>
  <c r="F1132" i="1"/>
  <c r="H1132" i="1"/>
  <c r="E1133" i="1"/>
  <c r="F1133" i="1"/>
  <c r="H1133" i="1"/>
  <c r="E1134" i="1"/>
  <c r="F1134" i="1"/>
  <c r="H1134" i="1"/>
  <c r="E1135" i="1"/>
  <c r="F1135" i="1"/>
  <c r="H1135" i="1"/>
  <c r="E1136" i="1"/>
  <c r="F1136" i="1"/>
  <c r="H1136" i="1"/>
  <c r="E1137" i="1"/>
  <c r="F1137" i="1"/>
  <c r="H1137" i="1"/>
  <c r="E1138" i="1"/>
  <c r="F1138" i="1"/>
  <c r="H1138" i="1"/>
  <c r="E1139" i="1"/>
  <c r="F1139" i="1"/>
  <c r="H1139" i="1"/>
  <c r="E1140" i="1"/>
  <c r="F1140" i="1"/>
  <c r="H1140" i="1"/>
  <c r="E1141" i="1"/>
  <c r="F1141" i="1"/>
  <c r="H1141" i="1"/>
  <c r="E1142" i="1"/>
  <c r="F1142" i="1"/>
  <c r="H1142" i="1"/>
  <c r="E1143" i="1"/>
  <c r="F1143" i="1"/>
  <c r="H1143" i="1"/>
  <c r="E1144" i="1"/>
  <c r="F1144" i="1"/>
  <c r="H1144" i="1"/>
  <c r="E1145" i="1"/>
  <c r="F1145" i="1"/>
  <c r="H1145" i="1"/>
  <c r="E1146" i="1"/>
  <c r="F1146" i="1"/>
  <c r="H1146" i="1"/>
  <c r="E1147" i="1"/>
  <c r="F1147" i="1"/>
  <c r="H1147" i="1"/>
  <c r="E1148" i="1"/>
  <c r="F1148" i="1"/>
  <c r="H1148" i="1"/>
  <c r="E1149" i="1"/>
  <c r="F1149" i="1"/>
  <c r="H1149" i="1"/>
  <c r="E1150" i="1"/>
  <c r="F1150" i="1"/>
  <c r="H1150" i="1"/>
  <c r="E1151" i="1"/>
  <c r="F1151" i="1"/>
  <c r="H1151" i="1"/>
  <c r="E1152" i="1"/>
  <c r="F1152" i="1"/>
  <c r="H1152" i="1"/>
  <c r="E1153" i="1"/>
  <c r="F1153" i="1"/>
  <c r="H1153" i="1"/>
  <c r="E1154" i="1"/>
  <c r="F1154" i="1"/>
  <c r="H1154" i="1"/>
  <c r="E1155" i="1"/>
  <c r="F1155" i="1"/>
  <c r="H1155" i="1"/>
  <c r="E1156" i="1"/>
  <c r="F1156" i="1"/>
  <c r="H1156" i="1"/>
  <c r="E1157" i="1"/>
  <c r="F1157" i="1"/>
  <c r="H1157" i="1"/>
  <c r="E1158" i="1"/>
  <c r="F1158" i="1"/>
  <c r="H1158" i="1"/>
  <c r="E1159" i="1"/>
  <c r="F1159" i="1"/>
  <c r="H1159" i="1"/>
  <c r="E1160" i="1"/>
  <c r="F1160" i="1"/>
  <c r="H1160" i="1"/>
  <c r="E1161" i="1"/>
  <c r="F1161" i="1"/>
  <c r="H1161" i="1"/>
  <c r="E1162" i="1"/>
  <c r="F1162" i="1"/>
  <c r="H1162" i="1"/>
  <c r="E1163" i="1"/>
  <c r="F1163" i="1"/>
  <c r="H1163" i="1"/>
  <c r="E1164" i="1"/>
  <c r="F1164" i="1"/>
  <c r="H1164" i="1"/>
  <c r="E1165" i="1"/>
  <c r="F1165" i="1"/>
  <c r="H1165" i="1"/>
  <c r="E1166" i="1"/>
  <c r="F1166" i="1"/>
  <c r="H1166" i="1"/>
  <c r="E1167" i="1"/>
  <c r="F1167" i="1"/>
  <c r="H1167" i="1"/>
  <c r="E1168" i="1"/>
  <c r="F1168" i="1"/>
  <c r="H1168" i="1"/>
  <c r="E1169" i="1"/>
  <c r="F1169" i="1"/>
  <c r="H1169" i="1"/>
  <c r="E1170" i="1"/>
  <c r="F1170" i="1"/>
  <c r="H1170" i="1"/>
  <c r="E1171" i="1"/>
  <c r="F1171" i="1"/>
  <c r="H1171" i="1"/>
  <c r="E1172" i="1"/>
  <c r="F1172" i="1"/>
  <c r="H1172" i="1"/>
  <c r="E1173" i="1"/>
  <c r="F1173" i="1"/>
  <c r="H1173" i="1"/>
  <c r="E1174" i="1"/>
  <c r="F1174" i="1"/>
  <c r="H1174" i="1"/>
  <c r="E1175" i="1"/>
  <c r="F1175" i="1"/>
  <c r="H1175" i="1"/>
  <c r="E1176" i="1"/>
  <c r="F1176" i="1"/>
  <c r="H1176" i="1"/>
  <c r="E1177" i="1"/>
  <c r="F1177" i="1"/>
  <c r="H1177" i="1"/>
  <c r="E1178" i="1"/>
  <c r="F1178" i="1"/>
  <c r="H1178" i="1"/>
  <c r="E1179" i="1"/>
  <c r="F1179" i="1"/>
  <c r="H1179" i="1"/>
  <c r="E1180" i="1"/>
  <c r="F1180" i="1"/>
  <c r="H1180" i="1"/>
  <c r="E1181" i="1"/>
  <c r="F1181" i="1"/>
  <c r="H1181" i="1"/>
  <c r="E1182" i="1"/>
  <c r="F1182" i="1"/>
  <c r="H1182" i="1"/>
  <c r="E1183" i="1"/>
  <c r="F1183" i="1"/>
  <c r="H1183" i="1"/>
  <c r="E1184" i="1"/>
  <c r="F1184" i="1"/>
  <c r="H1184" i="1"/>
  <c r="E1185" i="1"/>
  <c r="F1185" i="1"/>
  <c r="H1185" i="1"/>
  <c r="E1186" i="1"/>
  <c r="F1186" i="1"/>
  <c r="H1186" i="1"/>
  <c r="E1187" i="1"/>
  <c r="F1187" i="1"/>
  <c r="H1187" i="1"/>
  <c r="E1188" i="1"/>
  <c r="F1188" i="1"/>
  <c r="H1188" i="1"/>
  <c r="E1189" i="1"/>
  <c r="F1189" i="1"/>
  <c r="H1189" i="1"/>
  <c r="E1190" i="1"/>
  <c r="F1190" i="1"/>
  <c r="H1190" i="1"/>
  <c r="E1191" i="1"/>
  <c r="F1191" i="1"/>
  <c r="H1191" i="1"/>
  <c r="E1192" i="1"/>
  <c r="F1192" i="1"/>
  <c r="H1192" i="1"/>
  <c r="E1193" i="1"/>
  <c r="F1193" i="1"/>
  <c r="H1193" i="1"/>
  <c r="E1194" i="1"/>
  <c r="F1194" i="1"/>
  <c r="H1194" i="1"/>
  <c r="E1195" i="1"/>
  <c r="F1195" i="1"/>
  <c r="H1195" i="1"/>
  <c r="E1196" i="1"/>
  <c r="F1196" i="1"/>
  <c r="H1196" i="1"/>
  <c r="E1197" i="1"/>
  <c r="F1197" i="1"/>
  <c r="H1197" i="1"/>
  <c r="E1198" i="1"/>
  <c r="F1198" i="1"/>
  <c r="H1198" i="1"/>
  <c r="E1199" i="1"/>
  <c r="F1199" i="1"/>
  <c r="H1199" i="1"/>
  <c r="E1200" i="1"/>
  <c r="F1200" i="1"/>
  <c r="H1200" i="1"/>
  <c r="G1201" i="1"/>
  <c r="H1201" i="1"/>
  <c r="I1201" i="1"/>
  <c r="G1202" i="1"/>
  <c r="H1202" i="1"/>
  <c r="I1202" i="1"/>
  <c r="E1203" i="1"/>
  <c r="F1203" i="1"/>
  <c r="H1203" i="1"/>
  <c r="E1204" i="1"/>
  <c r="F1204" i="1"/>
  <c r="H1204" i="1"/>
  <c r="E1205" i="1"/>
  <c r="F1205" i="1"/>
  <c r="H1205" i="1"/>
  <c r="E1206" i="1"/>
  <c r="F1206" i="1"/>
  <c r="H1206" i="1"/>
  <c r="E1207" i="1"/>
  <c r="F1207" i="1"/>
  <c r="H1207" i="1"/>
  <c r="E1208" i="1"/>
  <c r="F1208" i="1"/>
  <c r="H1208" i="1"/>
  <c r="E1209" i="1"/>
  <c r="F1209" i="1"/>
  <c r="H1209" i="1"/>
  <c r="E1210" i="1"/>
  <c r="F1210" i="1"/>
  <c r="H1210" i="1"/>
  <c r="E1211" i="1"/>
  <c r="F1211" i="1"/>
  <c r="H1211" i="1"/>
  <c r="E1212" i="1"/>
  <c r="F1212" i="1"/>
  <c r="H1212" i="1"/>
  <c r="E1213" i="1"/>
  <c r="F1213" i="1"/>
  <c r="H1213" i="1"/>
  <c r="E1214" i="1"/>
  <c r="F1214" i="1"/>
  <c r="H1214" i="1"/>
  <c r="E1215" i="1"/>
  <c r="F1215" i="1"/>
  <c r="H1215" i="1"/>
  <c r="E1216" i="1"/>
  <c r="F1216" i="1"/>
  <c r="H1216" i="1"/>
  <c r="E1217" i="1"/>
  <c r="F1217" i="1"/>
  <c r="H1217" i="1"/>
  <c r="E1218" i="1"/>
  <c r="F1218" i="1"/>
  <c r="H1218" i="1"/>
  <c r="E1219" i="1"/>
  <c r="F1219" i="1"/>
  <c r="H1219" i="1"/>
  <c r="E1220" i="1"/>
  <c r="F1220" i="1"/>
  <c r="H1220" i="1"/>
  <c r="E1221" i="1"/>
  <c r="F1221" i="1"/>
  <c r="H1221" i="1"/>
  <c r="E1222" i="1"/>
  <c r="F1222" i="1"/>
  <c r="H1222" i="1"/>
  <c r="E1223" i="1"/>
  <c r="F1223" i="1"/>
  <c r="H1223" i="1"/>
  <c r="E1224" i="1"/>
  <c r="F1224" i="1"/>
  <c r="H1224" i="1"/>
  <c r="E1225" i="1"/>
  <c r="F1225" i="1"/>
  <c r="H1225" i="1"/>
  <c r="E1226" i="1"/>
  <c r="F1226" i="1"/>
  <c r="H1226" i="1"/>
  <c r="E1227" i="1"/>
  <c r="F1227" i="1"/>
  <c r="H1227" i="1"/>
  <c r="E1228" i="1"/>
  <c r="F1228" i="1"/>
  <c r="H1228" i="1"/>
  <c r="E1229" i="1"/>
  <c r="F1229" i="1"/>
  <c r="H1229" i="1"/>
  <c r="E1230" i="1"/>
  <c r="F1230" i="1"/>
  <c r="H1230" i="1"/>
  <c r="E1231" i="1"/>
  <c r="F1231" i="1"/>
  <c r="H1231" i="1"/>
  <c r="E1232" i="1"/>
  <c r="F1232" i="1"/>
  <c r="H1232" i="1"/>
  <c r="E1233" i="1"/>
  <c r="F1233" i="1"/>
  <c r="H1233" i="1"/>
  <c r="E1234" i="1"/>
  <c r="F1234" i="1"/>
  <c r="H1234" i="1"/>
  <c r="E1235" i="1"/>
  <c r="F1235" i="1"/>
  <c r="H1235" i="1"/>
  <c r="E1236" i="1"/>
  <c r="F1236" i="1"/>
  <c r="H1236" i="1"/>
  <c r="E1237" i="1"/>
  <c r="F1237" i="1"/>
  <c r="H1237" i="1"/>
  <c r="E1238" i="1"/>
  <c r="F1238" i="1"/>
  <c r="H1238" i="1"/>
  <c r="E1239" i="1"/>
  <c r="F1239" i="1"/>
  <c r="H1239" i="1"/>
  <c r="E1240" i="1"/>
  <c r="F1240" i="1"/>
  <c r="H1240" i="1"/>
  <c r="E1241" i="1"/>
  <c r="F1241" i="1"/>
  <c r="H1241" i="1"/>
  <c r="E1242" i="1"/>
  <c r="F1242" i="1"/>
  <c r="H1242" i="1"/>
  <c r="E1243" i="1"/>
  <c r="F1243" i="1"/>
  <c r="H1243" i="1"/>
  <c r="E1244" i="1"/>
  <c r="F1244" i="1"/>
  <c r="H1244" i="1"/>
  <c r="E1245" i="1"/>
  <c r="F1245" i="1"/>
  <c r="H1245" i="1"/>
  <c r="E1246" i="1"/>
  <c r="F1246" i="1"/>
  <c r="H1246" i="1"/>
  <c r="E1247" i="1"/>
  <c r="F1247" i="1"/>
  <c r="H1247" i="1"/>
  <c r="E1248" i="1"/>
  <c r="F1248" i="1"/>
  <c r="H1248" i="1"/>
  <c r="E1249" i="1"/>
  <c r="F1249" i="1"/>
  <c r="H1249" i="1"/>
  <c r="E1250" i="1"/>
  <c r="F1250" i="1"/>
  <c r="H1250" i="1"/>
  <c r="E1251" i="1"/>
  <c r="F1251" i="1"/>
  <c r="H1251" i="1"/>
  <c r="E1252" i="1"/>
  <c r="F1252" i="1"/>
  <c r="H1252" i="1"/>
  <c r="E1253" i="1"/>
  <c r="F1253" i="1"/>
  <c r="H1253" i="1"/>
  <c r="E1254" i="1"/>
  <c r="F1254" i="1"/>
  <c r="H1254" i="1"/>
  <c r="E1255" i="1"/>
  <c r="F1255" i="1"/>
  <c r="H1255" i="1"/>
  <c r="E1256" i="1"/>
  <c r="F1256" i="1"/>
  <c r="H1256" i="1"/>
  <c r="E1257" i="1"/>
  <c r="F1257" i="1"/>
  <c r="H1257" i="1"/>
  <c r="E1258" i="1"/>
  <c r="F1258" i="1"/>
  <c r="H1258" i="1"/>
  <c r="E1259" i="1"/>
  <c r="F1259" i="1"/>
  <c r="H1259" i="1"/>
  <c r="E1260" i="1"/>
  <c r="F1260" i="1"/>
  <c r="H1260" i="1"/>
  <c r="E1261" i="1"/>
  <c r="F1261" i="1"/>
  <c r="H1261" i="1"/>
  <c r="E1262" i="1"/>
  <c r="F1262" i="1"/>
  <c r="H1262" i="1"/>
  <c r="E1263" i="1"/>
  <c r="F1263" i="1"/>
  <c r="H1263" i="1"/>
  <c r="E1264" i="1"/>
  <c r="F1264" i="1"/>
  <c r="H1264" i="1"/>
  <c r="E1265" i="1"/>
  <c r="F1265" i="1"/>
  <c r="H1265" i="1"/>
  <c r="E1266" i="1"/>
  <c r="F1266" i="1"/>
  <c r="H1266" i="1"/>
  <c r="E1267" i="1"/>
  <c r="F1267" i="1"/>
  <c r="H1267" i="1"/>
  <c r="E1268" i="1"/>
  <c r="F1268" i="1"/>
  <c r="H1268" i="1"/>
  <c r="E1269" i="1"/>
  <c r="F1269" i="1"/>
  <c r="H1269" i="1"/>
  <c r="E1270" i="1"/>
  <c r="F1270" i="1"/>
  <c r="H1270" i="1"/>
  <c r="E1271" i="1"/>
  <c r="F1271" i="1"/>
  <c r="H1271" i="1"/>
  <c r="E1272" i="1"/>
  <c r="F1272" i="1"/>
  <c r="H1272" i="1"/>
  <c r="E1273" i="1"/>
  <c r="F1273" i="1"/>
  <c r="H1273" i="1"/>
  <c r="E1274" i="1"/>
  <c r="F1274" i="1"/>
  <c r="H1274" i="1"/>
  <c r="E1275" i="1"/>
  <c r="F1275" i="1"/>
  <c r="H1275" i="1"/>
  <c r="E1276" i="1"/>
  <c r="F1276" i="1"/>
  <c r="H1276" i="1"/>
  <c r="E1277" i="1"/>
  <c r="F1277" i="1"/>
  <c r="H1277" i="1"/>
  <c r="E1278" i="1"/>
  <c r="F1278" i="1"/>
  <c r="H1278" i="1"/>
  <c r="E1279" i="1"/>
  <c r="F1279" i="1"/>
  <c r="H1279" i="1"/>
  <c r="E1280" i="1"/>
  <c r="F1280" i="1"/>
  <c r="H1280" i="1"/>
  <c r="E1281" i="1"/>
  <c r="F1281" i="1"/>
  <c r="H1281" i="1"/>
  <c r="E1282" i="1"/>
  <c r="F1282" i="1"/>
  <c r="H1282" i="1"/>
  <c r="E1283" i="1"/>
  <c r="F1283" i="1"/>
  <c r="H1283" i="1"/>
  <c r="E1284" i="1"/>
  <c r="F1284" i="1"/>
  <c r="H1284" i="1"/>
  <c r="E1285" i="1"/>
  <c r="F1285" i="1"/>
  <c r="H1285" i="1"/>
  <c r="E1286" i="1"/>
  <c r="F1286" i="1"/>
  <c r="H1286" i="1"/>
  <c r="E1287" i="1"/>
  <c r="F1287" i="1"/>
  <c r="H1287" i="1"/>
  <c r="E1288" i="1"/>
  <c r="F1288" i="1"/>
  <c r="H1288" i="1"/>
  <c r="E1289" i="1"/>
  <c r="F1289" i="1"/>
  <c r="H1289" i="1"/>
  <c r="E1290" i="1"/>
  <c r="F1290" i="1"/>
  <c r="H1290" i="1"/>
  <c r="E1291" i="1"/>
  <c r="F1291" i="1"/>
  <c r="H1291" i="1"/>
  <c r="E1292" i="1"/>
  <c r="F1292" i="1"/>
  <c r="H1292" i="1"/>
  <c r="E1293" i="1"/>
  <c r="F1293" i="1"/>
  <c r="H1293" i="1"/>
  <c r="E1294" i="1"/>
  <c r="F1294" i="1"/>
  <c r="H1294" i="1"/>
  <c r="E1295" i="1"/>
  <c r="F1295" i="1"/>
  <c r="H1295" i="1"/>
  <c r="E1296" i="1"/>
  <c r="F1296" i="1"/>
  <c r="H1296" i="1"/>
  <c r="E1297" i="1"/>
  <c r="F1297" i="1"/>
  <c r="H1297" i="1"/>
  <c r="E1298" i="1"/>
  <c r="F1298" i="1"/>
  <c r="H1298" i="1"/>
  <c r="E1299" i="1"/>
  <c r="F1299" i="1"/>
  <c r="H1299" i="1"/>
  <c r="E1300" i="1"/>
  <c r="F1300" i="1"/>
  <c r="H1300" i="1"/>
  <c r="E1301" i="1"/>
  <c r="F1301" i="1"/>
  <c r="H1301" i="1"/>
  <c r="E1302" i="1"/>
  <c r="F1302" i="1"/>
  <c r="H1302" i="1"/>
  <c r="E1303" i="1"/>
  <c r="F1303" i="1"/>
  <c r="H1303" i="1"/>
  <c r="E1304" i="1"/>
  <c r="F1304" i="1"/>
  <c r="H1304" i="1"/>
  <c r="E1305" i="1"/>
  <c r="F1305" i="1"/>
  <c r="H1305" i="1"/>
  <c r="E1306" i="1"/>
  <c r="F1306" i="1"/>
  <c r="H1306" i="1"/>
  <c r="E1307" i="1"/>
  <c r="F1307" i="1"/>
  <c r="H1307" i="1"/>
  <c r="E1308" i="1"/>
  <c r="F1308" i="1"/>
  <c r="H1308" i="1"/>
  <c r="E1309" i="1"/>
  <c r="F1309" i="1"/>
  <c r="H1309" i="1"/>
  <c r="E1310" i="1"/>
  <c r="F1310" i="1"/>
  <c r="H1310" i="1"/>
  <c r="E1311" i="1"/>
  <c r="F1311" i="1"/>
  <c r="H1311" i="1"/>
  <c r="E1312" i="1"/>
  <c r="F1312" i="1"/>
  <c r="H1312" i="1"/>
  <c r="E1313" i="1"/>
  <c r="F1313" i="1"/>
  <c r="H1313" i="1"/>
  <c r="E1314" i="1"/>
  <c r="F1314" i="1"/>
  <c r="H1314" i="1"/>
  <c r="E1315" i="1"/>
  <c r="F1315" i="1"/>
  <c r="H1315" i="1"/>
  <c r="E1316" i="1"/>
  <c r="F1316" i="1"/>
  <c r="H1316" i="1"/>
  <c r="E1317" i="1"/>
  <c r="F1317" i="1"/>
  <c r="H1317" i="1"/>
  <c r="E1318" i="1"/>
  <c r="F1318" i="1"/>
  <c r="H1318" i="1"/>
  <c r="E1319" i="1"/>
  <c r="F1319" i="1"/>
  <c r="H1319" i="1"/>
  <c r="E1320" i="1"/>
  <c r="F1320" i="1"/>
  <c r="H1320" i="1"/>
  <c r="E1321" i="1"/>
  <c r="F1321" i="1"/>
  <c r="H1321" i="1"/>
  <c r="E1322" i="1"/>
  <c r="F1322" i="1"/>
  <c r="H1322" i="1"/>
  <c r="E1323" i="1"/>
  <c r="F1323" i="1"/>
  <c r="H1323" i="1"/>
  <c r="E1324" i="1"/>
  <c r="F1324" i="1"/>
  <c r="H1324" i="1"/>
  <c r="E1325" i="1"/>
  <c r="F1325" i="1"/>
  <c r="H1325" i="1"/>
  <c r="E1326" i="1"/>
  <c r="F1326" i="1"/>
  <c r="H1326" i="1"/>
  <c r="E1327" i="1"/>
  <c r="F1327" i="1"/>
  <c r="H1327" i="1"/>
  <c r="E1328" i="1"/>
  <c r="F1328" i="1"/>
  <c r="H1328" i="1"/>
  <c r="E1329" i="1"/>
  <c r="F1329" i="1"/>
  <c r="H1329" i="1"/>
  <c r="E1330" i="1"/>
  <c r="F1330" i="1"/>
  <c r="H1330" i="1"/>
  <c r="E1331" i="1"/>
  <c r="F1331" i="1"/>
  <c r="H1331" i="1"/>
  <c r="E1332" i="1"/>
  <c r="F1332" i="1"/>
  <c r="H1332" i="1"/>
  <c r="E1333" i="1"/>
  <c r="F1333" i="1"/>
  <c r="H1333" i="1"/>
  <c r="E1334" i="1"/>
  <c r="F1334" i="1"/>
  <c r="H1334" i="1"/>
  <c r="E1335" i="1"/>
  <c r="F1335" i="1"/>
  <c r="H1335" i="1"/>
  <c r="E1336" i="1"/>
  <c r="F1336" i="1"/>
  <c r="H1336" i="1"/>
  <c r="E1337" i="1"/>
  <c r="F1337" i="1"/>
  <c r="H1337" i="1"/>
  <c r="E1338" i="1"/>
  <c r="F1338" i="1"/>
  <c r="H1338" i="1"/>
  <c r="E1339" i="1"/>
  <c r="F1339" i="1"/>
  <c r="H1339" i="1"/>
  <c r="E1340" i="1"/>
  <c r="F1340" i="1"/>
  <c r="H1340" i="1"/>
  <c r="E1341" i="1"/>
  <c r="F1341" i="1"/>
  <c r="H1341" i="1"/>
  <c r="E1342" i="1"/>
  <c r="F1342" i="1"/>
  <c r="H1342" i="1"/>
  <c r="E1343" i="1"/>
  <c r="F1343" i="1"/>
  <c r="H1343" i="1"/>
  <c r="E1344" i="1"/>
  <c r="F1344" i="1"/>
  <c r="H1344" i="1"/>
  <c r="E1345" i="1"/>
  <c r="F1345" i="1"/>
  <c r="H1345" i="1"/>
  <c r="E1346" i="1"/>
  <c r="F1346" i="1"/>
  <c r="H1346" i="1"/>
  <c r="E1347" i="1"/>
  <c r="F1347" i="1"/>
  <c r="H1347" i="1"/>
  <c r="E1348" i="1"/>
  <c r="F1348" i="1"/>
  <c r="H1348" i="1"/>
  <c r="E1349" i="1"/>
  <c r="F1349" i="1"/>
  <c r="H1349" i="1"/>
  <c r="E1350" i="1"/>
  <c r="F1350" i="1"/>
  <c r="H1350" i="1"/>
  <c r="E1351" i="1"/>
  <c r="F1351" i="1"/>
  <c r="H1351" i="1"/>
  <c r="E1352" i="1"/>
  <c r="F1352" i="1"/>
  <c r="H1352" i="1"/>
  <c r="E1353" i="1"/>
  <c r="F1353" i="1"/>
  <c r="H1353" i="1"/>
  <c r="E1354" i="1"/>
  <c r="F1354" i="1"/>
  <c r="H1354" i="1"/>
  <c r="E1355" i="1"/>
  <c r="F1355" i="1"/>
  <c r="H1355" i="1"/>
  <c r="E1356" i="1"/>
  <c r="F1356" i="1"/>
  <c r="H1356" i="1"/>
  <c r="E1357" i="1"/>
  <c r="F1357" i="1"/>
  <c r="H1357" i="1"/>
  <c r="E1358" i="1"/>
  <c r="F1358" i="1"/>
  <c r="H1358" i="1"/>
  <c r="E1359" i="1"/>
  <c r="F1359" i="1"/>
  <c r="H1359" i="1"/>
  <c r="E1360" i="1"/>
  <c r="F1360" i="1"/>
  <c r="H1360" i="1"/>
  <c r="E1361" i="1"/>
  <c r="F1361" i="1"/>
  <c r="H1361" i="1"/>
  <c r="E1362" i="1"/>
  <c r="F1362" i="1"/>
  <c r="H1362" i="1"/>
  <c r="E1363" i="1"/>
  <c r="F1363" i="1"/>
  <c r="H1363" i="1"/>
  <c r="E1364" i="1"/>
  <c r="F1364" i="1"/>
  <c r="H1364" i="1"/>
  <c r="E1365" i="1"/>
  <c r="F1365" i="1"/>
  <c r="H1365" i="1"/>
  <c r="E1366" i="1"/>
  <c r="F1366" i="1"/>
  <c r="H1366" i="1"/>
  <c r="E1367" i="1"/>
  <c r="F1367" i="1"/>
  <c r="H1367" i="1"/>
  <c r="E1368" i="1"/>
  <c r="F1368" i="1"/>
  <c r="H1368" i="1"/>
  <c r="E1369" i="1"/>
  <c r="F1369" i="1"/>
  <c r="H1369" i="1"/>
  <c r="E1370" i="1"/>
  <c r="F1370" i="1"/>
  <c r="H1370" i="1"/>
  <c r="E1371" i="1"/>
  <c r="F1371" i="1"/>
  <c r="H1371" i="1"/>
  <c r="E1372" i="1"/>
  <c r="F1372" i="1"/>
  <c r="H1372" i="1"/>
  <c r="E1373" i="1"/>
  <c r="F1373" i="1"/>
  <c r="H1373" i="1"/>
  <c r="E1374" i="1"/>
  <c r="F1374" i="1"/>
  <c r="H1374" i="1"/>
  <c r="E1375" i="1"/>
  <c r="F1375" i="1"/>
  <c r="H1375" i="1"/>
  <c r="E1376" i="1"/>
  <c r="F1376" i="1"/>
  <c r="H1376" i="1"/>
  <c r="E1377" i="1"/>
  <c r="F1377" i="1"/>
  <c r="H1377" i="1"/>
  <c r="E1378" i="1"/>
  <c r="F1378" i="1"/>
  <c r="H1378" i="1"/>
  <c r="E1379" i="1"/>
  <c r="F1379" i="1"/>
  <c r="H1379" i="1"/>
  <c r="E1380" i="1"/>
  <c r="F1380" i="1"/>
  <c r="H1380" i="1"/>
  <c r="E1381" i="1"/>
  <c r="F1381" i="1"/>
  <c r="H1381" i="1"/>
  <c r="E1382" i="1"/>
  <c r="F1382" i="1"/>
  <c r="H1382" i="1"/>
  <c r="E1383" i="1"/>
  <c r="F1383" i="1"/>
  <c r="H1383" i="1"/>
  <c r="E1384" i="1"/>
  <c r="F1384" i="1"/>
  <c r="H1384" i="1"/>
  <c r="E1385" i="1"/>
  <c r="F1385" i="1"/>
  <c r="H1385" i="1"/>
  <c r="E1386" i="1"/>
  <c r="F1386" i="1"/>
  <c r="H1386" i="1"/>
  <c r="E1387" i="1"/>
  <c r="F1387" i="1"/>
  <c r="H1387" i="1"/>
  <c r="E1388" i="1"/>
  <c r="F1388" i="1"/>
  <c r="H1388" i="1"/>
  <c r="E1389" i="1"/>
  <c r="F1389" i="1"/>
  <c r="H1389" i="1"/>
  <c r="E1390" i="1"/>
  <c r="F1390" i="1"/>
  <c r="H1390" i="1"/>
  <c r="E1391" i="1"/>
  <c r="F1391" i="1"/>
  <c r="H1391" i="1"/>
  <c r="E1392" i="1"/>
  <c r="F1392" i="1"/>
  <c r="H1392" i="1"/>
  <c r="E1393" i="1"/>
  <c r="F1393" i="1"/>
  <c r="H1393" i="1"/>
  <c r="E1394" i="1"/>
  <c r="F1394" i="1"/>
  <c r="H1394" i="1"/>
  <c r="E1395" i="1"/>
  <c r="F1395" i="1"/>
  <c r="H1395" i="1"/>
  <c r="E1396" i="1"/>
  <c r="F1396" i="1"/>
  <c r="H1396" i="1"/>
  <c r="E1397" i="1"/>
  <c r="F1397" i="1"/>
  <c r="H1397" i="1"/>
  <c r="E1398" i="1"/>
  <c r="F1398" i="1"/>
  <c r="H1398" i="1"/>
  <c r="E1399" i="1"/>
  <c r="F1399" i="1"/>
  <c r="H1399" i="1"/>
  <c r="E1400" i="1"/>
  <c r="F1400" i="1"/>
  <c r="H1400" i="1"/>
  <c r="E1401" i="1"/>
  <c r="F1401" i="1"/>
  <c r="H1401" i="1"/>
  <c r="E1402" i="1"/>
  <c r="F1402" i="1"/>
  <c r="H1402" i="1"/>
  <c r="E1403" i="1"/>
  <c r="F1403" i="1"/>
  <c r="H1403" i="1"/>
  <c r="E1404" i="1"/>
  <c r="F1404" i="1"/>
  <c r="H1404" i="1"/>
  <c r="E1405" i="1"/>
  <c r="F1405" i="1"/>
  <c r="H1405" i="1"/>
  <c r="E1406" i="1"/>
  <c r="F1406" i="1"/>
  <c r="H1406" i="1"/>
  <c r="E1407" i="1"/>
  <c r="F1407" i="1"/>
  <c r="H1407" i="1"/>
  <c r="E1408" i="1"/>
  <c r="F1408" i="1"/>
  <c r="H1408" i="1"/>
  <c r="E1409" i="1"/>
  <c r="F1409" i="1"/>
  <c r="H1409" i="1"/>
  <c r="E1410" i="1"/>
  <c r="F1410" i="1"/>
  <c r="H1410" i="1"/>
  <c r="E1411" i="1"/>
  <c r="F1411" i="1"/>
  <c r="H1411" i="1"/>
  <c r="E1412" i="1"/>
  <c r="F1412" i="1"/>
  <c r="H1412" i="1"/>
  <c r="E1413" i="1"/>
  <c r="F1413" i="1"/>
  <c r="H1413" i="1"/>
  <c r="E1414" i="1"/>
  <c r="F1414" i="1"/>
  <c r="H1414" i="1"/>
  <c r="E1415" i="1"/>
  <c r="F1415" i="1"/>
  <c r="H1415" i="1"/>
  <c r="E1416" i="1"/>
  <c r="F1416" i="1"/>
  <c r="H1416" i="1"/>
  <c r="E1417" i="1"/>
  <c r="F1417" i="1"/>
  <c r="H1417" i="1"/>
  <c r="E1418" i="1"/>
  <c r="F1418" i="1"/>
  <c r="H1418" i="1"/>
  <c r="E1419" i="1"/>
  <c r="F1419" i="1"/>
  <c r="H1419" i="1"/>
  <c r="E1420" i="1"/>
  <c r="F1420" i="1"/>
  <c r="H1420" i="1"/>
  <c r="E1421" i="1"/>
  <c r="F1421" i="1"/>
  <c r="H1421" i="1"/>
  <c r="E1422" i="1"/>
  <c r="F1422" i="1"/>
  <c r="H1422" i="1"/>
  <c r="E1423" i="1"/>
  <c r="F1423" i="1"/>
  <c r="H1423" i="1"/>
  <c r="E1424" i="1"/>
  <c r="F1424" i="1"/>
  <c r="H1424" i="1"/>
  <c r="E1425" i="1"/>
  <c r="F1425" i="1"/>
  <c r="H1425" i="1"/>
  <c r="E1426" i="1"/>
  <c r="F1426" i="1"/>
  <c r="H1426" i="1"/>
  <c r="E1427" i="1"/>
  <c r="F1427" i="1"/>
  <c r="H1427" i="1"/>
  <c r="E1428" i="1"/>
  <c r="F1428" i="1"/>
  <c r="H1428" i="1"/>
  <c r="E1429" i="1"/>
  <c r="F1429" i="1"/>
  <c r="H1429" i="1"/>
  <c r="E1430" i="1"/>
  <c r="F1430" i="1"/>
  <c r="H1430" i="1"/>
  <c r="E1431" i="1"/>
  <c r="F1431" i="1"/>
  <c r="H1431" i="1"/>
  <c r="E1432" i="1"/>
  <c r="F1432" i="1"/>
  <c r="H1432" i="1"/>
  <c r="E1433" i="1"/>
  <c r="F1433" i="1"/>
  <c r="H1433" i="1"/>
  <c r="E1434" i="1"/>
  <c r="F1434" i="1"/>
  <c r="H1434" i="1"/>
  <c r="E1435" i="1"/>
  <c r="F1435" i="1"/>
  <c r="H1435" i="1"/>
  <c r="E1436" i="1"/>
  <c r="F1436" i="1"/>
  <c r="H1436" i="1"/>
  <c r="E1437" i="1"/>
  <c r="F1437" i="1"/>
  <c r="H1437" i="1"/>
  <c r="E1438" i="1"/>
  <c r="F1438" i="1"/>
  <c r="H1438" i="1"/>
  <c r="E1439" i="1"/>
  <c r="F1439" i="1"/>
  <c r="H1439" i="1"/>
  <c r="E1440" i="1"/>
  <c r="F1440" i="1"/>
  <c r="H1440" i="1"/>
  <c r="E1441" i="1"/>
  <c r="F1441" i="1"/>
  <c r="H1441" i="1"/>
  <c r="E1442" i="1"/>
  <c r="F1442" i="1"/>
  <c r="H1442" i="1"/>
  <c r="E1443" i="1"/>
  <c r="F1443" i="1"/>
  <c r="H1443" i="1"/>
  <c r="E1444" i="1"/>
  <c r="F1444" i="1"/>
  <c r="H1444" i="1"/>
  <c r="E1445" i="1"/>
  <c r="F1445" i="1"/>
  <c r="H1445" i="1"/>
  <c r="E1446" i="1"/>
  <c r="F1446" i="1"/>
  <c r="H1446" i="1"/>
  <c r="E1447" i="1"/>
  <c r="F1447" i="1"/>
  <c r="H1447" i="1"/>
  <c r="E1448" i="1"/>
  <c r="F1448" i="1"/>
  <c r="H1448" i="1"/>
  <c r="E1449" i="1"/>
  <c r="F1449" i="1"/>
  <c r="H1449" i="1"/>
  <c r="E1450" i="1"/>
  <c r="F1450" i="1"/>
  <c r="H1450" i="1"/>
  <c r="E1451" i="1"/>
  <c r="F1451" i="1"/>
  <c r="H1451" i="1"/>
  <c r="E1452" i="1"/>
  <c r="F1452" i="1"/>
  <c r="H1452" i="1"/>
  <c r="E1453" i="1"/>
  <c r="F1453" i="1"/>
  <c r="H1453" i="1"/>
  <c r="E1454" i="1"/>
  <c r="F1454" i="1"/>
  <c r="H1454" i="1"/>
  <c r="E1455" i="1"/>
  <c r="F1455" i="1"/>
  <c r="H1455" i="1"/>
  <c r="E1456" i="1"/>
  <c r="F1456" i="1"/>
  <c r="H1456" i="1"/>
  <c r="E1457" i="1"/>
  <c r="F1457" i="1"/>
  <c r="H1457" i="1"/>
  <c r="E1458" i="1"/>
  <c r="F1458" i="1"/>
  <c r="H1458" i="1"/>
  <c r="E1459" i="1"/>
  <c r="F1459" i="1"/>
  <c r="H1459" i="1"/>
  <c r="E1460" i="1"/>
  <c r="F1460" i="1"/>
  <c r="H1460" i="1"/>
  <c r="E1461" i="1"/>
  <c r="F1461" i="1"/>
  <c r="H1461" i="1"/>
  <c r="E1462" i="1"/>
  <c r="F1462" i="1"/>
  <c r="H1462" i="1"/>
  <c r="E1463" i="1"/>
  <c r="F1463" i="1"/>
  <c r="H1463" i="1"/>
  <c r="E1464" i="1"/>
  <c r="F1464" i="1"/>
  <c r="H1464" i="1"/>
  <c r="E1465" i="1"/>
  <c r="F1465" i="1"/>
  <c r="H1465" i="1"/>
  <c r="E1466" i="1"/>
  <c r="F1466" i="1"/>
  <c r="H1466" i="1"/>
  <c r="E1467" i="1"/>
  <c r="F1467" i="1"/>
  <c r="H1467" i="1"/>
  <c r="E1468" i="1"/>
  <c r="F1468" i="1"/>
  <c r="H1468" i="1"/>
  <c r="E1469" i="1"/>
  <c r="F1469" i="1"/>
  <c r="H1469" i="1"/>
  <c r="E1470" i="1"/>
  <c r="F1470" i="1"/>
  <c r="H1470" i="1"/>
  <c r="E1471" i="1"/>
  <c r="F1471" i="1"/>
  <c r="H1471" i="1"/>
  <c r="E1472" i="1"/>
  <c r="F1472" i="1"/>
  <c r="H1472" i="1"/>
  <c r="E1473" i="1"/>
  <c r="F1473" i="1"/>
  <c r="H1473" i="1"/>
  <c r="E1474" i="1"/>
  <c r="F1474" i="1"/>
  <c r="H1474" i="1"/>
  <c r="E1475" i="1"/>
  <c r="F1475" i="1"/>
  <c r="H1475" i="1"/>
  <c r="E1476" i="1"/>
  <c r="F1476" i="1"/>
  <c r="H1476" i="1"/>
  <c r="E1477" i="1"/>
  <c r="F1477" i="1"/>
  <c r="H1477" i="1"/>
  <c r="E1478" i="1"/>
  <c r="F1478" i="1"/>
  <c r="H1478" i="1"/>
  <c r="E1479" i="1"/>
  <c r="F1479" i="1"/>
  <c r="H1479" i="1"/>
  <c r="E1480" i="1"/>
  <c r="F1480" i="1"/>
  <c r="H1480" i="1"/>
  <c r="E1481" i="1"/>
  <c r="F1481" i="1"/>
  <c r="H1481" i="1"/>
  <c r="E1482" i="1"/>
  <c r="F1482" i="1"/>
  <c r="H1482" i="1"/>
  <c r="E1483" i="1"/>
  <c r="F1483" i="1"/>
  <c r="H1483" i="1"/>
  <c r="E1484" i="1"/>
  <c r="F1484" i="1"/>
  <c r="H1484" i="1"/>
  <c r="E1485" i="1"/>
  <c r="F1485" i="1"/>
  <c r="H1485" i="1"/>
  <c r="E1486" i="1"/>
  <c r="F1486" i="1"/>
  <c r="H1486" i="1"/>
  <c r="E1487" i="1"/>
  <c r="F1487" i="1"/>
  <c r="H1487" i="1"/>
  <c r="E1488" i="1"/>
  <c r="F1488" i="1"/>
  <c r="H1488" i="1"/>
  <c r="E1489" i="1"/>
  <c r="F1489" i="1"/>
  <c r="H1489" i="1"/>
  <c r="E1490" i="1"/>
  <c r="F1490" i="1"/>
  <c r="H1490" i="1"/>
  <c r="E1491" i="1"/>
  <c r="F1491" i="1"/>
  <c r="H1491" i="1"/>
  <c r="E1492" i="1"/>
  <c r="F1492" i="1"/>
  <c r="H1492" i="1"/>
  <c r="E1493" i="1"/>
  <c r="F1493" i="1"/>
  <c r="H1493" i="1"/>
  <c r="E1494" i="1"/>
  <c r="F1494" i="1"/>
  <c r="H1494" i="1"/>
  <c r="E1495" i="1"/>
  <c r="F1495" i="1"/>
  <c r="H1495" i="1"/>
  <c r="E1496" i="1"/>
  <c r="F1496" i="1"/>
  <c r="H1496" i="1"/>
  <c r="E1497" i="1"/>
  <c r="F1497" i="1"/>
  <c r="H1497" i="1"/>
  <c r="E1498" i="1"/>
  <c r="F1498" i="1"/>
  <c r="H1498" i="1"/>
  <c r="E1499" i="1"/>
  <c r="F1499" i="1"/>
  <c r="H1499" i="1"/>
  <c r="E1500" i="1"/>
  <c r="F1500" i="1"/>
  <c r="H1500" i="1"/>
  <c r="E1501" i="1"/>
  <c r="F1501" i="1"/>
  <c r="H1501" i="1"/>
  <c r="E1502" i="1"/>
  <c r="F1502" i="1"/>
  <c r="H1502" i="1"/>
  <c r="E1503" i="1"/>
  <c r="F1503" i="1"/>
  <c r="H1503" i="1"/>
  <c r="E1504" i="1"/>
  <c r="F1504" i="1"/>
  <c r="H1504" i="1"/>
  <c r="E1505" i="1"/>
  <c r="F1505" i="1"/>
  <c r="H1505" i="1"/>
  <c r="E1506" i="1"/>
  <c r="F1506" i="1"/>
  <c r="H1506" i="1"/>
  <c r="E1507" i="1"/>
  <c r="F1507" i="1"/>
  <c r="H1507" i="1"/>
  <c r="E1508" i="1"/>
  <c r="F1508" i="1"/>
  <c r="H1508" i="1"/>
  <c r="E1509" i="1"/>
  <c r="F1509" i="1"/>
  <c r="H1509" i="1"/>
  <c r="E1510" i="1"/>
  <c r="F1510" i="1"/>
  <c r="H1510" i="1"/>
  <c r="E1511" i="1"/>
  <c r="F1511" i="1"/>
  <c r="H1511" i="1"/>
  <c r="E1512" i="1"/>
  <c r="F1512" i="1"/>
  <c r="H1512" i="1"/>
  <c r="E1513" i="1"/>
  <c r="F1513" i="1"/>
  <c r="H1513" i="1"/>
  <c r="E1514" i="1"/>
  <c r="F1514" i="1"/>
  <c r="H1514" i="1"/>
  <c r="E1515" i="1"/>
  <c r="F1515" i="1"/>
  <c r="H1515" i="1"/>
  <c r="E1516" i="1"/>
  <c r="F1516" i="1"/>
  <c r="H1516" i="1"/>
  <c r="E1517" i="1"/>
  <c r="F1517" i="1"/>
  <c r="H1517" i="1"/>
  <c r="E1518" i="1"/>
  <c r="F1518" i="1"/>
  <c r="H1518" i="1"/>
  <c r="E1519" i="1"/>
  <c r="F1519" i="1"/>
  <c r="H1519" i="1"/>
  <c r="E1520" i="1"/>
  <c r="F1520" i="1"/>
  <c r="H1520" i="1"/>
  <c r="E1521" i="1"/>
  <c r="F1521" i="1"/>
  <c r="H1521" i="1"/>
  <c r="E1522" i="1"/>
  <c r="F1522" i="1"/>
  <c r="H1522" i="1"/>
  <c r="E1523" i="1"/>
  <c r="F1523" i="1"/>
  <c r="H1523" i="1"/>
  <c r="E1524" i="1"/>
  <c r="F1524" i="1"/>
  <c r="H1524" i="1"/>
  <c r="E1525" i="1"/>
  <c r="F1525" i="1"/>
  <c r="H1525" i="1"/>
  <c r="E1526" i="1"/>
  <c r="F1526" i="1"/>
  <c r="H1526" i="1"/>
  <c r="E1527" i="1"/>
  <c r="F1527" i="1"/>
  <c r="H1527" i="1"/>
  <c r="E1528" i="1"/>
  <c r="F1528" i="1"/>
  <c r="H1528" i="1"/>
  <c r="E1529" i="1"/>
  <c r="F1529" i="1"/>
  <c r="H1529" i="1"/>
  <c r="E1530" i="1"/>
  <c r="F1530" i="1"/>
  <c r="H1530" i="1"/>
  <c r="E1531" i="1"/>
  <c r="F1531" i="1"/>
  <c r="H1531" i="1"/>
  <c r="E1532" i="1"/>
  <c r="F1532" i="1"/>
  <c r="H1532" i="1"/>
  <c r="E1533" i="1"/>
  <c r="F1533" i="1"/>
  <c r="H1533" i="1"/>
  <c r="E1534" i="1"/>
  <c r="F1534" i="1"/>
  <c r="H1534" i="1"/>
  <c r="E1535" i="1"/>
  <c r="F1535" i="1"/>
  <c r="H1535" i="1"/>
  <c r="E1536" i="1"/>
  <c r="F1536" i="1"/>
  <c r="H1536" i="1"/>
  <c r="E1537" i="1"/>
  <c r="F1537" i="1"/>
  <c r="H1537" i="1"/>
  <c r="E1538" i="1"/>
  <c r="F1538" i="1"/>
  <c r="H1538" i="1"/>
  <c r="E1539" i="1"/>
  <c r="F1539" i="1"/>
  <c r="H1539" i="1"/>
  <c r="E1540" i="1"/>
  <c r="F1540" i="1"/>
  <c r="H1540" i="1"/>
  <c r="E1541" i="1"/>
  <c r="F1541" i="1"/>
  <c r="H1541" i="1"/>
  <c r="E1542" i="1"/>
  <c r="F1542" i="1"/>
  <c r="H1542" i="1"/>
  <c r="E1543" i="1"/>
  <c r="F1543" i="1"/>
  <c r="H1543" i="1"/>
  <c r="E1544" i="1"/>
  <c r="F1544" i="1"/>
  <c r="H1544" i="1"/>
  <c r="E1545" i="1"/>
  <c r="F1545" i="1"/>
  <c r="H1545" i="1"/>
  <c r="E1546" i="1"/>
  <c r="F1546" i="1"/>
  <c r="H1546" i="1"/>
  <c r="E1547" i="1"/>
  <c r="F1547" i="1"/>
  <c r="H1547" i="1"/>
  <c r="E1548" i="1"/>
  <c r="F1548" i="1"/>
  <c r="H1548" i="1"/>
  <c r="E1549" i="1"/>
  <c r="F1549" i="1"/>
  <c r="H1549" i="1"/>
  <c r="E1550" i="1"/>
  <c r="F1550" i="1"/>
  <c r="H1550" i="1"/>
  <c r="E1551" i="1"/>
  <c r="F1551" i="1"/>
  <c r="H1551" i="1"/>
  <c r="E1552" i="1"/>
  <c r="F1552" i="1"/>
  <c r="H1552" i="1"/>
  <c r="E1553" i="1"/>
  <c r="F1553" i="1"/>
  <c r="H1553" i="1"/>
  <c r="E1554" i="1"/>
  <c r="F1554" i="1"/>
  <c r="H1554" i="1"/>
  <c r="E1555" i="1"/>
  <c r="F1555" i="1"/>
  <c r="H1555" i="1"/>
  <c r="E1556" i="1"/>
  <c r="F1556" i="1"/>
  <c r="H1556" i="1"/>
  <c r="E1557" i="1"/>
  <c r="F1557" i="1"/>
  <c r="H1557" i="1"/>
  <c r="E1558" i="1"/>
  <c r="F1558" i="1"/>
  <c r="H1558" i="1"/>
  <c r="E1559" i="1"/>
  <c r="F1559" i="1"/>
  <c r="H1559" i="1"/>
  <c r="E1560" i="1"/>
  <c r="F1560" i="1"/>
  <c r="H1560" i="1"/>
  <c r="E1561" i="1"/>
  <c r="F1561" i="1"/>
  <c r="H1561" i="1"/>
  <c r="E1562" i="1"/>
  <c r="F1562" i="1"/>
  <c r="H1562" i="1"/>
  <c r="E1563" i="1"/>
  <c r="F1563" i="1"/>
  <c r="H1563" i="1"/>
  <c r="E1564" i="1"/>
  <c r="F1564" i="1"/>
  <c r="H1564" i="1"/>
  <c r="E1565" i="1"/>
  <c r="F1565" i="1"/>
  <c r="H1565" i="1"/>
  <c r="E1566" i="1"/>
  <c r="F1566" i="1"/>
  <c r="H1566" i="1"/>
  <c r="E1567" i="1"/>
  <c r="F1567" i="1"/>
  <c r="H1567" i="1"/>
  <c r="E1568" i="1"/>
  <c r="F1568" i="1"/>
  <c r="H1568" i="1"/>
  <c r="E1569" i="1"/>
  <c r="F1569" i="1"/>
  <c r="H1569" i="1"/>
  <c r="E1570" i="1"/>
  <c r="F1570" i="1"/>
  <c r="H1570" i="1"/>
  <c r="E1571" i="1"/>
  <c r="F1571" i="1"/>
  <c r="H1571" i="1"/>
  <c r="E1572" i="1"/>
  <c r="F1572" i="1"/>
  <c r="H1572" i="1"/>
  <c r="E1573" i="1"/>
  <c r="F1573" i="1"/>
  <c r="H1573" i="1"/>
  <c r="E1574" i="1"/>
  <c r="F1574" i="1"/>
  <c r="H1574" i="1"/>
  <c r="E1575" i="1"/>
  <c r="F1575" i="1"/>
  <c r="H1575" i="1"/>
  <c r="E1576" i="1"/>
  <c r="F1576" i="1"/>
  <c r="H1576" i="1"/>
  <c r="E1577" i="1"/>
  <c r="F1577" i="1"/>
  <c r="H1577" i="1"/>
  <c r="E1578" i="1"/>
  <c r="F1578" i="1"/>
  <c r="H1578" i="1"/>
  <c r="E1579" i="1"/>
  <c r="F1579" i="1"/>
  <c r="H1579" i="1"/>
  <c r="E1580" i="1"/>
  <c r="F1580" i="1"/>
  <c r="H1580" i="1"/>
  <c r="E1581" i="1"/>
  <c r="F1581" i="1"/>
  <c r="H1581" i="1"/>
  <c r="E1582" i="1"/>
  <c r="F1582" i="1"/>
  <c r="H1582" i="1"/>
  <c r="E1583" i="1"/>
  <c r="F1583" i="1"/>
  <c r="H1583" i="1"/>
  <c r="E1584" i="1"/>
  <c r="F1584" i="1"/>
  <c r="H1584" i="1"/>
  <c r="E1585" i="1"/>
  <c r="F1585" i="1"/>
  <c r="H1585" i="1"/>
  <c r="E1586" i="1"/>
  <c r="F1586" i="1"/>
  <c r="H1586" i="1"/>
  <c r="E1587" i="1"/>
  <c r="F1587" i="1"/>
  <c r="H1587" i="1"/>
  <c r="E1588" i="1"/>
  <c r="F1588" i="1"/>
  <c r="H1588" i="1"/>
  <c r="E1589" i="1"/>
  <c r="F1589" i="1"/>
  <c r="H1589" i="1"/>
  <c r="E1590" i="1"/>
  <c r="F1590" i="1"/>
  <c r="H1590" i="1"/>
  <c r="E1591" i="1"/>
  <c r="F1591" i="1"/>
  <c r="H1591" i="1"/>
  <c r="E1592" i="1"/>
  <c r="F1592" i="1"/>
  <c r="H1592" i="1"/>
  <c r="E1593" i="1"/>
  <c r="F1593" i="1"/>
  <c r="H1593" i="1"/>
  <c r="E1594" i="1"/>
  <c r="F1594" i="1"/>
  <c r="H1594" i="1"/>
  <c r="E1595" i="1"/>
  <c r="F1595" i="1"/>
  <c r="H1595" i="1"/>
  <c r="E1596" i="1"/>
  <c r="F1596" i="1"/>
  <c r="H1596" i="1"/>
  <c r="E1597" i="1"/>
  <c r="F1597" i="1"/>
  <c r="H1597" i="1"/>
  <c r="E1598" i="1"/>
  <c r="F1598" i="1"/>
  <c r="H1598" i="1"/>
  <c r="E1599" i="1"/>
  <c r="F1599" i="1"/>
  <c r="H1599" i="1"/>
  <c r="E1600" i="1"/>
  <c r="F1600" i="1"/>
  <c r="H1600" i="1"/>
  <c r="E1601" i="1"/>
  <c r="F1601" i="1"/>
  <c r="H1601" i="1"/>
  <c r="E1602" i="1"/>
  <c r="F1602" i="1"/>
  <c r="H1602" i="1"/>
  <c r="E1603" i="1"/>
  <c r="F1603" i="1"/>
  <c r="H1603" i="1"/>
  <c r="E1604" i="1"/>
  <c r="F1604" i="1"/>
  <c r="H1604" i="1"/>
  <c r="E1605" i="1"/>
  <c r="F1605" i="1"/>
  <c r="H1605" i="1"/>
  <c r="E1606" i="1"/>
  <c r="F1606" i="1"/>
  <c r="H1606" i="1"/>
  <c r="E1607" i="1"/>
  <c r="F1607" i="1"/>
  <c r="H1607" i="1"/>
  <c r="E1608" i="1"/>
  <c r="F1608" i="1"/>
  <c r="H1608" i="1"/>
  <c r="E1609" i="1"/>
  <c r="F1609" i="1"/>
  <c r="H1609" i="1"/>
  <c r="E1610" i="1"/>
  <c r="F1610" i="1"/>
  <c r="H1610" i="1"/>
  <c r="E1611" i="1"/>
  <c r="F1611" i="1"/>
  <c r="H1611" i="1"/>
  <c r="E1612" i="1"/>
  <c r="F1612" i="1"/>
  <c r="H1612" i="1"/>
  <c r="E1613" i="1"/>
  <c r="F1613" i="1"/>
  <c r="H1613" i="1"/>
  <c r="E1614" i="1"/>
  <c r="F1614" i="1"/>
  <c r="H1614" i="1"/>
  <c r="E1615" i="1"/>
  <c r="F1615" i="1"/>
  <c r="H1615" i="1"/>
  <c r="E1616" i="1"/>
  <c r="F1616" i="1"/>
  <c r="H1616" i="1"/>
  <c r="E1617" i="1"/>
  <c r="F1617" i="1"/>
  <c r="H1617" i="1"/>
  <c r="E1618" i="1"/>
  <c r="F1618" i="1"/>
  <c r="H1618" i="1"/>
  <c r="E1619" i="1"/>
  <c r="F1619" i="1"/>
  <c r="H1619" i="1"/>
  <c r="E1620" i="1"/>
  <c r="F1620" i="1"/>
  <c r="H1620" i="1"/>
  <c r="E1621" i="1"/>
  <c r="F1621" i="1"/>
  <c r="H1621" i="1"/>
  <c r="E1622" i="1"/>
  <c r="F1622" i="1"/>
  <c r="H1622" i="1"/>
  <c r="E1623" i="1"/>
  <c r="F1623" i="1"/>
  <c r="H1623" i="1"/>
  <c r="E1624" i="1"/>
  <c r="F1624" i="1"/>
  <c r="H1624" i="1"/>
  <c r="E1625" i="1"/>
  <c r="F1625" i="1"/>
  <c r="H1625" i="1"/>
  <c r="E1626" i="1"/>
  <c r="F1626" i="1"/>
  <c r="H1626" i="1"/>
  <c r="E1627" i="1"/>
  <c r="F1627" i="1"/>
  <c r="H1627" i="1"/>
  <c r="E1628" i="1"/>
  <c r="F1628" i="1"/>
  <c r="H1628" i="1"/>
  <c r="E1629" i="1"/>
  <c r="F1629" i="1"/>
  <c r="H1629" i="1"/>
  <c r="E1630" i="1"/>
  <c r="F1630" i="1"/>
  <c r="H1630" i="1"/>
  <c r="E1631" i="1"/>
  <c r="F1631" i="1"/>
  <c r="H1631" i="1"/>
  <c r="E1632" i="1"/>
  <c r="F1632" i="1"/>
  <c r="H1632" i="1"/>
  <c r="E1633" i="1"/>
  <c r="F1633" i="1"/>
  <c r="H1633" i="1"/>
  <c r="E1634" i="1"/>
  <c r="F1634" i="1"/>
  <c r="H1634" i="1"/>
  <c r="E1635" i="1"/>
  <c r="F1635" i="1"/>
  <c r="H1635" i="1"/>
  <c r="E1636" i="1"/>
  <c r="F1636" i="1"/>
  <c r="H1636" i="1"/>
  <c r="E1637" i="1"/>
  <c r="F1637" i="1"/>
  <c r="H1637" i="1"/>
  <c r="E1638" i="1"/>
  <c r="F1638" i="1"/>
  <c r="H1638" i="1"/>
  <c r="E1639" i="1"/>
  <c r="F1639" i="1"/>
  <c r="H1639" i="1"/>
  <c r="E1640" i="1"/>
  <c r="F1640" i="1"/>
  <c r="H1640" i="1"/>
  <c r="E1641" i="1"/>
  <c r="F1641" i="1"/>
  <c r="H1641" i="1"/>
  <c r="E1642" i="1"/>
  <c r="F1642" i="1"/>
  <c r="H1642" i="1"/>
  <c r="E1643" i="1"/>
  <c r="F1643" i="1"/>
  <c r="H1643" i="1"/>
  <c r="E1644" i="1"/>
  <c r="F1644" i="1"/>
  <c r="H1644" i="1"/>
  <c r="E1645" i="1"/>
  <c r="F1645" i="1"/>
  <c r="H1645" i="1"/>
  <c r="E1646" i="1"/>
  <c r="F1646" i="1"/>
  <c r="H1646" i="1"/>
  <c r="E1647" i="1"/>
  <c r="F1647" i="1"/>
  <c r="H1647" i="1"/>
  <c r="E1648" i="1"/>
  <c r="F1648" i="1"/>
  <c r="H1648" i="1"/>
  <c r="E1649" i="1"/>
  <c r="F1649" i="1"/>
  <c r="H1649" i="1"/>
  <c r="E1650" i="1"/>
  <c r="F1650" i="1"/>
  <c r="H1650" i="1"/>
  <c r="E1651" i="1"/>
  <c r="F1651" i="1"/>
  <c r="H1651" i="1"/>
  <c r="E1652" i="1"/>
  <c r="F1652" i="1"/>
  <c r="H1652" i="1"/>
  <c r="E1653" i="1"/>
  <c r="F1653" i="1"/>
  <c r="H1653" i="1"/>
  <c r="E1654" i="1"/>
  <c r="F1654" i="1"/>
  <c r="H1654" i="1"/>
  <c r="E1655" i="1"/>
  <c r="F1655" i="1"/>
  <c r="H1655" i="1"/>
  <c r="E1656" i="1"/>
  <c r="F1656" i="1"/>
  <c r="H1656" i="1"/>
  <c r="E1657" i="1"/>
  <c r="F1657" i="1"/>
  <c r="H1657" i="1"/>
  <c r="E1658" i="1"/>
  <c r="F1658" i="1"/>
  <c r="H1658" i="1"/>
  <c r="E1659" i="1"/>
  <c r="F1659" i="1"/>
  <c r="H1659" i="1"/>
  <c r="E1660" i="1"/>
  <c r="F1660" i="1"/>
  <c r="H1660" i="1"/>
  <c r="E1661" i="1"/>
  <c r="F1661" i="1"/>
  <c r="H1661" i="1"/>
  <c r="E1662" i="1"/>
  <c r="F1662" i="1"/>
  <c r="H1662" i="1"/>
  <c r="E1663" i="1"/>
  <c r="F1663" i="1"/>
  <c r="H1663" i="1"/>
  <c r="E1664" i="1"/>
  <c r="F1664" i="1"/>
  <c r="H1664" i="1"/>
  <c r="E1665" i="1"/>
  <c r="F1665" i="1"/>
  <c r="H1665" i="1"/>
  <c r="E1666" i="1"/>
  <c r="F1666" i="1"/>
  <c r="H1666" i="1"/>
  <c r="E1667" i="1"/>
  <c r="F1667" i="1"/>
  <c r="H1667" i="1"/>
  <c r="E1668" i="1"/>
  <c r="F1668" i="1"/>
  <c r="H1668" i="1"/>
  <c r="E1669" i="1"/>
  <c r="F1669" i="1"/>
  <c r="H1669" i="1"/>
  <c r="E1670" i="1"/>
  <c r="F1670" i="1"/>
  <c r="H1670" i="1"/>
  <c r="E1671" i="1"/>
  <c r="F1671" i="1"/>
  <c r="H1671" i="1"/>
  <c r="E1672" i="1"/>
  <c r="F1672" i="1"/>
  <c r="H1672" i="1"/>
  <c r="E1673" i="1"/>
  <c r="F1673" i="1"/>
  <c r="H1673" i="1"/>
  <c r="E1674" i="1"/>
  <c r="F1674" i="1"/>
  <c r="H1674" i="1"/>
  <c r="E1675" i="1"/>
  <c r="F1675" i="1"/>
  <c r="H1675" i="1"/>
  <c r="E1676" i="1"/>
  <c r="F1676" i="1"/>
  <c r="H1676" i="1"/>
  <c r="E1677" i="1"/>
  <c r="F1677" i="1"/>
  <c r="H1677" i="1"/>
  <c r="E1678" i="1"/>
  <c r="F1678" i="1"/>
  <c r="H1678" i="1"/>
  <c r="E1679" i="1"/>
  <c r="F1679" i="1"/>
  <c r="H1679" i="1"/>
  <c r="E1680" i="1"/>
  <c r="F1680" i="1"/>
  <c r="H1680" i="1"/>
  <c r="E1681" i="1"/>
  <c r="F1681" i="1"/>
  <c r="H1681" i="1"/>
  <c r="E1682" i="1"/>
  <c r="F1682" i="1"/>
  <c r="H1682" i="1"/>
  <c r="E1683" i="1"/>
  <c r="F1683" i="1"/>
  <c r="H1683" i="1"/>
  <c r="E1684" i="1"/>
  <c r="F1684" i="1"/>
  <c r="H1684" i="1"/>
  <c r="E1685" i="1"/>
  <c r="F1685" i="1"/>
  <c r="H1685" i="1"/>
  <c r="E1686" i="1"/>
  <c r="F1686" i="1"/>
  <c r="H1686" i="1"/>
  <c r="E1687" i="1"/>
  <c r="F1687" i="1"/>
  <c r="H1687" i="1"/>
  <c r="E1688" i="1"/>
  <c r="F1688" i="1"/>
  <c r="H1688" i="1"/>
  <c r="E1689" i="1"/>
  <c r="F1689" i="1"/>
  <c r="H1689" i="1"/>
  <c r="E1690" i="1"/>
  <c r="F1690" i="1"/>
  <c r="H1690" i="1"/>
  <c r="E1691" i="1"/>
  <c r="F1691" i="1"/>
  <c r="H1691" i="1"/>
  <c r="E1692" i="1"/>
  <c r="F1692" i="1"/>
  <c r="H1692" i="1"/>
  <c r="E1693" i="1"/>
  <c r="F1693" i="1"/>
  <c r="H1693" i="1"/>
  <c r="E1694" i="1"/>
  <c r="F1694" i="1"/>
  <c r="H1694" i="1"/>
  <c r="E1695" i="1"/>
  <c r="F1695" i="1"/>
  <c r="H1695" i="1"/>
  <c r="E1696" i="1"/>
  <c r="F1696" i="1"/>
  <c r="H1696" i="1"/>
  <c r="E1697" i="1"/>
  <c r="F1697" i="1"/>
  <c r="H1697" i="1"/>
  <c r="E1698" i="1"/>
  <c r="F1698" i="1"/>
  <c r="H1698" i="1"/>
  <c r="E1699" i="1"/>
  <c r="F1699" i="1"/>
  <c r="H1699" i="1"/>
  <c r="E1700" i="1"/>
  <c r="F1700" i="1"/>
  <c r="H1700" i="1"/>
  <c r="E1701" i="1"/>
  <c r="F1701" i="1"/>
  <c r="H1701" i="1"/>
  <c r="E1702" i="1"/>
  <c r="F1702" i="1"/>
  <c r="H1702" i="1"/>
  <c r="E1703" i="1"/>
  <c r="F1703" i="1"/>
  <c r="H1703" i="1"/>
  <c r="E1704" i="1"/>
  <c r="F1704" i="1"/>
  <c r="H1704" i="1"/>
  <c r="E1705" i="1"/>
  <c r="F1705" i="1"/>
  <c r="H1705" i="1"/>
  <c r="E1706" i="1"/>
  <c r="F1706" i="1"/>
  <c r="H1706" i="1"/>
  <c r="E1707" i="1"/>
  <c r="F1707" i="1"/>
  <c r="H1707" i="1"/>
  <c r="E1708" i="1"/>
  <c r="F1708" i="1"/>
  <c r="H1708" i="1"/>
  <c r="E1709" i="1"/>
  <c r="F1709" i="1"/>
  <c r="H1709" i="1"/>
  <c r="E1710" i="1"/>
  <c r="F1710" i="1"/>
  <c r="H1710" i="1"/>
  <c r="E1711" i="1"/>
  <c r="F1711" i="1"/>
  <c r="H1711" i="1"/>
  <c r="E1712" i="1"/>
  <c r="F1712" i="1"/>
  <c r="H1712" i="1"/>
  <c r="E1713" i="1"/>
  <c r="F1713" i="1"/>
  <c r="H1713" i="1"/>
  <c r="E1714" i="1"/>
  <c r="F1714" i="1"/>
  <c r="H1714" i="1"/>
  <c r="E1715" i="1"/>
  <c r="F1715" i="1"/>
  <c r="H1715" i="1"/>
  <c r="E1716" i="1"/>
  <c r="F1716" i="1"/>
  <c r="H1716" i="1"/>
  <c r="E1717" i="1"/>
  <c r="F1717" i="1"/>
  <c r="H1717" i="1"/>
  <c r="E1718" i="1"/>
  <c r="F1718" i="1"/>
  <c r="H1718" i="1"/>
  <c r="E1719" i="1"/>
  <c r="F1719" i="1"/>
  <c r="H1719" i="1"/>
  <c r="E1720" i="1"/>
  <c r="F1720" i="1"/>
  <c r="H1720" i="1"/>
  <c r="E1721" i="1"/>
  <c r="F1721" i="1"/>
  <c r="H1721" i="1"/>
  <c r="E1722" i="1"/>
  <c r="F1722" i="1"/>
  <c r="H1722" i="1"/>
  <c r="E1723" i="1"/>
  <c r="F1723" i="1"/>
  <c r="H1723" i="1"/>
  <c r="E1724" i="1"/>
  <c r="F1724" i="1"/>
  <c r="H1724" i="1"/>
  <c r="E1725" i="1"/>
  <c r="F1725" i="1"/>
  <c r="H1725" i="1"/>
  <c r="E1726" i="1"/>
  <c r="F1726" i="1"/>
  <c r="H1726" i="1"/>
  <c r="E1727" i="1"/>
  <c r="F1727" i="1"/>
  <c r="H1727" i="1"/>
  <c r="E1728" i="1"/>
  <c r="F1728" i="1"/>
  <c r="H1728" i="1"/>
  <c r="E1729" i="1"/>
  <c r="F1729" i="1"/>
  <c r="H1729" i="1"/>
  <c r="E1730" i="1"/>
  <c r="F1730" i="1"/>
  <c r="H1730" i="1"/>
  <c r="E1731" i="1"/>
  <c r="F1731" i="1"/>
  <c r="H1731" i="1"/>
  <c r="E1732" i="1"/>
  <c r="F1732" i="1"/>
  <c r="H1732" i="1"/>
  <c r="E1733" i="1"/>
  <c r="F1733" i="1"/>
  <c r="H1733" i="1"/>
  <c r="E1734" i="1"/>
  <c r="F1734" i="1"/>
  <c r="H1734" i="1"/>
  <c r="E1735" i="1"/>
  <c r="F1735" i="1"/>
  <c r="H1735" i="1"/>
  <c r="E1736" i="1"/>
  <c r="F1736" i="1"/>
  <c r="H1736" i="1"/>
  <c r="E1737" i="1"/>
  <c r="F1737" i="1"/>
  <c r="H1737" i="1"/>
  <c r="E1738" i="1"/>
  <c r="F1738" i="1"/>
  <c r="H1738" i="1"/>
  <c r="E1739" i="1"/>
  <c r="F1739" i="1"/>
  <c r="H1739" i="1"/>
  <c r="E1740" i="1"/>
  <c r="F1740" i="1"/>
  <c r="H1740" i="1"/>
  <c r="E1741" i="1"/>
  <c r="F1741" i="1"/>
  <c r="H1741" i="1"/>
  <c r="E1742" i="1"/>
  <c r="F1742" i="1"/>
  <c r="H1742" i="1"/>
  <c r="E1743" i="1"/>
  <c r="F1743" i="1"/>
  <c r="H1743" i="1"/>
  <c r="E1744" i="1"/>
  <c r="F1744" i="1"/>
  <c r="H1744" i="1"/>
  <c r="E1745" i="1"/>
  <c r="F1745" i="1"/>
  <c r="H1745" i="1"/>
  <c r="E1746" i="1"/>
  <c r="F1746" i="1"/>
  <c r="H1746" i="1"/>
  <c r="E1747" i="1"/>
  <c r="F1747" i="1"/>
  <c r="H1747" i="1"/>
  <c r="E1748" i="1"/>
  <c r="F1748" i="1"/>
  <c r="H1748" i="1"/>
  <c r="E1749" i="1"/>
  <c r="F1749" i="1"/>
  <c r="H1749" i="1"/>
  <c r="E1750" i="1"/>
  <c r="F1750" i="1"/>
  <c r="H1750" i="1"/>
  <c r="E1751" i="1"/>
  <c r="F1751" i="1"/>
  <c r="H1751" i="1"/>
  <c r="E1752" i="1"/>
  <c r="F1752" i="1"/>
  <c r="H1752" i="1"/>
  <c r="E1753" i="1"/>
  <c r="F1753" i="1"/>
  <c r="H1753" i="1"/>
  <c r="E1754" i="1"/>
  <c r="F1754" i="1"/>
  <c r="H1754" i="1"/>
  <c r="E1755" i="1"/>
  <c r="F1755" i="1"/>
  <c r="H1755" i="1"/>
  <c r="E1756" i="1"/>
  <c r="F1756" i="1"/>
  <c r="H1756" i="1"/>
  <c r="E1757" i="1"/>
  <c r="F1757" i="1"/>
  <c r="H1757" i="1"/>
  <c r="E1758" i="1"/>
  <c r="F1758" i="1"/>
  <c r="H1758" i="1"/>
  <c r="E1759" i="1"/>
  <c r="F1759" i="1"/>
  <c r="H1759" i="1"/>
  <c r="E1760" i="1"/>
  <c r="F1760" i="1"/>
  <c r="H1760" i="1"/>
  <c r="E1761" i="1"/>
  <c r="F1761" i="1"/>
  <c r="H1761" i="1"/>
  <c r="E1762" i="1"/>
  <c r="F1762" i="1"/>
  <c r="H1762" i="1"/>
  <c r="E1763" i="1"/>
  <c r="F1763" i="1"/>
  <c r="H1763" i="1"/>
  <c r="E1764" i="1"/>
  <c r="F1764" i="1"/>
  <c r="H1764" i="1"/>
  <c r="E1765" i="1"/>
  <c r="F1765" i="1"/>
  <c r="H1765" i="1"/>
  <c r="E1766" i="1"/>
  <c r="F1766" i="1"/>
  <c r="H1766" i="1"/>
  <c r="E1767" i="1"/>
  <c r="F1767" i="1"/>
  <c r="H1767" i="1"/>
  <c r="E1768" i="1"/>
  <c r="F1768" i="1"/>
  <c r="H1768" i="1"/>
  <c r="E1769" i="1"/>
  <c r="F1769" i="1"/>
  <c r="H1769" i="1"/>
  <c r="E1770" i="1"/>
  <c r="F1770" i="1"/>
  <c r="H1770" i="1"/>
  <c r="E1771" i="1"/>
  <c r="F1771" i="1"/>
  <c r="H1771" i="1"/>
  <c r="E1772" i="1"/>
  <c r="F1772" i="1"/>
  <c r="H1772" i="1"/>
  <c r="E1773" i="1"/>
  <c r="F1773" i="1"/>
  <c r="H1773" i="1"/>
  <c r="E1774" i="1"/>
  <c r="F1774" i="1"/>
  <c r="H1774" i="1"/>
  <c r="E1775" i="1"/>
  <c r="F1775" i="1"/>
  <c r="H1775" i="1"/>
  <c r="E1776" i="1"/>
  <c r="F1776" i="1"/>
  <c r="H1776" i="1"/>
  <c r="E1777" i="1"/>
  <c r="F1777" i="1"/>
  <c r="H1777" i="1"/>
  <c r="E1778" i="1"/>
  <c r="F1778" i="1"/>
  <c r="H1778" i="1"/>
  <c r="E1779" i="1"/>
  <c r="F1779" i="1"/>
  <c r="H1779" i="1"/>
  <c r="E1780" i="1"/>
  <c r="F1780" i="1"/>
  <c r="H1780" i="1"/>
  <c r="E1781" i="1"/>
  <c r="F1781" i="1"/>
  <c r="H1781" i="1"/>
  <c r="E1782" i="1"/>
  <c r="F1782" i="1"/>
  <c r="H1782" i="1"/>
  <c r="E1783" i="1"/>
  <c r="F1783" i="1"/>
  <c r="H1783" i="1"/>
  <c r="E1784" i="1"/>
  <c r="F1784" i="1"/>
  <c r="H1784" i="1"/>
  <c r="E1785" i="1"/>
  <c r="F1785" i="1"/>
  <c r="H1785" i="1"/>
  <c r="E1786" i="1"/>
  <c r="F1786" i="1"/>
  <c r="H1786" i="1"/>
  <c r="E1787" i="1"/>
  <c r="F1787" i="1"/>
  <c r="H1787" i="1"/>
  <c r="E1788" i="1"/>
  <c r="F1788" i="1"/>
  <c r="H1788" i="1"/>
  <c r="E1789" i="1"/>
  <c r="F1789" i="1"/>
  <c r="H1789" i="1"/>
  <c r="E1790" i="1"/>
  <c r="F1790" i="1"/>
  <c r="H1790" i="1"/>
  <c r="E1791" i="1"/>
  <c r="F1791" i="1"/>
  <c r="H1791" i="1"/>
  <c r="E1792" i="1"/>
  <c r="F1792" i="1"/>
  <c r="H1792" i="1"/>
  <c r="E1793" i="1"/>
  <c r="F1793" i="1"/>
  <c r="H1793" i="1"/>
  <c r="E1794" i="1"/>
  <c r="F1794" i="1"/>
  <c r="H1794" i="1"/>
  <c r="E1795" i="1"/>
  <c r="F1795" i="1"/>
  <c r="H1795" i="1"/>
  <c r="E1796" i="1"/>
  <c r="F1796" i="1"/>
  <c r="H1796" i="1"/>
  <c r="E1797" i="1"/>
  <c r="F1797" i="1"/>
  <c r="H1797" i="1"/>
  <c r="E1798" i="1"/>
  <c r="F1798" i="1"/>
  <c r="H1798" i="1"/>
  <c r="E1799" i="1"/>
  <c r="F1799" i="1"/>
  <c r="H1799" i="1"/>
  <c r="E1800" i="1"/>
  <c r="F1800" i="1"/>
  <c r="H1800" i="1"/>
  <c r="E1801" i="1"/>
  <c r="F1801" i="1"/>
  <c r="H1801" i="1"/>
  <c r="E1802" i="1"/>
  <c r="F1802" i="1"/>
  <c r="H1802" i="1"/>
  <c r="E1803" i="1"/>
  <c r="F1803" i="1"/>
  <c r="H1803" i="1"/>
  <c r="E1804" i="1"/>
  <c r="F1804" i="1"/>
  <c r="H1804" i="1"/>
  <c r="E1805" i="1"/>
  <c r="F1805" i="1"/>
  <c r="H1805" i="1"/>
  <c r="E1806" i="1"/>
  <c r="F1806" i="1"/>
  <c r="H1806" i="1"/>
  <c r="E1807" i="1"/>
  <c r="F1807" i="1"/>
  <c r="H1807" i="1"/>
  <c r="E1808" i="1"/>
  <c r="F1808" i="1"/>
  <c r="H1808" i="1"/>
  <c r="E1809" i="1"/>
  <c r="F1809" i="1"/>
  <c r="H1809" i="1"/>
  <c r="E1810" i="1"/>
  <c r="F1810" i="1"/>
  <c r="H1810" i="1"/>
  <c r="E1811" i="1"/>
  <c r="F1811" i="1"/>
  <c r="H1811" i="1"/>
  <c r="E1812" i="1"/>
  <c r="F1812" i="1"/>
  <c r="H1812" i="1"/>
  <c r="E1813" i="1"/>
  <c r="F1813" i="1"/>
  <c r="H1813" i="1"/>
  <c r="E1814" i="1"/>
  <c r="F1814" i="1"/>
  <c r="H1814" i="1"/>
  <c r="E1815" i="1"/>
  <c r="F1815" i="1"/>
  <c r="H1815" i="1"/>
  <c r="E1816" i="1"/>
  <c r="F1816" i="1"/>
  <c r="H1816" i="1"/>
  <c r="E1817" i="1"/>
  <c r="F1817" i="1"/>
  <c r="H1817" i="1"/>
  <c r="E1818" i="1"/>
  <c r="F1818" i="1"/>
  <c r="H1818" i="1"/>
  <c r="E1819" i="1"/>
  <c r="F1819" i="1"/>
  <c r="H1819" i="1"/>
  <c r="E1820" i="1"/>
  <c r="F1820" i="1"/>
  <c r="H1820" i="1"/>
  <c r="E1821" i="1"/>
  <c r="F1821" i="1"/>
  <c r="H1821" i="1"/>
  <c r="E1822" i="1"/>
  <c r="F1822" i="1"/>
  <c r="H1822" i="1"/>
  <c r="E1823" i="1"/>
  <c r="F1823" i="1"/>
  <c r="H1823" i="1"/>
  <c r="E1824" i="1"/>
  <c r="F1824" i="1"/>
  <c r="H1824" i="1"/>
  <c r="E1825" i="1"/>
  <c r="F1825" i="1"/>
  <c r="H1825" i="1"/>
  <c r="E1826" i="1"/>
  <c r="F1826" i="1"/>
  <c r="H1826" i="1"/>
  <c r="E1827" i="1"/>
  <c r="F1827" i="1"/>
  <c r="H1827" i="1"/>
  <c r="E1828" i="1"/>
  <c r="F1828" i="1"/>
  <c r="H1828" i="1"/>
  <c r="E1829" i="1"/>
  <c r="F1829" i="1"/>
  <c r="H1829" i="1"/>
  <c r="E1830" i="1"/>
  <c r="F1830" i="1"/>
  <c r="H1830" i="1"/>
  <c r="E1831" i="1"/>
  <c r="F1831" i="1"/>
  <c r="H1831" i="1"/>
  <c r="E1832" i="1"/>
  <c r="F1832" i="1"/>
  <c r="H1832" i="1"/>
  <c r="E1833" i="1"/>
  <c r="F1833" i="1"/>
  <c r="H1833" i="1"/>
  <c r="E1834" i="1"/>
  <c r="F1834" i="1"/>
  <c r="H1834" i="1"/>
  <c r="E1835" i="1"/>
  <c r="F1835" i="1"/>
  <c r="H1835" i="1"/>
  <c r="E1836" i="1"/>
  <c r="F1836" i="1"/>
  <c r="H1836" i="1"/>
  <c r="E1837" i="1"/>
  <c r="F1837" i="1"/>
  <c r="H1837" i="1"/>
  <c r="E1838" i="1"/>
  <c r="F1838" i="1"/>
  <c r="H1838" i="1"/>
  <c r="E1839" i="1"/>
  <c r="F1839" i="1"/>
  <c r="H1839" i="1"/>
  <c r="E1840" i="1"/>
  <c r="F1840" i="1"/>
  <c r="H1840" i="1"/>
  <c r="E1841" i="1"/>
  <c r="F1841" i="1"/>
  <c r="H1841" i="1"/>
  <c r="E1842" i="1"/>
  <c r="F1842" i="1"/>
  <c r="H1842" i="1"/>
  <c r="E1843" i="1"/>
  <c r="F1843" i="1"/>
  <c r="H1843" i="1"/>
  <c r="E1844" i="1"/>
  <c r="F1844" i="1"/>
  <c r="H1844" i="1"/>
  <c r="E1845" i="1"/>
  <c r="F1845" i="1"/>
  <c r="H1845" i="1"/>
  <c r="E1846" i="1"/>
  <c r="F1846" i="1"/>
  <c r="H1846" i="1"/>
  <c r="E1847" i="1"/>
  <c r="F1847" i="1"/>
  <c r="H1847" i="1"/>
  <c r="E1848" i="1"/>
  <c r="F1848" i="1"/>
  <c r="H1848" i="1"/>
  <c r="E1849" i="1"/>
  <c r="F1849" i="1"/>
  <c r="H1849" i="1"/>
  <c r="E1850" i="1"/>
  <c r="F1850" i="1"/>
  <c r="H1850" i="1"/>
  <c r="E1851" i="1"/>
  <c r="F1851" i="1"/>
  <c r="H1851" i="1"/>
  <c r="E1852" i="1"/>
  <c r="F1852" i="1"/>
  <c r="H1852" i="1"/>
  <c r="E1853" i="1"/>
  <c r="F1853" i="1"/>
  <c r="H1853" i="1"/>
  <c r="E1854" i="1"/>
  <c r="F1854" i="1"/>
  <c r="H1854" i="1"/>
  <c r="E1855" i="1"/>
  <c r="F1855" i="1"/>
  <c r="H1855" i="1"/>
  <c r="E1856" i="1"/>
  <c r="F1856" i="1"/>
  <c r="H1856" i="1"/>
  <c r="E1857" i="1"/>
  <c r="F1857" i="1"/>
  <c r="H1857" i="1"/>
  <c r="E1858" i="1"/>
  <c r="F1858" i="1"/>
  <c r="H1858" i="1"/>
  <c r="E1859" i="1"/>
  <c r="F1859" i="1"/>
  <c r="H1859" i="1"/>
  <c r="E1860" i="1"/>
  <c r="F1860" i="1"/>
  <c r="H1860" i="1"/>
  <c r="E1861" i="1"/>
  <c r="F1861" i="1"/>
  <c r="H1861" i="1"/>
  <c r="E1862" i="1"/>
  <c r="F1862" i="1"/>
  <c r="H1862" i="1"/>
  <c r="E1863" i="1"/>
  <c r="F1863" i="1"/>
  <c r="H1863" i="1"/>
  <c r="E1864" i="1"/>
  <c r="F1864" i="1"/>
  <c r="H1864" i="1"/>
  <c r="E1865" i="1"/>
  <c r="F1865" i="1"/>
  <c r="H1865" i="1"/>
  <c r="E1866" i="1"/>
  <c r="F1866" i="1"/>
  <c r="H1866" i="1"/>
  <c r="E1867" i="1"/>
  <c r="F1867" i="1"/>
  <c r="H1867" i="1"/>
  <c r="E1868" i="1"/>
  <c r="F1868" i="1"/>
  <c r="H1868" i="1"/>
  <c r="E1869" i="1"/>
  <c r="F1869" i="1"/>
  <c r="H1869" i="1"/>
  <c r="E1870" i="1"/>
  <c r="F1870" i="1"/>
  <c r="H1870" i="1"/>
  <c r="E1871" i="1"/>
  <c r="F1871" i="1"/>
  <c r="H1871" i="1"/>
  <c r="E1872" i="1"/>
  <c r="F1872" i="1"/>
  <c r="H1872" i="1"/>
  <c r="E1873" i="1"/>
  <c r="F1873" i="1"/>
  <c r="H1873" i="1"/>
  <c r="E1874" i="1"/>
  <c r="F1874" i="1"/>
  <c r="H1874" i="1"/>
  <c r="E1875" i="1"/>
  <c r="F1875" i="1"/>
  <c r="H1875" i="1"/>
  <c r="E1876" i="1"/>
  <c r="F1876" i="1"/>
  <c r="H1876" i="1"/>
  <c r="E1877" i="1"/>
  <c r="F1877" i="1"/>
  <c r="H1877" i="1"/>
  <c r="E1878" i="1"/>
  <c r="F1878" i="1"/>
  <c r="H1878" i="1"/>
  <c r="E1879" i="1"/>
  <c r="F1879" i="1"/>
  <c r="H1879" i="1"/>
  <c r="E1880" i="1"/>
  <c r="F1880" i="1"/>
  <c r="H1880" i="1"/>
  <c r="E1881" i="1"/>
  <c r="F1881" i="1"/>
  <c r="H1881" i="1"/>
  <c r="E1882" i="1"/>
  <c r="F1882" i="1"/>
  <c r="H1882" i="1"/>
  <c r="E1883" i="1"/>
  <c r="F1883" i="1"/>
  <c r="H1883" i="1"/>
  <c r="E1884" i="1"/>
  <c r="F1884" i="1"/>
  <c r="H1884" i="1"/>
  <c r="E1885" i="1"/>
  <c r="F1885" i="1"/>
  <c r="H1885" i="1"/>
  <c r="E1886" i="1"/>
  <c r="F1886" i="1"/>
  <c r="H1886" i="1"/>
  <c r="E1887" i="1"/>
  <c r="F1887" i="1"/>
  <c r="H1887" i="1"/>
  <c r="E1888" i="1"/>
  <c r="F1888" i="1"/>
  <c r="H1888" i="1"/>
  <c r="E1889" i="1"/>
  <c r="F1889" i="1"/>
  <c r="H1889" i="1"/>
  <c r="E1890" i="1"/>
  <c r="F1890" i="1"/>
  <c r="H1890" i="1"/>
  <c r="E1891" i="1"/>
  <c r="F1891" i="1"/>
  <c r="H1891" i="1"/>
  <c r="E1892" i="1"/>
  <c r="F1892" i="1"/>
  <c r="H1892" i="1"/>
  <c r="E1893" i="1"/>
  <c r="F1893" i="1"/>
  <c r="H1893" i="1"/>
  <c r="E1894" i="1"/>
  <c r="F1894" i="1"/>
  <c r="H1894" i="1"/>
  <c r="E1895" i="1"/>
  <c r="F1895" i="1"/>
  <c r="H1895" i="1"/>
  <c r="E1896" i="1"/>
  <c r="F1896" i="1"/>
  <c r="H1896" i="1"/>
  <c r="E1897" i="1"/>
  <c r="F1897" i="1"/>
  <c r="H1897" i="1"/>
  <c r="E1898" i="1"/>
  <c r="F1898" i="1"/>
  <c r="H1898" i="1"/>
  <c r="E1899" i="1"/>
  <c r="F1899" i="1"/>
  <c r="H1899" i="1"/>
  <c r="E1900" i="1"/>
  <c r="F1900" i="1"/>
  <c r="H1900" i="1"/>
  <c r="E1901" i="1"/>
  <c r="F1901" i="1"/>
  <c r="H1901" i="1"/>
  <c r="E1902" i="1"/>
  <c r="F1902" i="1"/>
  <c r="H1902" i="1"/>
  <c r="E1903" i="1"/>
  <c r="F1903" i="1"/>
  <c r="H1903" i="1"/>
  <c r="E1904" i="1"/>
  <c r="F1904" i="1"/>
  <c r="H1904" i="1"/>
  <c r="E1905" i="1"/>
  <c r="F1905" i="1"/>
  <c r="H1905" i="1"/>
  <c r="E1906" i="1"/>
  <c r="F1906" i="1"/>
  <c r="H1906" i="1"/>
  <c r="E1907" i="1"/>
  <c r="F1907" i="1"/>
  <c r="H1907" i="1"/>
  <c r="E1908" i="1"/>
  <c r="F1908" i="1"/>
  <c r="H1908" i="1"/>
  <c r="E1909" i="1"/>
  <c r="F1909" i="1"/>
  <c r="H1909" i="1"/>
  <c r="E1910" i="1"/>
  <c r="F1910" i="1"/>
  <c r="H1910" i="1"/>
  <c r="E1911" i="1"/>
  <c r="F1911" i="1"/>
  <c r="H1911" i="1"/>
  <c r="E1912" i="1"/>
  <c r="F1912" i="1"/>
  <c r="H1912" i="1"/>
  <c r="E1913" i="1"/>
  <c r="F1913" i="1"/>
  <c r="H1913" i="1"/>
  <c r="E1914" i="1"/>
  <c r="F1914" i="1"/>
  <c r="H1914" i="1"/>
  <c r="E1915" i="1"/>
  <c r="F1915" i="1"/>
  <c r="H1915" i="1"/>
  <c r="E1916" i="1"/>
  <c r="F1916" i="1"/>
  <c r="H1916" i="1"/>
  <c r="E1917" i="1"/>
  <c r="F1917" i="1"/>
  <c r="H1917" i="1"/>
  <c r="E1918" i="1"/>
  <c r="F1918" i="1"/>
  <c r="H1918" i="1"/>
  <c r="E1919" i="1"/>
  <c r="F1919" i="1"/>
  <c r="H1919" i="1"/>
  <c r="E1920" i="1"/>
  <c r="F1920" i="1"/>
  <c r="H1920" i="1"/>
  <c r="E1921" i="1"/>
  <c r="F1921" i="1"/>
  <c r="H1921" i="1"/>
  <c r="E1922" i="1"/>
  <c r="F1922" i="1"/>
  <c r="H1922" i="1"/>
  <c r="E1923" i="1"/>
  <c r="F1923" i="1"/>
  <c r="H1923" i="1"/>
  <c r="E1924" i="1"/>
  <c r="F1924" i="1"/>
  <c r="H1924" i="1"/>
  <c r="E1925" i="1"/>
  <c r="F1925" i="1"/>
  <c r="H1925" i="1"/>
  <c r="E1926" i="1"/>
  <c r="F1926" i="1"/>
  <c r="H1926" i="1"/>
  <c r="E1927" i="1"/>
  <c r="F1927" i="1"/>
  <c r="H1927" i="1"/>
  <c r="E1928" i="1"/>
  <c r="F1928" i="1"/>
  <c r="H1928" i="1"/>
  <c r="E1929" i="1"/>
  <c r="F1929" i="1"/>
  <c r="H1929" i="1"/>
  <c r="E1930" i="1"/>
  <c r="F1930" i="1"/>
  <c r="H1930" i="1"/>
  <c r="E1931" i="1"/>
  <c r="F1931" i="1"/>
  <c r="H1931" i="1"/>
  <c r="E1932" i="1"/>
  <c r="F1932" i="1"/>
  <c r="H1932" i="1"/>
  <c r="E1933" i="1"/>
  <c r="F1933" i="1"/>
  <c r="H1933" i="1"/>
  <c r="E1934" i="1"/>
  <c r="F1934" i="1"/>
  <c r="H1934" i="1"/>
  <c r="E1935" i="1"/>
  <c r="F1935" i="1"/>
  <c r="H1935" i="1"/>
  <c r="E1936" i="1"/>
  <c r="F1936" i="1"/>
  <c r="H1936" i="1"/>
  <c r="E1937" i="1"/>
  <c r="F1937" i="1"/>
  <c r="H1937" i="1"/>
  <c r="E1938" i="1"/>
  <c r="F1938" i="1"/>
  <c r="H1938" i="1"/>
  <c r="E1939" i="1"/>
  <c r="F1939" i="1"/>
  <c r="H1939" i="1"/>
  <c r="E1940" i="1"/>
  <c r="F1940" i="1"/>
  <c r="H1940" i="1"/>
  <c r="E1941" i="1"/>
  <c r="F1941" i="1"/>
  <c r="H1941" i="1"/>
  <c r="E1942" i="1"/>
  <c r="F1942" i="1"/>
  <c r="H1942" i="1"/>
  <c r="E1943" i="1"/>
  <c r="F1943" i="1"/>
  <c r="H1943" i="1"/>
  <c r="E1944" i="1"/>
  <c r="F1944" i="1"/>
  <c r="H1944" i="1"/>
  <c r="E1945" i="1"/>
  <c r="F1945" i="1"/>
  <c r="H1945" i="1"/>
  <c r="E1946" i="1"/>
  <c r="F1946" i="1"/>
  <c r="H1946" i="1"/>
  <c r="E1947" i="1"/>
  <c r="F1947" i="1"/>
  <c r="H1947" i="1"/>
  <c r="E1948" i="1"/>
  <c r="F1948" i="1"/>
  <c r="H1948" i="1"/>
  <c r="E1949" i="1"/>
  <c r="F1949" i="1"/>
  <c r="H1949" i="1"/>
  <c r="E1950" i="1"/>
  <c r="F1950" i="1"/>
  <c r="H1950" i="1"/>
  <c r="E1951" i="1"/>
  <c r="F1951" i="1"/>
  <c r="H1951" i="1"/>
  <c r="E1952" i="1"/>
  <c r="F1952" i="1"/>
  <c r="H1952" i="1"/>
  <c r="E1953" i="1"/>
  <c r="F1953" i="1"/>
  <c r="H1953" i="1"/>
  <c r="E1954" i="1"/>
  <c r="F1954" i="1"/>
  <c r="H1954" i="1"/>
  <c r="E1955" i="1"/>
  <c r="F1955" i="1"/>
  <c r="H1955" i="1"/>
  <c r="E1956" i="1"/>
  <c r="F1956" i="1"/>
  <c r="H1956" i="1"/>
  <c r="E1957" i="1"/>
  <c r="F1957" i="1"/>
  <c r="H1957" i="1"/>
  <c r="E1958" i="1"/>
  <c r="F1958" i="1"/>
  <c r="H1958" i="1"/>
  <c r="E1959" i="1"/>
  <c r="F1959" i="1"/>
  <c r="H1959" i="1"/>
  <c r="E1960" i="1"/>
  <c r="F1960" i="1"/>
  <c r="H1960" i="1"/>
  <c r="E1961" i="1"/>
  <c r="F1961" i="1"/>
  <c r="H1961" i="1"/>
  <c r="E1962" i="1"/>
  <c r="F1962" i="1"/>
  <c r="H1962" i="1"/>
  <c r="E1963" i="1"/>
  <c r="F1963" i="1"/>
  <c r="H1963" i="1"/>
  <c r="E1964" i="1"/>
  <c r="F1964" i="1"/>
  <c r="H1964" i="1"/>
  <c r="E1965" i="1"/>
  <c r="F1965" i="1"/>
  <c r="H1965" i="1"/>
  <c r="E1966" i="1"/>
  <c r="F1966" i="1"/>
  <c r="H1966" i="1"/>
  <c r="E1967" i="1"/>
  <c r="F1967" i="1"/>
  <c r="H1967" i="1"/>
  <c r="E1968" i="1"/>
  <c r="F1968" i="1"/>
  <c r="H1968" i="1"/>
  <c r="E1969" i="1"/>
  <c r="F1969" i="1"/>
  <c r="H1969" i="1"/>
  <c r="E1970" i="1"/>
  <c r="F1970" i="1"/>
  <c r="H1970" i="1"/>
  <c r="E1971" i="1"/>
  <c r="F1971" i="1"/>
  <c r="H1971" i="1"/>
  <c r="E1972" i="1"/>
  <c r="F1972" i="1"/>
  <c r="H1972" i="1"/>
  <c r="E1973" i="1"/>
  <c r="F1973" i="1"/>
  <c r="H1973" i="1"/>
  <c r="E1974" i="1"/>
  <c r="F1974" i="1"/>
  <c r="H1974" i="1"/>
  <c r="E1975" i="1"/>
  <c r="F1975" i="1"/>
  <c r="H1975" i="1"/>
  <c r="E1976" i="1"/>
  <c r="F1976" i="1"/>
  <c r="H1976" i="1"/>
  <c r="E1977" i="1"/>
  <c r="F1977" i="1"/>
  <c r="H1977" i="1"/>
  <c r="E1978" i="1"/>
  <c r="F1978" i="1"/>
  <c r="H1978" i="1"/>
  <c r="E1979" i="1"/>
  <c r="F1979" i="1"/>
  <c r="H1979" i="1"/>
  <c r="E1980" i="1"/>
  <c r="F1980" i="1"/>
  <c r="H1980" i="1"/>
  <c r="E1981" i="1"/>
  <c r="F1981" i="1"/>
  <c r="H1981" i="1"/>
  <c r="E1982" i="1"/>
  <c r="F1982" i="1"/>
  <c r="H1982" i="1"/>
  <c r="E1983" i="1"/>
  <c r="F1983" i="1"/>
  <c r="H1983" i="1"/>
  <c r="E1984" i="1"/>
  <c r="F1984" i="1"/>
  <c r="H1984" i="1"/>
  <c r="E1985" i="1"/>
  <c r="F1985" i="1"/>
  <c r="H1985" i="1"/>
  <c r="E1986" i="1"/>
  <c r="F1986" i="1"/>
  <c r="H1986" i="1"/>
  <c r="E1987" i="1"/>
  <c r="F1987" i="1"/>
  <c r="H1987" i="1"/>
  <c r="E1988" i="1"/>
  <c r="F1988" i="1"/>
  <c r="H1988" i="1"/>
  <c r="E1989" i="1"/>
  <c r="F1989" i="1"/>
  <c r="H1989" i="1"/>
  <c r="E1990" i="1"/>
  <c r="F1990" i="1"/>
  <c r="H1990" i="1"/>
  <c r="E1991" i="1"/>
  <c r="F1991" i="1"/>
  <c r="H1991" i="1"/>
  <c r="E1992" i="1"/>
  <c r="F1992" i="1"/>
  <c r="H1992" i="1"/>
  <c r="E1993" i="1"/>
  <c r="F1993" i="1"/>
  <c r="H1993" i="1"/>
  <c r="E1994" i="1"/>
  <c r="F1994" i="1"/>
  <c r="H1994" i="1"/>
  <c r="E1995" i="1"/>
  <c r="F1995" i="1"/>
  <c r="H1995" i="1"/>
  <c r="E1996" i="1"/>
  <c r="F1996" i="1"/>
  <c r="H1996" i="1"/>
  <c r="E1997" i="1"/>
  <c r="F1997" i="1"/>
  <c r="H1997" i="1"/>
  <c r="E1998" i="1"/>
  <c r="F1998" i="1"/>
  <c r="H1998" i="1"/>
  <c r="E1999" i="1"/>
  <c r="F1999" i="1"/>
  <c r="H1999" i="1"/>
  <c r="E2000" i="1"/>
  <c r="F2000" i="1"/>
  <c r="H2000" i="1"/>
  <c r="E2001" i="1"/>
  <c r="F2001" i="1"/>
  <c r="H2001" i="1"/>
  <c r="E2002" i="1"/>
  <c r="F2002" i="1"/>
  <c r="H2002" i="1"/>
  <c r="E2003" i="1"/>
  <c r="F2003" i="1"/>
  <c r="H2003" i="1"/>
  <c r="E2004" i="1"/>
  <c r="F2004" i="1"/>
  <c r="H2004" i="1"/>
  <c r="E2005" i="1"/>
  <c r="F2005" i="1"/>
  <c r="H2005" i="1"/>
  <c r="E2006" i="1"/>
  <c r="F2006" i="1"/>
  <c r="H2006" i="1"/>
  <c r="E2007" i="1"/>
  <c r="F2007" i="1"/>
  <c r="H2007" i="1"/>
  <c r="E2008" i="1"/>
  <c r="F2008" i="1"/>
  <c r="H2008" i="1"/>
  <c r="E2009" i="1"/>
  <c r="F2009" i="1"/>
  <c r="H2009" i="1"/>
  <c r="E2010" i="1"/>
  <c r="F2010" i="1"/>
  <c r="H2010" i="1"/>
  <c r="E2011" i="1"/>
  <c r="F2011" i="1"/>
  <c r="H2011" i="1"/>
  <c r="E2012" i="1"/>
  <c r="F2012" i="1"/>
  <c r="H2012" i="1"/>
  <c r="E2013" i="1"/>
  <c r="F2013" i="1"/>
  <c r="H2013" i="1"/>
  <c r="E2014" i="1"/>
  <c r="F2014" i="1"/>
  <c r="H2014" i="1"/>
  <c r="E2015" i="1"/>
  <c r="F2015" i="1"/>
  <c r="H2015" i="1"/>
  <c r="E2016" i="1"/>
  <c r="F2016" i="1"/>
  <c r="H2016" i="1"/>
  <c r="E2017" i="1"/>
  <c r="F2017" i="1"/>
  <c r="H2017" i="1"/>
  <c r="E2018" i="1"/>
  <c r="F2018" i="1"/>
  <c r="H2018" i="1"/>
  <c r="E2019" i="1"/>
  <c r="F2019" i="1"/>
  <c r="H2019" i="1"/>
  <c r="E2020" i="1"/>
  <c r="F2020" i="1"/>
  <c r="H2020" i="1"/>
  <c r="E2021" i="1"/>
  <c r="F2021" i="1"/>
  <c r="H2021" i="1"/>
  <c r="E2022" i="1"/>
  <c r="F2022" i="1"/>
  <c r="H2022" i="1"/>
  <c r="E2023" i="1"/>
  <c r="F2023" i="1"/>
  <c r="H2023" i="1"/>
  <c r="E2024" i="1"/>
  <c r="F2024" i="1"/>
  <c r="H2024" i="1"/>
  <c r="E2025" i="1"/>
  <c r="F2025" i="1"/>
  <c r="H2025" i="1"/>
  <c r="E2026" i="1"/>
  <c r="F2026" i="1"/>
  <c r="H2026" i="1"/>
  <c r="E2027" i="1"/>
  <c r="F2027" i="1"/>
  <c r="H2027" i="1"/>
  <c r="E2028" i="1"/>
  <c r="F2028" i="1"/>
  <c r="H2028" i="1"/>
  <c r="E2029" i="1"/>
  <c r="F2029" i="1"/>
  <c r="H2029" i="1"/>
  <c r="E2030" i="1"/>
  <c r="F2030" i="1"/>
  <c r="H2030" i="1"/>
  <c r="E2031" i="1"/>
  <c r="F2031" i="1"/>
  <c r="H2031" i="1"/>
  <c r="E2032" i="1"/>
  <c r="F2032" i="1"/>
  <c r="H2032" i="1"/>
  <c r="E2033" i="1"/>
  <c r="F2033" i="1"/>
  <c r="H2033" i="1"/>
  <c r="E2034" i="1"/>
  <c r="F2034" i="1"/>
  <c r="H2034" i="1"/>
  <c r="E2035" i="1"/>
  <c r="F2035" i="1"/>
  <c r="H2035" i="1"/>
  <c r="E2036" i="1"/>
  <c r="F2036" i="1"/>
  <c r="H2036" i="1"/>
  <c r="E2037" i="1"/>
  <c r="F2037" i="1"/>
  <c r="H2037" i="1"/>
  <c r="E2038" i="1"/>
  <c r="F2038" i="1"/>
  <c r="H2038" i="1"/>
  <c r="E2039" i="1"/>
  <c r="F2039" i="1"/>
  <c r="H2039" i="1"/>
  <c r="E2040" i="1"/>
  <c r="F2040" i="1"/>
  <c r="H2040" i="1"/>
  <c r="E2041" i="1"/>
  <c r="F2041" i="1"/>
  <c r="H2041" i="1"/>
  <c r="E2042" i="1"/>
  <c r="F2042" i="1"/>
  <c r="H2042" i="1"/>
  <c r="E2043" i="1"/>
  <c r="F2043" i="1"/>
  <c r="H2043" i="1"/>
  <c r="E2044" i="1"/>
  <c r="F2044" i="1"/>
  <c r="H2044" i="1"/>
  <c r="E2045" i="1"/>
  <c r="F2045" i="1"/>
  <c r="H2045" i="1"/>
  <c r="E2046" i="1"/>
  <c r="F2046" i="1"/>
  <c r="H2046" i="1"/>
  <c r="E2047" i="1"/>
  <c r="F2047" i="1"/>
  <c r="H2047" i="1"/>
  <c r="E2048" i="1"/>
  <c r="F2048" i="1"/>
  <c r="H2048" i="1"/>
  <c r="E2049" i="1"/>
  <c r="F2049" i="1"/>
  <c r="H2049" i="1"/>
  <c r="E2050" i="1"/>
  <c r="F2050" i="1"/>
  <c r="H2050" i="1"/>
  <c r="E2051" i="1"/>
  <c r="F2051" i="1"/>
  <c r="H2051" i="1"/>
  <c r="E2052" i="1"/>
  <c r="F2052" i="1"/>
  <c r="H2052" i="1"/>
  <c r="E2053" i="1"/>
  <c r="F2053" i="1"/>
  <c r="H2053" i="1"/>
  <c r="E2054" i="1"/>
  <c r="F2054" i="1"/>
  <c r="H2054" i="1"/>
  <c r="E2055" i="1"/>
  <c r="F2055" i="1"/>
  <c r="H2055" i="1"/>
  <c r="E2056" i="1"/>
  <c r="F2056" i="1"/>
  <c r="H2056" i="1"/>
  <c r="E2057" i="1"/>
  <c r="F2057" i="1"/>
  <c r="H2057" i="1"/>
  <c r="E2058" i="1"/>
  <c r="F2058" i="1"/>
  <c r="H2058" i="1"/>
  <c r="E2059" i="1"/>
  <c r="F2059" i="1"/>
  <c r="H2059" i="1"/>
  <c r="E2060" i="1"/>
  <c r="F2060" i="1"/>
  <c r="H2060" i="1"/>
  <c r="E2061" i="1"/>
  <c r="F2061" i="1"/>
  <c r="H2061" i="1"/>
  <c r="E2062" i="1"/>
  <c r="F2062" i="1"/>
  <c r="H2062" i="1"/>
  <c r="E2063" i="1"/>
  <c r="F2063" i="1"/>
  <c r="H2063" i="1"/>
  <c r="E2064" i="1"/>
  <c r="F2064" i="1"/>
  <c r="H2064" i="1"/>
  <c r="E2065" i="1"/>
  <c r="F2065" i="1"/>
  <c r="H2065" i="1"/>
  <c r="E2066" i="1"/>
  <c r="F2066" i="1"/>
  <c r="H2066" i="1"/>
  <c r="E2067" i="1"/>
  <c r="F2067" i="1"/>
  <c r="H2067" i="1"/>
  <c r="E2068" i="1"/>
  <c r="F2068" i="1"/>
  <c r="H2068" i="1"/>
  <c r="E2069" i="1"/>
  <c r="F2069" i="1"/>
  <c r="H2069" i="1"/>
  <c r="E2070" i="1"/>
  <c r="F2070" i="1"/>
  <c r="H2070" i="1"/>
  <c r="E2071" i="1"/>
  <c r="F2071" i="1"/>
  <c r="H2071" i="1"/>
  <c r="E2072" i="1"/>
  <c r="F2072" i="1"/>
  <c r="H2072" i="1"/>
  <c r="E2073" i="1"/>
  <c r="F2073" i="1"/>
  <c r="H2073" i="1"/>
  <c r="E2074" i="1"/>
  <c r="F2074" i="1"/>
  <c r="H2074" i="1"/>
  <c r="E2075" i="1"/>
  <c r="F2075" i="1"/>
  <c r="H2075" i="1"/>
  <c r="E2076" i="1"/>
  <c r="F2076" i="1"/>
  <c r="H2076" i="1"/>
  <c r="E2077" i="1"/>
  <c r="F2077" i="1"/>
  <c r="H2077" i="1"/>
  <c r="E2078" i="1"/>
  <c r="F2078" i="1"/>
  <c r="H2078" i="1"/>
  <c r="E2079" i="1"/>
  <c r="F2079" i="1"/>
  <c r="H2079" i="1"/>
  <c r="E2080" i="1"/>
  <c r="F2080" i="1"/>
  <c r="H2080" i="1"/>
  <c r="E2081" i="1"/>
  <c r="F2081" i="1"/>
  <c r="H2081" i="1"/>
  <c r="E2082" i="1"/>
  <c r="F2082" i="1"/>
  <c r="H2082" i="1"/>
  <c r="E2083" i="1"/>
  <c r="F2083" i="1"/>
  <c r="H2083" i="1"/>
  <c r="E2084" i="1"/>
  <c r="F2084" i="1"/>
  <c r="H2084" i="1"/>
  <c r="E2085" i="1"/>
  <c r="F2085" i="1"/>
  <c r="H2085" i="1"/>
  <c r="E2086" i="1"/>
  <c r="F2086" i="1"/>
  <c r="H2086" i="1"/>
  <c r="E2087" i="1"/>
  <c r="F2087" i="1"/>
  <c r="H2087" i="1"/>
  <c r="E2088" i="1"/>
  <c r="F2088" i="1"/>
  <c r="H2088" i="1"/>
  <c r="E2089" i="1"/>
  <c r="F2089" i="1"/>
  <c r="H2089" i="1"/>
  <c r="E2090" i="1"/>
  <c r="F2090" i="1"/>
  <c r="H2090" i="1"/>
  <c r="E2091" i="1"/>
  <c r="F2091" i="1"/>
  <c r="H2091" i="1"/>
  <c r="E2092" i="1"/>
  <c r="F2092" i="1"/>
  <c r="H2092" i="1"/>
  <c r="E2093" i="1"/>
  <c r="F2093" i="1"/>
  <c r="H2093" i="1"/>
  <c r="E2094" i="1"/>
  <c r="F2094" i="1"/>
  <c r="H2094" i="1"/>
  <c r="E2095" i="1"/>
  <c r="F2095" i="1"/>
  <c r="H2095" i="1"/>
  <c r="E2096" i="1"/>
  <c r="F2096" i="1"/>
  <c r="H2096" i="1"/>
  <c r="E2097" i="1"/>
  <c r="F2097" i="1"/>
  <c r="H2097" i="1"/>
  <c r="E2098" i="1"/>
  <c r="F2098" i="1"/>
  <c r="H2098" i="1"/>
  <c r="E2099" i="1"/>
  <c r="F2099" i="1"/>
  <c r="H2099" i="1"/>
  <c r="E2100" i="1"/>
  <c r="F2100" i="1"/>
  <c r="H2100" i="1"/>
  <c r="E2101" i="1"/>
  <c r="F2101" i="1"/>
  <c r="H2101" i="1"/>
  <c r="E2102" i="1"/>
  <c r="F2102" i="1"/>
  <c r="H2102" i="1"/>
  <c r="E2103" i="1"/>
  <c r="F2103" i="1"/>
  <c r="H2103" i="1"/>
  <c r="E2104" i="1"/>
  <c r="F2104" i="1"/>
  <c r="H2104" i="1"/>
  <c r="E2105" i="1"/>
  <c r="F2105" i="1"/>
  <c r="H2105" i="1"/>
  <c r="E2106" i="1"/>
  <c r="F2106" i="1"/>
  <c r="H2106" i="1"/>
  <c r="E2107" i="1"/>
  <c r="F2107" i="1"/>
  <c r="H2107" i="1"/>
  <c r="E2108" i="1"/>
  <c r="F2108" i="1"/>
  <c r="H2108" i="1"/>
  <c r="E2109" i="1"/>
  <c r="F2109" i="1"/>
  <c r="H2109" i="1"/>
  <c r="E2110" i="1"/>
  <c r="F2110" i="1"/>
  <c r="H2110" i="1"/>
  <c r="E2111" i="1"/>
  <c r="F2111" i="1"/>
  <c r="H2111" i="1"/>
  <c r="E2112" i="1"/>
  <c r="F2112" i="1"/>
  <c r="H2112" i="1"/>
  <c r="E2113" i="1"/>
  <c r="F2113" i="1"/>
  <c r="H2113" i="1"/>
  <c r="E2114" i="1"/>
  <c r="F2114" i="1"/>
  <c r="H2114" i="1"/>
  <c r="E2115" i="1"/>
  <c r="F2115" i="1"/>
  <c r="H2115" i="1"/>
  <c r="E2116" i="1"/>
  <c r="F2116" i="1"/>
  <c r="H2116" i="1"/>
  <c r="E2117" i="1"/>
  <c r="F2117" i="1"/>
  <c r="H2117" i="1"/>
  <c r="E2118" i="1"/>
  <c r="F2118" i="1"/>
  <c r="H2118" i="1"/>
  <c r="E2119" i="1"/>
  <c r="F2119" i="1"/>
  <c r="H2119" i="1"/>
  <c r="E2120" i="1"/>
  <c r="F2120" i="1"/>
  <c r="H2120" i="1"/>
  <c r="E2121" i="1"/>
  <c r="F2121" i="1"/>
  <c r="H2121" i="1"/>
  <c r="E2122" i="1"/>
  <c r="F2122" i="1"/>
  <c r="H2122" i="1"/>
  <c r="E2123" i="1"/>
  <c r="F2123" i="1"/>
  <c r="H2123" i="1"/>
  <c r="E2124" i="1"/>
  <c r="F2124" i="1"/>
  <c r="H2124" i="1"/>
  <c r="E2125" i="1"/>
  <c r="F2125" i="1"/>
  <c r="H2125" i="1"/>
  <c r="E2126" i="1"/>
  <c r="F2126" i="1"/>
  <c r="H2126" i="1"/>
  <c r="E2127" i="1"/>
  <c r="F2127" i="1"/>
  <c r="H2127" i="1"/>
  <c r="E2128" i="1"/>
  <c r="F2128" i="1"/>
  <c r="H2128" i="1"/>
  <c r="E2129" i="1"/>
  <c r="F2129" i="1"/>
  <c r="H2129" i="1"/>
  <c r="E2130" i="1"/>
  <c r="F2130" i="1"/>
  <c r="H2130" i="1"/>
  <c r="E2131" i="1"/>
  <c r="F2131" i="1"/>
  <c r="H2131" i="1"/>
  <c r="E2132" i="1"/>
  <c r="F2132" i="1"/>
  <c r="H2132" i="1"/>
  <c r="E2133" i="1"/>
  <c r="F2133" i="1"/>
  <c r="H2133" i="1"/>
  <c r="E2134" i="1"/>
  <c r="F2134" i="1"/>
  <c r="H2134" i="1"/>
  <c r="E2135" i="1"/>
  <c r="F2135" i="1"/>
  <c r="H2135" i="1"/>
  <c r="E2136" i="1"/>
  <c r="F2136" i="1"/>
  <c r="H2136" i="1"/>
  <c r="E2137" i="1"/>
  <c r="F2137" i="1"/>
  <c r="H2137" i="1"/>
  <c r="E2138" i="1"/>
  <c r="F2138" i="1"/>
  <c r="H2138" i="1"/>
  <c r="E2139" i="1"/>
  <c r="F2139" i="1"/>
  <c r="H2139" i="1"/>
  <c r="E2140" i="1"/>
  <c r="F2140" i="1"/>
  <c r="H2140" i="1"/>
  <c r="E2141" i="1"/>
  <c r="F2141" i="1"/>
  <c r="H2141" i="1"/>
  <c r="E2142" i="1"/>
  <c r="F2142" i="1"/>
  <c r="H2142" i="1"/>
  <c r="E2143" i="1"/>
  <c r="F2143" i="1"/>
  <c r="H2143" i="1"/>
  <c r="E2144" i="1"/>
  <c r="F2144" i="1"/>
  <c r="H2144" i="1"/>
  <c r="E2145" i="1"/>
  <c r="F2145" i="1"/>
  <c r="H2145" i="1"/>
  <c r="E2146" i="1"/>
  <c r="F2146" i="1"/>
  <c r="H2146" i="1"/>
  <c r="E2147" i="1"/>
  <c r="F2147" i="1"/>
  <c r="H2147" i="1"/>
  <c r="E2148" i="1"/>
  <c r="F2148" i="1"/>
  <c r="H2148" i="1"/>
  <c r="E2149" i="1"/>
  <c r="F2149" i="1"/>
  <c r="H2149" i="1"/>
  <c r="E2150" i="1"/>
  <c r="F2150" i="1"/>
  <c r="H2150" i="1"/>
  <c r="E2151" i="1"/>
  <c r="F2151" i="1"/>
  <c r="H2151" i="1"/>
  <c r="E2152" i="1"/>
  <c r="F2152" i="1"/>
  <c r="H2152" i="1"/>
  <c r="E2153" i="1"/>
  <c r="F2153" i="1"/>
  <c r="H2153" i="1"/>
  <c r="E2154" i="1"/>
  <c r="F2154" i="1"/>
  <c r="H2154" i="1"/>
  <c r="E2155" i="1"/>
  <c r="F2155" i="1"/>
  <c r="H2155" i="1"/>
  <c r="E2156" i="1"/>
  <c r="F2156" i="1"/>
  <c r="H2156" i="1"/>
  <c r="E2157" i="1"/>
  <c r="F2157" i="1"/>
  <c r="H2157" i="1"/>
  <c r="E2158" i="1"/>
  <c r="F2158" i="1"/>
  <c r="H2158" i="1"/>
  <c r="E2159" i="1"/>
  <c r="F2159" i="1"/>
  <c r="H2159" i="1"/>
  <c r="E2160" i="1"/>
  <c r="F2160" i="1"/>
  <c r="H2160" i="1"/>
  <c r="E2161" i="1"/>
  <c r="F2161" i="1"/>
  <c r="H2161" i="1"/>
  <c r="E2162" i="1"/>
  <c r="F2162" i="1"/>
  <c r="H2162" i="1"/>
  <c r="E2163" i="1"/>
  <c r="F2163" i="1"/>
  <c r="H2163" i="1"/>
  <c r="E2164" i="1"/>
  <c r="F2164" i="1"/>
  <c r="H2164" i="1"/>
  <c r="E2165" i="1"/>
  <c r="F2165" i="1"/>
  <c r="H2165" i="1"/>
  <c r="E2166" i="1"/>
  <c r="F2166" i="1"/>
  <c r="H2166" i="1"/>
  <c r="E2167" i="1"/>
  <c r="F2167" i="1"/>
  <c r="H2167" i="1"/>
  <c r="E2168" i="1"/>
  <c r="F2168" i="1"/>
  <c r="H2168" i="1"/>
  <c r="E2169" i="1"/>
  <c r="F2169" i="1"/>
  <c r="H2169" i="1"/>
  <c r="E2170" i="1"/>
  <c r="F2170" i="1"/>
  <c r="H2170" i="1"/>
  <c r="E2171" i="1"/>
  <c r="F2171" i="1"/>
  <c r="H2171" i="1"/>
  <c r="E2172" i="1"/>
  <c r="F2172" i="1"/>
  <c r="H2172" i="1"/>
  <c r="E2173" i="1"/>
  <c r="F2173" i="1"/>
  <c r="H2173" i="1"/>
  <c r="E2174" i="1"/>
  <c r="F2174" i="1"/>
  <c r="H2174" i="1"/>
  <c r="E2175" i="1"/>
  <c r="F2175" i="1"/>
  <c r="H2175" i="1"/>
  <c r="E2176" i="1"/>
  <c r="F2176" i="1"/>
  <c r="H2176" i="1"/>
  <c r="E2177" i="1"/>
  <c r="F2177" i="1"/>
  <c r="H2177" i="1"/>
  <c r="E2178" i="1"/>
  <c r="F2178" i="1"/>
  <c r="H2178" i="1"/>
  <c r="E2179" i="1"/>
  <c r="F2179" i="1"/>
  <c r="H2179" i="1"/>
  <c r="E2180" i="1"/>
  <c r="F2180" i="1"/>
  <c r="H2180" i="1"/>
  <c r="E2181" i="1"/>
  <c r="F2181" i="1"/>
  <c r="H2181" i="1"/>
  <c r="E2182" i="1"/>
  <c r="F2182" i="1"/>
  <c r="H2182" i="1"/>
  <c r="E2183" i="1"/>
  <c r="F2183" i="1"/>
  <c r="H2183" i="1"/>
  <c r="E2184" i="1"/>
  <c r="F2184" i="1"/>
  <c r="H2184" i="1"/>
  <c r="E2185" i="1"/>
  <c r="F2185" i="1"/>
  <c r="H2185" i="1"/>
  <c r="E2186" i="1"/>
  <c r="F2186" i="1"/>
  <c r="H2186" i="1"/>
  <c r="E2187" i="1"/>
  <c r="F2187" i="1"/>
  <c r="H2187" i="1"/>
  <c r="E2188" i="1"/>
  <c r="F2188" i="1"/>
  <c r="H2188" i="1"/>
  <c r="E2189" i="1"/>
  <c r="F2189" i="1"/>
  <c r="H2189" i="1"/>
  <c r="E2190" i="1"/>
  <c r="F2190" i="1"/>
  <c r="H2190" i="1"/>
  <c r="E2191" i="1"/>
  <c r="F2191" i="1"/>
  <c r="H2191" i="1"/>
  <c r="E2192" i="1"/>
  <c r="F2192" i="1"/>
  <c r="H2192" i="1"/>
  <c r="E2193" i="1"/>
  <c r="F2193" i="1"/>
  <c r="H2193" i="1"/>
  <c r="E2194" i="1"/>
  <c r="F2194" i="1"/>
  <c r="H2194" i="1"/>
  <c r="E2195" i="1"/>
  <c r="F2195" i="1"/>
  <c r="H2195" i="1"/>
  <c r="E2196" i="1"/>
  <c r="F2196" i="1"/>
  <c r="H2196" i="1"/>
  <c r="E2197" i="1"/>
  <c r="F2197" i="1"/>
  <c r="H2197" i="1"/>
  <c r="E2198" i="1"/>
  <c r="F2198" i="1"/>
  <c r="H2198" i="1"/>
  <c r="E2199" i="1"/>
  <c r="F2199" i="1"/>
  <c r="H2199" i="1"/>
  <c r="E2200" i="1"/>
  <c r="F2200" i="1"/>
  <c r="H2200" i="1"/>
  <c r="E2201" i="1"/>
  <c r="F2201" i="1"/>
  <c r="H2201" i="1"/>
  <c r="E2202" i="1"/>
  <c r="F2202" i="1"/>
  <c r="H2202" i="1"/>
  <c r="E2203" i="1"/>
  <c r="F2203" i="1"/>
  <c r="H2203" i="1"/>
  <c r="E2204" i="1"/>
  <c r="F2204" i="1"/>
  <c r="H2204" i="1"/>
  <c r="E2205" i="1"/>
  <c r="F2205" i="1"/>
  <c r="H2205" i="1"/>
  <c r="E2206" i="1"/>
  <c r="F2206" i="1"/>
  <c r="H2206" i="1"/>
  <c r="E2207" i="1"/>
  <c r="F2207" i="1"/>
  <c r="H2207" i="1"/>
  <c r="E2208" i="1"/>
  <c r="F2208" i="1"/>
  <c r="H2208" i="1"/>
  <c r="E2209" i="1"/>
  <c r="F2209" i="1"/>
  <c r="H2209" i="1"/>
  <c r="E2210" i="1"/>
  <c r="F2210" i="1"/>
  <c r="H2210" i="1"/>
  <c r="E2211" i="1"/>
  <c r="F2211" i="1"/>
  <c r="H2211" i="1"/>
  <c r="E2212" i="1"/>
  <c r="F2212" i="1"/>
  <c r="H2212" i="1"/>
  <c r="E2213" i="1"/>
  <c r="F2213" i="1"/>
  <c r="H2213" i="1"/>
  <c r="E2214" i="1"/>
  <c r="F2214" i="1"/>
  <c r="H2214" i="1"/>
  <c r="E2215" i="1"/>
  <c r="F2215" i="1"/>
  <c r="H2215" i="1"/>
  <c r="E2216" i="1"/>
  <c r="F2216" i="1"/>
  <c r="H2216" i="1"/>
  <c r="E2217" i="1"/>
  <c r="F2217" i="1"/>
  <c r="H2217" i="1"/>
  <c r="E2218" i="1"/>
  <c r="F2218" i="1"/>
  <c r="H2218" i="1"/>
  <c r="E2219" i="1"/>
  <c r="F2219" i="1"/>
  <c r="H2219" i="1"/>
  <c r="E2220" i="1"/>
  <c r="F2220" i="1"/>
  <c r="H2220" i="1"/>
  <c r="E2221" i="1"/>
  <c r="F2221" i="1"/>
  <c r="H2221" i="1"/>
  <c r="E2222" i="1"/>
  <c r="F2222" i="1"/>
  <c r="H2222" i="1"/>
  <c r="E2223" i="1"/>
  <c r="F2223" i="1"/>
  <c r="H2223" i="1"/>
  <c r="E2224" i="1"/>
  <c r="F2224" i="1"/>
  <c r="H2224" i="1"/>
  <c r="E2225" i="1"/>
  <c r="F2225" i="1"/>
  <c r="H2225" i="1"/>
  <c r="E2226" i="1"/>
  <c r="F2226" i="1"/>
  <c r="H2226" i="1"/>
  <c r="E2227" i="1"/>
  <c r="F2227" i="1"/>
  <c r="H2227" i="1"/>
  <c r="E2228" i="1"/>
  <c r="F2228" i="1"/>
  <c r="H2228" i="1"/>
  <c r="E2229" i="1"/>
  <c r="F2229" i="1"/>
  <c r="H2229" i="1"/>
  <c r="E2230" i="1"/>
  <c r="F2230" i="1"/>
  <c r="H2230" i="1"/>
  <c r="E2231" i="1"/>
  <c r="F2231" i="1"/>
  <c r="H2231" i="1"/>
  <c r="E2232" i="1"/>
  <c r="F2232" i="1"/>
  <c r="H2232" i="1"/>
  <c r="E2233" i="1"/>
  <c r="F2233" i="1"/>
  <c r="H2233" i="1"/>
  <c r="E2234" i="1"/>
  <c r="F2234" i="1"/>
  <c r="H2234" i="1"/>
  <c r="E2235" i="1"/>
  <c r="F2235" i="1"/>
  <c r="H2235" i="1"/>
  <c r="E2236" i="1"/>
  <c r="F2236" i="1"/>
  <c r="H2236" i="1"/>
  <c r="E2237" i="1"/>
  <c r="F2237" i="1"/>
  <c r="H2237" i="1"/>
  <c r="E2238" i="1"/>
  <c r="F2238" i="1"/>
  <c r="H2238" i="1"/>
  <c r="E2239" i="1"/>
  <c r="F2239" i="1"/>
  <c r="H2239" i="1"/>
  <c r="E2240" i="1"/>
  <c r="F2240" i="1"/>
  <c r="H2240" i="1"/>
  <c r="E2241" i="1"/>
  <c r="F2241" i="1"/>
  <c r="H2241" i="1"/>
  <c r="E2242" i="1"/>
  <c r="F2242" i="1"/>
  <c r="H2242" i="1"/>
  <c r="E2243" i="1"/>
  <c r="F2243" i="1"/>
  <c r="H2243" i="1"/>
  <c r="E2244" i="1"/>
  <c r="F2244" i="1"/>
  <c r="H2244" i="1"/>
  <c r="E2245" i="1"/>
  <c r="F2245" i="1"/>
  <c r="H2245" i="1"/>
  <c r="E2246" i="1"/>
  <c r="F2246" i="1"/>
  <c r="H2246" i="1"/>
  <c r="E2247" i="1"/>
  <c r="F2247" i="1"/>
  <c r="H2247" i="1"/>
  <c r="E2248" i="1"/>
  <c r="F2248" i="1"/>
  <c r="H2248" i="1"/>
  <c r="E2249" i="1"/>
  <c r="F2249" i="1"/>
  <c r="H2249" i="1"/>
  <c r="E2250" i="1"/>
  <c r="F2250" i="1"/>
  <c r="H2250" i="1"/>
  <c r="E2251" i="1"/>
  <c r="F2251" i="1"/>
  <c r="H2251" i="1"/>
  <c r="E2252" i="1"/>
  <c r="F2252" i="1"/>
  <c r="H2252" i="1"/>
  <c r="E2253" i="1"/>
  <c r="F2253" i="1"/>
  <c r="H2253" i="1"/>
  <c r="E2254" i="1"/>
  <c r="F2254" i="1"/>
  <c r="H2254" i="1"/>
  <c r="E2255" i="1"/>
  <c r="F2255" i="1"/>
  <c r="H2255" i="1"/>
  <c r="E2256" i="1"/>
  <c r="F2256" i="1"/>
  <c r="H2256" i="1"/>
  <c r="E2257" i="1"/>
  <c r="F2257" i="1"/>
  <c r="H2257" i="1"/>
  <c r="E2258" i="1"/>
  <c r="F2258" i="1"/>
  <c r="H2258" i="1"/>
  <c r="E2259" i="1"/>
  <c r="F2259" i="1"/>
  <c r="H2259" i="1"/>
  <c r="E2260" i="1"/>
  <c r="F2260" i="1"/>
  <c r="H2260" i="1"/>
  <c r="E2261" i="1"/>
  <c r="F2261" i="1"/>
  <c r="H2261" i="1"/>
  <c r="E2262" i="1"/>
  <c r="F2262" i="1"/>
  <c r="H2262" i="1"/>
  <c r="E2263" i="1"/>
  <c r="F2263" i="1"/>
  <c r="H2263" i="1"/>
  <c r="E2264" i="1"/>
  <c r="F2264" i="1"/>
  <c r="H2264" i="1"/>
  <c r="E2265" i="1"/>
  <c r="F2265" i="1"/>
  <c r="H2265" i="1"/>
  <c r="E2266" i="1"/>
  <c r="F2266" i="1"/>
  <c r="H2266" i="1"/>
  <c r="E2267" i="1"/>
  <c r="F2267" i="1"/>
  <c r="H2267" i="1"/>
  <c r="E2268" i="1"/>
  <c r="F2268" i="1"/>
  <c r="H2268" i="1"/>
  <c r="E2269" i="1"/>
  <c r="F2269" i="1"/>
  <c r="H2269" i="1"/>
  <c r="E2270" i="1"/>
  <c r="F2270" i="1"/>
  <c r="H2270" i="1"/>
  <c r="E2271" i="1"/>
  <c r="F2271" i="1"/>
  <c r="H2271" i="1"/>
  <c r="E2272" i="1"/>
  <c r="F2272" i="1"/>
  <c r="H2272" i="1"/>
  <c r="E2273" i="1"/>
  <c r="F2273" i="1"/>
  <c r="H2273" i="1"/>
  <c r="E2274" i="1"/>
  <c r="F2274" i="1"/>
  <c r="H2274" i="1"/>
  <c r="E2275" i="1"/>
  <c r="F2275" i="1"/>
  <c r="H2275" i="1"/>
  <c r="E2276" i="1"/>
  <c r="F2276" i="1"/>
  <c r="H2276" i="1"/>
  <c r="E2277" i="1"/>
  <c r="F2277" i="1"/>
  <c r="H2277" i="1"/>
  <c r="E2278" i="1"/>
  <c r="F2278" i="1"/>
  <c r="H2278" i="1"/>
  <c r="E2279" i="1"/>
  <c r="F2279" i="1"/>
  <c r="H2279" i="1"/>
  <c r="E2280" i="1"/>
  <c r="F2280" i="1"/>
  <c r="H2280" i="1"/>
  <c r="E2281" i="1"/>
  <c r="F2281" i="1"/>
  <c r="H2281" i="1"/>
  <c r="E2282" i="1"/>
  <c r="F2282" i="1"/>
  <c r="H2282" i="1"/>
  <c r="E2283" i="1"/>
  <c r="F2283" i="1"/>
  <c r="H2283" i="1"/>
  <c r="E2284" i="1"/>
  <c r="F2284" i="1"/>
  <c r="H2284" i="1"/>
  <c r="E2285" i="1"/>
  <c r="F2285" i="1"/>
  <c r="H2285" i="1"/>
  <c r="E2286" i="1"/>
  <c r="F2286" i="1"/>
  <c r="H2286" i="1"/>
  <c r="E2287" i="1"/>
  <c r="F2287" i="1"/>
  <c r="H2287" i="1"/>
  <c r="E2288" i="1"/>
  <c r="F2288" i="1"/>
  <c r="H2288" i="1"/>
  <c r="E2289" i="1"/>
  <c r="F2289" i="1"/>
  <c r="H2289" i="1"/>
  <c r="E2290" i="1"/>
  <c r="F2290" i="1"/>
  <c r="H2290" i="1"/>
  <c r="E2291" i="1"/>
  <c r="F2291" i="1"/>
  <c r="H2291" i="1"/>
  <c r="E2292" i="1"/>
  <c r="F2292" i="1"/>
  <c r="H2292" i="1"/>
  <c r="E2293" i="1"/>
  <c r="F2293" i="1"/>
  <c r="H2293" i="1"/>
  <c r="E2294" i="1"/>
  <c r="F2294" i="1"/>
  <c r="H2294" i="1"/>
  <c r="E2295" i="1"/>
  <c r="F2295" i="1"/>
  <c r="H2295" i="1"/>
  <c r="E2296" i="1"/>
  <c r="F2296" i="1"/>
  <c r="H2296" i="1"/>
  <c r="E2297" i="1"/>
  <c r="F2297" i="1"/>
  <c r="H2297" i="1"/>
  <c r="E2298" i="1"/>
  <c r="F2298" i="1"/>
  <c r="H2298" i="1"/>
  <c r="E2299" i="1"/>
  <c r="F2299" i="1"/>
  <c r="H2299" i="1"/>
  <c r="E2300" i="1"/>
  <c r="F2300" i="1"/>
  <c r="H2300" i="1"/>
  <c r="E2301" i="1"/>
  <c r="F2301" i="1"/>
  <c r="H2301" i="1"/>
  <c r="E2302" i="1"/>
  <c r="F2302" i="1"/>
  <c r="H2302" i="1"/>
  <c r="E2303" i="1"/>
  <c r="F2303" i="1"/>
  <c r="H2303" i="1"/>
  <c r="E2304" i="1"/>
  <c r="F2304" i="1"/>
  <c r="H2304" i="1"/>
  <c r="E2305" i="1"/>
  <c r="F2305" i="1"/>
  <c r="H2305" i="1"/>
  <c r="E2306" i="1"/>
  <c r="F2306" i="1"/>
  <c r="H2306" i="1"/>
  <c r="E2307" i="1"/>
  <c r="F2307" i="1"/>
  <c r="H2307" i="1"/>
  <c r="E2308" i="1"/>
  <c r="F2308" i="1"/>
  <c r="H2308" i="1"/>
  <c r="E2309" i="1"/>
  <c r="F2309" i="1"/>
  <c r="H2309" i="1"/>
  <c r="E2310" i="1"/>
  <c r="F2310" i="1"/>
  <c r="H2310" i="1"/>
  <c r="E2311" i="1"/>
  <c r="F2311" i="1"/>
  <c r="H2311" i="1"/>
  <c r="E2312" i="1"/>
  <c r="F2312" i="1"/>
  <c r="H2312" i="1"/>
  <c r="E2313" i="1"/>
  <c r="F2313" i="1"/>
  <c r="H2313" i="1"/>
  <c r="E2314" i="1"/>
  <c r="F2314" i="1"/>
  <c r="H2314" i="1"/>
  <c r="E2315" i="1"/>
  <c r="F2315" i="1"/>
  <c r="H2315" i="1"/>
  <c r="E2316" i="1"/>
  <c r="F2316" i="1"/>
  <c r="H2316" i="1"/>
  <c r="E2317" i="1"/>
  <c r="F2317" i="1"/>
  <c r="H2317" i="1"/>
  <c r="E2318" i="1"/>
  <c r="F2318" i="1"/>
  <c r="H2318" i="1"/>
  <c r="E2319" i="1"/>
  <c r="F2319" i="1"/>
  <c r="H2319" i="1"/>
  <c r="E2320" i="1"/>
  <c r="F2320" i="1"/>
  <c r="H2320" i="1"/>
  <c r="E2321" i="1"/>
  <c r="F2321" i="1"/>
  <c r="H2321" i="1"/>
  <c r="E2322" i="1"/>
  <c r="F2322" i="1"/>
  <c r="H2322" i="1"/>
  <c r="E2323" i="1"/>
  <c r="F2323" i="1"/>
  <c r="H2323" i="1"/>
  <c r="E2324" i="1"/>
  <c r="F2324" i="1"/>
  <c r="H2324" i="1"/>
  <c r="E2325" i="1"/>
  <c r="F2325" i="1"/>
  <c r="H2325" i="1"/>
  <c r="E2326" i="1"/>
  <c r="F2326" i="1"/>
  <c r="H2326" i="1"/>
  <c r="E2327" i="1"/>
  <c r="F2327" i="1"/>
  <c r="H2327" i="1"/>
  <c r="E2328" i="1"/>
  <c r="F2328" i="1"/>
  <c r="H2328" i="1"/>
  <c r="E2329" i="1"/>
  <c r="F2329" i="1"/>
  <c r="H2329" i="1"/>
  <c r="E2330" i="1"/>
  <c r="F2330" i="1"/>
  <c r="H2330" i="1"/>
  <c r="E2331" i="1"/>
  <c r="F2331" i="1"/>
  <c r="H2331" i="1"/>
  <c r="E2332" i="1"/>
  <c r="F2332" i="1"/>
  <c r="H2332" i="1"/>
  <c r="E2333" i="1"/>
  <c r="F2333" i="1"/>
  <c r="H2333" i="1"/>
  <c r="E2334" i="1"/>
  <c r="F2334" i="1"/>
  <c r="H2334" i="1"/>
  <c r="E2335" i="1"/>
  <c r="F2335" i="1"/>
  <c r="H2335" i="1"/>
  <c r="E2336" i="1"/>
  <c r="F2336" i="1"/>
  <c r="H2336" i="1"/>
  <c r="E2337" i="1"/>
  <c r="F2337" i="1"/>
  <c r="H2337" i="1"/>
  <c r="E2338" i="1"/>
  <c r="F2338" i="1"/>
  <c r="H2338" i="1"/>
  <c r="E2339" i="1"/>
  <c r="F2339" i="1"/>
  <c r="H2339" i="1"/>
  <c r="E2340" i="1"/>
  <c r="F2340" i="1"/>
  <c r="H2340" i="1"/>
  <c r="E2341" i="1"/>
  <c r="F2341" i="1"/>
  <c r="H2341" i="1"/>
  <c r="E2342" i="1"/>
  <c r="F2342" i="1"/>
  <c r="H2342" i="1"/>
  <c r="E2343" i="1"/>
  <c r="F2343" i="1"/>
  <c r="H2343" i="1"/>
  <c r="E2344" i="1"/>
  <c r="F2344" i="1"/>
  <c r="H2344" i="1"/>
  <c r="E2345" i="1"/>
  <c r="F2345" i="1"/>
  <c r="H2345" i="1"/>
  <c r="E2346" i="1"/>
  <c r="F2346" i="1"/>
  <c r="H2346" i="1"/>
  <c r="E2347" i="1"/>
  <c r="F2347" i="1"/>
  <c r="H2347" i="1"/>
  <c r="E2348" i="1"/>
  <c r="F2348" i="1"/>
  <c r="H2348" i="1"/>
  <c r="E2349" i="1"/>
  <c r="F2349" i="1"/>
  <c r="H2349" i="1"/>
  <c r="E2350" i="1"/>
  <c r="F2350" i="1"/>
  <c r="H2350" i="1"/>
  <c r="E2351" i="1"/>
  <c r="F2351" i="1"/>
  <c r="H2351" i="1"/>
  <c r="E2352" i="1"/>
  <c r="F2352" i="1"/>
  <c r="H2352" i="1"/>
  <c r="E2353" i="1"/>
  <c r="F2353" i="1"/>
  <c r="H2353" i="1"/>
  <c r="E2354" i="1"/>
  <c r="F2354" i="1"/>
  <c r="H2354" i="1"/>
  <c r="E2355" i="1"/>
  <c r="F2355" i="1"/>
  <c r="H2355" i="1"/>
  <c r="E2356" i="1"/>
  <c r="F2356" i="1"/>
  <c r="H2356" i="1"/>
  <c r="E2357" i="1"/>
  <c r="F2357" i="1"/>
  <c r="H2357" i="1"/>
  <c r="E2358" i="1"/>
  <c r="F2358" i="1"/>
  <c r="H2358" i="1"/>
  <c r="E2359" i="1"/>
  <c r="F2359" i="1"/>
  <c r="H2359" i="1"/>
  <c r="E2360" i="1"/>
  <c r="F2360" i="1"/>
  <c r="H2360" i="1"/>
  <c r="E2361" i="1"/>
  <c r="F2361" i="1"/>
  <c r="H2361" i="1"/>
  <c r="E2362" i="1"/>
  <c r="F2362" i="1"/>
  <c r="H2362" i="1"/>
  <c r="E2363" i="1"/>
  <c r="F2363" i="1"/>
  <c r="H2363" i="1"/>
  <c r="E2364" i="1"/>
  <c r="F2364" i="1"/>
  <c r="H2364" i="1"/>
  <c r="E2365" i="1"/>
  <c r="F2365" i="1"/>
  <c r="H2365" i="1"/>
  <c r="E2366" i="1"/>
  <c r="F2366" i="1"/>
  <c r="H2366" i="1"/>
  <c r="E2367" i="1"/>
  <c r="F2367" i="1"/>
  <c r="H2367" i="1"/>
  <c r="E2368" i="1"/>
  <c r="F2368" i="1"/>
  <c r="H2368" i="1"/>
  <c r="E2369" i="1"/>
  <c r="F2369" i="1"/>
  <c r="H2369" i="1"/>
  <c r="E2370" i="1"/>
  <c r="F2370" i="1"/>
  <c r="H2370" i="1"/>
  <c r="E2371" i="1"/>
  <c r="F2371" i="1"/>
  <c r="H2371" i="1"/>
  <c r="E2372" i="1"/>
  <c r="F2372" i="1"/>
  <c r="H2372" i="1"/>
  <c r="E2373" i="1"/>
  <c r="F2373" i="1"/>
  <c r="H2373" i="1"/>
  <c r="E2374" i="1"/>
  <c r="F2374" i="1"/>
  <c r="H2374" i="1"/>
  <c r="E2375" i="1"/>
  <c r="F2375" i="1"/>
  <c r="H2375" i="1"/>
  <c r="E2376" i="1"/>
  <c r="F2376" i="1"/>
  <c r="H2376" i="1"/>
  <c r="E2377" i="1"/>
  <c r="F2377" i="1"/>
  <c r="H2377" i="1"/>
  <c r="E2378" i="1"/>
  <c r="F2378" i="1"/>
  <c r="H2378" i="1"/>
  <c r="E2379" i="1"/>
  <c r="F2379" i="1"/>
  <c r="H2379" i="1"/>
  <c r="E2380" i="1"/>
  <c r="F2380" i="1"/>
  <c r="H2380" i="1"/>
  <c r="E2381" i="1"/>
  <c r="F2381" i="1"/>
  <c r="H2381" i="1"/>
  <c r="E2382" i="1"/>
  <c r="F2382" i="1"/>
  <c r="H2382" i="1"/>
  <c r="E2383" i="1"/>
  <c r="F2383" i="1"/>
  <c r="H2383" i="1"/>
  <c r="E2384" i="1"/>
  <c r="F2384" i="1"/>
  <c r="H2384" i="1"/>
  <c r="E2385" i="1"/>
  <c r="F2385" i="1"/>
  <c r="H2385" i="1"/>
  <c r="E2386" i="1"/>
  <c r="F2386" i="1"/>
  <c r="H2386" i="1"/>
  <c r="E2387" i="1"/>
  <c r="F2387" i="1"/>
  <c r="H2387" i="1"/>
  <c r="E2388" i="1"/>
  <c r="F2388" i="1"/>
  <c r="H2388" i="1"/>
  <c r="E2389" i="1"/>
  <c r="F2389" i="1"/>
  <c r="H2389" i="1"/>
  <c r="E2390" i="1"/>
  <c r="F2390" i="1"/>
  <c r="H2390" i="1"/>
  <c r="E2391" i="1"/>
  <c r="F2391" i="1"/>
  <c r="H2391" i="1"/>
  <c r="E2392" i="1"/>
  <c r="F2392" i="1"/>
  <c r="H2392" i="1"/>
  <c r="E2393" i="1"/>
  <c r="F2393" i="1"/>
  <c r="H2393" i="1"/>
  <c r="E2394" i="1"/>
  <c r="F2394" i="1"/>
  <c r="H2394" i="1"/>
  <c r="E2395" i="1"/>
  <c r="F2395" i="1"/>
  <c r="H2395" i="1"/>
  <c r="E2396" i="1"/>
  <c r="F2396" i="1"/>
  <c r="H2396" i="1"/>
  <c r="E2397" i="1"/>
  <c r="F2397" i="1"/>
  <c r="H2397" i="1"/>
  <c r="E2398" i="1"/>
  <c r="F2398" i="1"/>
  <c r="H2398" i="1"/>
  <c r="E2399" i="1"/>
  <c r="F2399" i="1"/>
  <c r="H2399" i="1"/>
  <c r="E2400" i="1"/>
  <c r="F2400" i="1"/>
  <c r="H2400" i="1"/>
  <c r="E2401" i="1"/>
  <c r="F2401" i="1"/>
  <c r="H2401" i="1"/>
  <c r="E2402" i="1"/>
  <c r="F2402" i="1"/>
  <c r="H2402" i="1"/>
  <c r="E2403" i="1"/>
  <c r="F2403" i="1"/>
  <c r="H2403" i="1"/>
  <c r="E2404" i="1"/>
  <c r="F2404" i="1"/>
  <c r="H2404" i="1"/>
  <c r="E2405" i="1"/>
  <c r="F2405" i="1"/>
  <c r="H2405" i="1"/>
  <c r="E2406" i="1"/>
  <c r="F2406" i="1"/>
  <c r="H2406" i="1"/>
  <c r="E2407" i="1"/>
  <c r="F2407" i="1"/>
  <c r="H2407" i="1"/>
  <c r="E2408" i="1"/>
  <c r="F2408" i="1"/>
  <c r="H2408" i="1"/>
  <c r="E2409" i="1"/>
  <c r="F2409" i="1"/>
  <c r="H2409" i="1"/>
  <c r="E2410" i="1"/>
  <c r="F2410" i="1"/>
  <c r="H2410" i="1"/>
  <c r="E2411" i="1"/>
  <c r="F2411" i="1"/>
  <c r="H2411" i="1"/>
  <c r="E2412" i="1"/>
  <c r="F2412" i="1"/>
  <c r="H2412" i="1"/>
  <c r="E2413" i="1"/>
  <c r="F2413" i="1"/>
  <c r="H2413" i="1"/>
  <c r="E2414" i="1"/>
  <c r="F2414" i="1"/>
  <c r="H2414" i="1"/>
  <c r="E2415" i="1"/>
  <c r="F2415" i="1"/>
  <c r="H2415" i="1"/>
  <c r="E2416" i="1"/>
  <c r="F2416" i="1"/>
  <c r="H2416" i="1"/>
  <c r="E2417" i="1"/>
  <c r="F2417" i="1"/>
  <c r="H2417" i="1"/>
  <c r="E2418" i="1"/>
  <c r="F2418" i="1"/>
  <c r="H2418" i="1"/>
  <c r="E2419" i="1"/>
  <c r="F2419" i="1"/>
  <c r="H2419" i="1"/>
  <c r="E2420" i="1"/>
  <c r="F2420" i="1"/>
  <c r="H2420" i="1"/>
  <c r="E2421" i="1"/>
  <c r="F2421" i="1"/>
  <c r="H2421" i="1"/>
  <c r="E2422" i="1"/>
  <c r="F2422" i="1"/>
  <c r="H2422" i="1"/>
  <c r="E2423" i="1"/>
  <c r="F2423" i="1"/>
  <c r="H2423" i="1"/>
  <c r="E2424" i="1"/>
  <c r="F2424" i="1"/>
  <c r="H2424" i="1"/>
  <c r="E2425" i="1"/>
  <c r="F2425" i="1"/>
  <c r="H2425" i="1"/>
  <c r="E2426" i="1"/>
  <c r="F2426" i="1"/>
  <c r="H2426" i="1"/>
  <c r="E2427" i="1"/>
  <c r="F2427" i="1"/>
  <c r="H2427" i="1"/>
  <c r="E2428" i="1"/>
  <c r="F2428" i="1"/>
  <c r="H2428" i="1"/>
  <c r="E2429" i="1"/>
  <c r="F2429" i="1"/>
  <c r="H2429" i="1"/>
  <c r="E2430" i="1"/>
  <c r="F2430" i="1"/>
  <c r="H2430" i="1"/>
  <c r="E2431" i="1"/>
  <c r="F2431" i="1"/>
  <c r="H2431" i="1"/>
  <c r="E2432" i="1"/>
  <c r="F2432" i="1"/>
  <c r="H2432" i="1"/>
  <c r="E2433" i="1"/>
  <c r="F2433" i="1"/>
  <c r="H2433" i="1"/>
  <c r="E2434" i="1"/>
  <c r="F2434" i="1"/>
  <c r="H2434" i="1"/>
  <c r="E2435" i="1"/>
  <c r="F2435" i="1"/>
  <c r="H2435" i="1"/>
  <c r="E2436" i="1"/>
  <c r="F2436" i="1"/>
  <c r="H2436" i="1"/>
  <c r="E2437" i="1"/>
  <c r="F2437" i="1"/>
  <c r="H2437" i="1"/>
  <c r="E2438" i="1"/>
  <c r="F2438" i="1"/>
  <c r="H2438" i="1"/>
  <c r="E2439" i="1"/>
  <c r="F2439" i="1"/>
  <c r="H2439" i="1"/>
  <c r="E2440" i="1"/>
  <c r="F2440" i="1"/>
  <c r="H2440" i="1"/>
  <c r="E2441" i="1"/>
  <c r="F2441" i="1"/>
  <c r="H2441" i="1"/>
  <c r="E2442" i="1"/>
  <c r="F2442" i="1"/>
  <c r="H2442" i="1"/>
  <c r="E2443" i="1"/>
  <c r="F2443" i="1"/>
  <c r="H2443" i="1"/>
  <c r="E2444" i="1"/>
  <c r="F2444" i="1"/>
  <c r="H2444" i="1"/>
  <c r="E2445" i="1"/>
  <c r="F2445" i="1"/>
  <c r="H2445" i="1"/>
  <c r="E2446" i="1"/>
  <c r="F2446" i="1"/>
  <c r="H2446" i="1"/>
  <c r="E2447" i="1"/>
  <c r="F2447" i="1"/>
  <c r="H2447" i="1"/>
  <c r="E2448" i="1"/>
  <c r="F2448" i="1"/>
  <c r="H2448" i="1"/>
  <c r="E2449" i="1"/>
  <c r="F2449" i="1"/>
  <c r="H2449" i="1"/>
  <c r="E2450" i="1"/>
  <c r="F2450" i="1"/>
  <c r="H2450" i="1"/>
  <c r="E2451" i="1"/>
  <c r="F2451" i="1"/>
  <c r="H2451" i="1"/>
  <c r="E2452" i="1"/>
  <c r="F2452" i="1"/>
  <c r="H2452" i="1"/>
  <c r="E2453" i="1"/>
  <c r="F2453" i="1"/>
  <c r="H2453" i="1"/>
  <c r="E2454" i="1"/>
  <c r="F2454" i="1"/>
  <c r="H2454" i="1"/>
  <c r="E2455" i="1"/>
  <c r="F2455" i="1"/>
  <c r="H2455" i="1"/>
  <c r="E2456" i="1"/>
  <c r="F2456" i="1"/>
  <c r="H2456" i="1"/>
  <c r="E2457" i="1"/>
  <c r="F2457" i="1"/>
  <c r="H2457" i="1"/>
  <c r="E2458" i="1"/>
  <c r="F2458" i="1"/>
  <c r="H2458" i="1"/>
  <c r="E2459" i="1"/>
  <c r="F2459" i="1"/>
  <c r="H2459" i="1"/>
  <c r="E2460" i="1"/>
  <c r="F2460" i="1"/>
  <c r="H2460" i="1"/>
  <c r="E2461" i="1"/>
  <c r="F2461" i="1"/>
  <c r="H2461" i="1"/>
  <c r="E2462" i="1"/>
  <c r="F2462" i="1"/>
  <c r="H2462" i="1"/>
  <c r="E2463" i="1"/>
  <c r="F2463" i="1"/>
  <c r="H2463" i="1"/>
  <c r="E2464" i="1"/>
  <c r="F2464" i="1"/>
  <c r="H2464" i="1"/>
  <c r="E2465" i="1"/>
  <c r="F2465" i="1"/>
  <c r="H2465" i="1"/>
  <c r="E2466" i="1"/>
  <c r="F2466" i="1"/>
  <c r="H2466" i="1"/>
  <c r="E2467" i="1"/>
  <c r="F2467" i="1"/>
  <c r="H2467" i="1"/>
  <c r="E2468" i="1"/>
  <c r="F2468" i="1"/>
  <c r="H2468" i="1"/>
  <c r="E2469" i="1"/>
  <c r="F2469" i="1"/>
  <c r="H2469" i="1"/>
  <c r="E2470" i="1"/>
  <c r="F2470" i="1"/>
  <c r="H2470" i="1"/>
  <c r="E2471" i="1"/>
  <c r="F2471" i="1"/>
  <c r="H2471" i="1"/>
  <c r="E2472" i="1"/>
  <c r="F2472" i="1"/>
  <c r="H2472" i="1"/>
  <c r="E2473" i="1"/>
  <c r="F2473" i="1"/>
  <c r="H2473" i="1"/>
  <c r="E2474" i="1"/>
  <c r="F2474" i="1"/>
  <c r="H2474" i="1"/>
  <c r="E2475" i="1"/>
  <c r="F2475" i="1"/>
  <c r="H2475" i="1"/>
  <c r="E2476" i="1"/>
  <c r="F2476" i="1"/>
  <c r="H2476" i="1"/>
  <c r="E2477" i="1"/>
  <c r="F2477" i="1"/>
  <c r="H2477" i="1"/>
  <c r="E2478" i="1"/>
  <c r="F2478" i="1"/>
  <c r="H2478" i="1"/>
  <c r="E2479" i="1"/>
  <c r="F2479" i="1"/>
  <c r="H2479" i="1"/>
  <c r="E2480" i="1"/>
  <c r="F2480" i="1"/>
  <c r="H2480" i="1"/>
  <c r="E2481" i="1"/>
  <c r="F2481" i="1"/>
  <c r="H2481" i="1"/>
  <c r="E2482" i="1"/>
  <c r="F2482" i="1"/>
  <c r="H2482" i="1"/>
  <c r="E2483" i="1"/>
  <c r="F2483" i="1"/>
  <c r="H2483" i="1"/>
  <c r="E2484" i="1"/>
  <c r="F2484" i="1"/>
  <c r="H2484" i="1"/>
  <c r="E2485" i="1"/>
  <c r="F2485" i="1"/>
  <c r="H2485" i="1"/>
  <c r="E2486" i="1"/>
  <c r="F2486" i="1"/>
  <c r="H2486" i="1"/>
  <c r="E2487" i="1"/>
  <c r="F2487" i="1"/>
  <c r="H2487" i="1"/>
  <c r="E2488" i="1"/>
  <c r="F2488" i="1"/>
  <c r="H2488" i="1"/>
  <c r="E2489" i="1"/>
  <c r="F2489" i="1"/>
  <c r="H2489" i="1"/>
  <c r="E2490" i="1"/>
  <c r="F2490" i="1"/>
  <c r="H2490" i="1"/>
  <c r="E2491" i="1"/>
  <c r="F2491" i="1"/>
  <c r="H2491" i="1"/>
  <c r="E2492" i="1"/>
  <c r="F2492" i="1"/>
  <c r="H2492" i="1"/>
  <c r="E2493" i="1"/>
  <c r="F2493" i="1"/>
  <c r="H2493" i="1"/>
  <c r="E2494" i="1"/>
  <c r="F2494" i="1"/>
  <c r="H2494" i="1"/>
  <c r="E2495" i="1"/>
  <c r="F2495" i="1"/>
  <c r="H2495" i="1"/>
  <c r="E2496" i="1"/>
  <c r="F2496" i="1"/>
  <c r="H2496" i="1"/>
  <c r="E2497" i="1"/>
  <c r="F2497" i="1"/>
  <c r="H2497" i="1"/>
  <c r="E2498" i="1"/>
  <c r="F2498" i="1"/>
  <c r="H2498" i="1"/>
  <c r="E2499" i="1"/>
  <c r="F2499" i="1"/>
  <c r="H2499" i="1"/>
  <c r="E2500" i="1"/>
  <c r="F2500" i="1"/>
  <c r="H2500" i="1"/>
  <c r="E2501" i="1"/>
  <c r="F2501" i="1"/>
  <c r="H2501" i="1"/>
  <c r="E2502" i="1"/>
  <c r="F2502" i="1"/>
  <c r="H2502" i="1"/>
  <c r="E2503" i="1"/>
  <c r="F2503" i="1"/>
  <c r="H2503" i="1"/>
  <c r="E2504" i="1"/>
  <c r="F2504" i="1"/>
  <c r="H2504" i="1"/>
  <c r="E2505" i="1"/>
  <c r="F2505" i="1"/>
  <c r="H2505" i="1"/>
  <c r="E2506" i="1"/>
  <c r="F2506" i="1"/>
  <c r="H2506" i="1"/>
  <c r="E2507" i="1"/>
  <c r="F2507" i="1"/>
  <c r="H2507" i="1"/>
  <c r="E2508" i="1"/>
  <c r="F2508" i="1"/>
  <c r="H2508" i="1"/>
  <c r="E2509" i="1"/>
  <c r="F2509" i="1"/>
  <c r="H2509" i="1"/>
  <c r="E2510" i="1"/>
  <c r="F2510" i="1"/>
  <c r="H2510" i="1"/>
  <c r="E2511" i="1"/>
  <c r="F2511" i="1"/>
  <c r="H2511" i="1"/>
  <c r="E2512" i="1"/>
  <c r="F2512" i="1"/>
  <c r="H2512" i="1"/>
  <c r="E2513" i="1"/>
  <c r="F2513" i="1"/>
  <c r="H2513" i="1"/>
  <c r="E2514" i="1"/>
  <c r="F2514" i="1"/>
  <c r="H2514" i="1"/>
  <c r="E2515" i="1"/>
  <c r="F2515" i="1"/>
  <c r="H2515" i="1"/>
  <c r="E2516" i="1"/>
  <c r="F2516" i="1"/>
  <c r="H2516" i="1"/>
  <c r="E2517" i="1"/>
  <c r="F2517" i="1"/>
  <c r="H2517" i="1"/>
  <c r="E2518" i="1"/>
  <c r="F2518" i="1"/>
  <c r="H2518" i="1"/>
  <c r="E2519" i="1"/>
  <c r="F2519" i="1"/>
  <c r="H2519" i="1"/>
  <c r="E2520" i="1"/>
  <c r="F2520" i="1"/>
  <c r="H2520" i="1"/>
  <c r="E2521" i="1"/>
  <c r="F2521" i="1"/>
  <c r="H2521" i="1"/>
  <c r="E2522" i="1"/>
  <c r="F2522" i="1"/>
  <c r="H2522" i="1"/>
  <c r="E2523" i="1"/>
  <c r="F2523" i="1"/>
  <c r="H2523" i="1"/>
  <c r="E2524" i="1"/>
  <c r="F2524" i="1"/>
  <c r="H2524" i="1"/>
  <c r="E2525" i="1"/>
  <c r="F2525" i="1"/>
  <c r="H2525" i="1"/>
  <c r="E2526" i="1"/>
  <c r="F2526" i="1"/>
  <c r="H2526" i="1"/>
  <c r="E2527" i="1"/>
  <c r="F2527" i="1"/>
  <c r="H2527" i="1"/>
  <c r="E2528" i="1"/>
  <c r="F2528" i="1"/>
  <c r="H2528" i="1"/>
  <c r="E2529" i="1"/>
  <c r="F2529" i="1"/>
  <c r="H2529" i="1"/>
  <c r="E2530" i="1"/>
  <c r="F2530" i="1"/>
  <c r="H2530" i="1"/>
  <c r="E2531" i="1"/>
  <c r="F2531" i="1"/>
  <c r="H2531" i="1"/>
  <c r="E2532" i="1"/>
  <c r="F2532" i="1"/>
  <c r="H2532" i="1"/>
  <c r="E2533" i="1"/>
  <c r="F2533" i="1"/>
  <c r="H2533" i="1"/>
  <c r="E2534" i="1"/>
  <c r="F2534" i="1"/>
  <c r="H2534" i="1"/>
  <c r="E2535" i="1"/>
  <c r="F2535" i="1"/>
  <c r="H2535" i="1"/>
  <c r="E2536" i="1"/>
  <c r="F2536" i="1"/>
  <c r="H2536" i="1"/>
  <c r="E2537" i="1"/>
  <c r="F2537" i="1"/>
  <c r="H2537" i="1"/>
  <c r="E2538" i="1"/>
  <c r="F2538" i="1"/>
  <c r="H2538" i="1"/>
  <c r="E2539" i="1"/>
  <c r="F2539" i="1"/>
  <c r="H2539" i="1"/>
  <c r="E2540" i="1"/>
  <c r="F2540" i="1"/>
  <c r="H2540" i="1"/>
  <c r="E2541" i="1"/>
  <c r="F2541" i="1"/>
  <c r="H2541" i="1"/>
  <c r="E2542" i="1"/>
  <c r="F2542" i="1"/>
  <c r="H2542" i="1"/>
  <c r="E2543" i="1"/>
  <c r="F2543" i="1"/>
  <c r="H2543" i="1"/>
  <c r="E2544" i="1"/>
  <c r="F2544" i="1"/>
  <c r="H2544" i="1"/>
  <c r="E2545" i="1"/>
  <c r="F2545" i="1"/>
  <c r="H2545" i="1"/>
  <c r="E2546" i="1"/>
  <c r="F2546" i="1"/>
  <c r="H2546" i="1"/>
  <c r="E2547" i="1"/>
  <c r="F2547" i="1"/>
  <c r="H2547" i="1"/>
  <c r="E2548" i="1"/>
  <c r="F2548" i="1"/>
  <c r="H2548" i="1"/>
  <c r="E2549" i="1"/>
  <c r="F2549" i="1"/>
  <c r="H2549" i="1"/>
  <c r="E2550" i="1"/>
  <c r="F2550" i="1"/>
  <c r="H2550" i="1"/>
  <c r="E2551" i="1"/>
  <c r="F2551" i="1"/>
  <c r="H2551" i="1"/>
  <c r="E2552" i="1"/>
  <c r="F2552" i="1"/>
  <c r="H2552" i="1"/>
  <c r="E2553" i="1"/>
  <c r="F2553" i="1"/>
  <c r="H2553" i="1"/>
  <c r="E2554" i="1"/>
  <c r="F2554" i="1"/>
  <c r="H2554" i="1"/>
  <c r="E2555" i="1"/>
  <c r="F2555" i="1"/>
  <c r="H2555" i="1"/>
  <c r="E2556" i="1"/>
  <c r="F2556" i="1"/>
  <c r="H2556" i="1"/>
  <c r="E2557" i="1"/>
  <c r="F2557" i="1"/>
  <c r="H2557" i="1"/>
  <c r="E2558" i="1"/>
  <c r="F2558" i="1"/>
  <c r="H2558" i="1"/>
  <c r="E2559" i="1"/>
  <c r="F2559" i="1"/>
  <c r="H2559" i="1"/>
  <c r="E2560" i="1"/>
  <c r="F2560" i="1"/>
  <c r="H2560" i="1"/>
  <c r="E2561" i="1"/>
  <c r="F2561" i="1"/>
  <c r="H2561" i="1"/>
  <c r="E2562" i="1"/>
  <c r="F2562" i="1"/>
  <c r="H2562" i="1"/>
  <c r="E2563" i="1"/>
  <c r="F2563" i="1"/>
  <c r="H2563" i="1"/>
  <c r="E2564" i="1"/>
  <c r="F2564" i="1"/>
  <c r="H2564" i="1"/>
  <c r="E2565" i="1"/>
  <c r="F2565" i="1"/>
  <c r="H2565" i="1"/>
  <c r="E2566" i="1"/>
  <c r="F2566" i="1"/>
  <c r="H2566" i="1"/>
  <c r="E2567" i="1"/>
  <c r="F2567" i="1"/>
  <c r="H2567" i="1"/>
  <c r="E2568" i="1"/>
  <c r="F2568" i="1"/>
  <c r="H2568" i="1"/>
  <c r="E2569" i="1"/>
  <c r="F2569" i="1"/>
  <c r="H2569" i="1"/>
  <c r="E2570" i="1"/>
  <c r="F2570" i="1"/>
  <c r="H2570" i="1"/>
  <c r="E2571" i="1"/>
  <c r="F2571" i="1"/>
  <c r="H2571" i="1"/>
  <c r="E2572" i="1"/>
  <c r="F2572" i="1"/>
  <c r="H2572" i="1"/>
  <c r="E2573" i="1"/>
  <c r="F2573" i="1"/>
  <c r="H2573" i="1"/>
  <c r="E2574" i="1"/>
  <c r="F2574" i="1"/>
  <c r="H2574" i="1"/>
  <c r="E2575" i="1"/>
  <c r="F2575" i="1"/>
  <c r="H2575" i="1"/>
  <c r="E2576" i="1"/>
  <c r="F2576" i="1"/>
  <c r="H2576" i="1"/>
  <c r="E2577" i="1"/>
  <c r="F2577" i="1"/>
  <c r="H2577" i="1"/>
  <c r="E2578" i="1"/>
  <c r="F2578" i="1"/>
  <c r="H2578" i="1"/>
  <c r="E2579" i="1"/>
  <c r="F2579" i="1"/>
  <c r="H2579" i="1"/>
  <c r="E2580" i="1"/>
  <c r="F2580" i="1"/>
  <c r="H2580" i="1"/>
  <c r="E2581" i="1"/>
  <c r="F2581" i="1"/>
  <c r="H2581" i="1"/>
  <c r="E2582" i="1"/>
  <c r="F2582" i="1"/>
  <c r="H2582" i="1"/>
  <c r="E2583" i="1"/>
  <c r="F2583" i="1"/>
  <c r="H2583" i="1"/>
  <c r="E2584" i="1"/>
  <c r="F2584" i="1"/>
  <c r="H2584" i="1"/>
  <c r="E2585" i="1"/>
  <c r="F2585" i="1"/>
  <c r="H2585" i="1"/>
  <c r="E2586" i="1"/>
  <c r="F2586" i="1"/>
  <c r="H2586" i="1"/>
  <c r="E2587" i="1"/>
  <c r="F2587" i="1"/>
  <c r="H2587" i="1"/>
  <c r="E2588" i="1"/>
  <c r="F2588" i="1"/>
  <c r="H2588" i="1"/>
  <c r="E2589" i="1"/>
  <c r="F2589" i="1"/>
  <c r="H2589" i="1"/>
  <c r="E2590" i="1"/>
  <c r="F2590" i="1"/>
  <c r="H2590" i="1"/>
  <c r="E2591" i="1"/>
  <c r="F2591" i="1"/>
  <c r="H2591" i="1"/>
  <c r="E2592" i="1"/>
  <c r="F2592" i="1"/>
  <c r="H2592" i="1"/>
  <c r="E2593" i="1"/>
  <c r="F2593" i="1"/>
  <c r="H2593" i="1"/>
  <c r="E2594" i="1"/>
  <c r="F2594" i="1"/>
  <c r="H2594" i="1"/>
  <c r="E2595" i="1"/>
  <c r="F2595" i="1"/>
  <c r="H2595" i="1"/>
  <c r="E2596" i="1"/>
  <c r="F2596" i="1"/>
  <c r="H2596" i="1"/>
  <c r="E2597" i="1"/>
  <c r="F2597" i="1"/>
  <c r="H2597" i="1"/>
  <c r="E2598" i="1"/>
  <c r="F2598" i="1"/>
  <c r="H2598" i="1"/>
  <c r="E2599" i="1"/>
  <c r="F2599" i="1"/>
  <c r="H2599" i="1"/>
  <c r="E2600" i="1"/>
  <c r="F2600" i="1"/>
  <c r="H2600" i="1"/>
  <c r="E2601" i="1"/>
  <c r="F2601" i="1"/>
  <c r="H2601" i="1"/>
  <c r="E2602" i="1"/>
  <c r="F2602" i="1"/>
  <c r="H2602" i="1"/>
  <c r="E2603" i="1"/>
  <c r="F2603" i="1"/>
  <c r="H2603" i="1"/>
  <c r="E2604" i="1"/>
  <c r="F2604" i="1"/>
  <c r="H2604" i="1"/>
  <c r="E2605" i="1"/>
  <c r="F2605" i="1"/>
  <c r="H2605" i="1"/>
  <c r="E2606" i="1"/>
  <c r="F2606" i="1"/>
  <c r="H2606" i="1"/>
  <c r="E2607" i="1"/>
  <c r="F2607" i="1"/>
  <c r="H2607" i="1"/>
  <c r="E2608" i="1"/>
  <c r="F2608" i="1"/>
  <c r="H2608" i="1"/>
  <c r="E2609" i="1"/>
  <c r="F2609" i="1"/>
  <c r="H2609" i="1"/>
  <c r="E2610" i="1"/>
  <c r="F2610" i="1"/>
  <c r="H2610" i="1"/>
  <c r="E2611" i="1"/>
  <c r="F2611" i="1"/>
  <c r="H2611" i="1"/>
  <c r="E2612" i="1"/>
  <c r="F2612" i="1"/>
  <c r="H2612" i="1"/>
  <c r="E2613" i="1"/>
  <c r="F2613" i="1"/>
  <c r="H2613" i="1"/>
  <c r="E2614" i="1"/>
  <c r="F2614" i="1"/>
  <c r="H2614" i="1"/>
  <c r="E2615" i="1"/>
  <c r="F2615" i="1"/>
  <c r="H2615" i="1"/>
  <c r="E2616" i="1"/>
  <c r="F2616" i="1"/>
  <c r="H2616" i="1"/>
  <c r="E2617" i="1"/>
  <c r="F2617" i="1"/>
  <c r="H2617" i="1"/>
  <c r="E2618" i="1"/>
  <c r="F2618" i="1"/>
  <c r="H2618" i="1"/>
  <c r="E2619" i="1"/>
  <c r="F2619" i="1"/>
  <c r="H2619" i="1"/>
  <c r="E2620" i="1"/>
  <c r="F2620" i="1"/>
  <c r="H2620" i="1"/>
  <c r="E2621" i="1"/>
  <c r="F2621" i="1"/>
  <c r="H2621" i="1"/>
  <c r="E2622" i="1"/>
  <c r="F2622" i="1"/>
  <c r="H2622" i="1"/>
  <c r="E2623" i="1"/>
  <c r="F2623" i="1"/>
  <c r="H2623" i="1"/>
  <c r="E2624" i="1"/>
  <c r="F2624" i="1"/>
  <c r="H2624" i="1"/>
  <c r="E2625" i="1"/>
  <c r="F2625" i="1"/>
  <c r="H2625" i="1"/>
  <c r="E2626" i="1"/>
  <c r="F2626" i="1"/>
  <c r="H2626" i="1"/>
  <c r="E2627" i="1"/>
  <c r="F2627" i="1"/>
  <c r="H2627" i="1"/>
  <c r="E2628" i="1"/>
  <c r="F2628" i="1"/>
  <c r="H2628" i="1"/>
  <c r="E2629" i="1"/>
  <c r="F2629" i="1"/>
  <c r="H2629" i="1"/>
  <c r="E2630" i="1"/>
  <c r="F2630" i="1"/>
  <c r="H2630" i="1"/>
  <c r="E2631" i="1"/>
  <c r="F2631" i="1"/>
  <c r="H2631" i="1"/>
  <c r="E2632" i="1"/>
  <c r="F2632" i="1"/>
  <c r="H2632" i="1"/>
  <c r="E2633" i="1"/>
  <c r="F2633" i="1"/>
  <c r="H2633" i="1"/>
  <c r="E2634" i="1"/>
  <c r="F2634" i="1"/>
  <c r="H2634" i="1"/>
  <c r="E2635" i="1"/>
  <c r="F2635" i="1"/>
  <c r="H2635" i="1"/>
  <c r="E2636" i="1"/>
  <c r="F2636" i="1"/>
  <c r="H2636" i="1"/>
  <c r="E2637" i="1"/>
  <c r="F2637" i="1"/>
  <c r="H2637" i="1"/>
  <c r="E2638" i="1"/>
  <c r="F2638" i="1"/>
  <c r="H2638" i="1"/>
  <c r="E2639" i="1"/>
  <c r="F2639" i="1"/>
  <c r="H2639" i="1"/>
  <c r="E2640" i="1"/>
  <c r="F2640" i="1"/>
  <c r="H2640" i="1"/>
  <c r="E2641" i="1"/>
  <c r="F2641" i="1"/>
  <c r="H2641" i="1"/>
  <c r="E2642" i="1"/>
  <c r="F2642" i="1"/>
  <c r="H2642" i="1"/>
  <c r="E2643" i="1"/>
  <c r="F2643" i="1"/>
  <c r="H2643" i="1"/>
  <c r="E2644" i="1"/>
  <c r="F2644" i="1"/>
  <c r="H2644" i="1"/>
  <c r="E2645" i="1"/>
  <c r="F2645" i="1"/>
  <c r="H2645" i="1"/>
  <c r="E2646" i="1"/>
  <c r="F2646" i="1"/>
  <c r="H2646" i="1"/>
  <c r="E2647" i="1"/>
  <c r="F2647" i="1"/>
  <c r="H2647" i="1"/>
  <c r="E2648" i="1"/>
  <c r="F2648" i="1"/>
  <c r="H2648" i="1"/>
  <c r="E2649" i="1"/>
  <c r="F2649" i="1"/>
  <c r="H2649" i="1"/>
  <c r="E2650" i="1"/>
  <c r="F2650" i="1"/>
  <c r="H2650" i="1"/>
  <c r="E2651" i="1"/>
  <c r="F2651" i="1"/>
  <c r="H2651" i="1"/>
  <c r="E2652" i="1"/>
  <c r="F2652" i="1"/>
  <c r="H2652" i="1"/>
  <c r="E2653" i="1"/>
  <c r="F2653" i="1"/>
  <c r="H2653" i="1"/>
  <c r="E2654" i="1"/>
  <c r="F2654" i="1"/>
  <c r="H2654" i="1"/>
  <c r="E2655" i="1"/>
  <c r="F2655" i="1"/>
  <c r="H2655" i="1"/>
  <c r="E2656" i="1"/>
  <c r="F2656" i="1"/>
  <c r="H2656" i="1"/>
  <c r="E2657" i="1"/>
  <c r="F2657" i="1"/>
  <c r="H2657" i="1"/>
  <c r="E2658" i="1"/>
  <c r="F2658" i="1"/>
  <c r="H2658" i="1"/>
  <c r="E2659" i="1"/>
  <c r="F2659" i="1"/>
  <c r="H2659" i="1"/>
  <c r="E2660" i="1"/>
  <c r="F2660" i="1"/>
  <c r="H2660" i="1"/>
  <c r="E2661" i="1"/>
  <c r="F2661" i="1"/>
  <c r="H2661" i="1"/>
  <c r="E2662" i="1"/>
  <c r="F2662" i="1"/>
  <c r="H2662" i="1"/>
  <c r="E2663" i="1"/>
  <c r="F2663" i="1"/>
  <c r="H2663" i="1"/>
  <c r="E2664" i="1"/>
  <c r="F2664" i="1"/>
  <c r="H2664" i="1"/>
  <c r="E2665" i="1"/>
  <c r="F2665" i="1"/>
  <c r="H2665" i="1"/>
  <c r="E2666" i="1"/>
  <c r="F2666" i="1"/>
  <c r="H2666" i="1"/>
  <c r="E2667" i="1"/>
  <c r="F2667" i="1"/>
  <c r="H2667" i="1"/>
  <c r="E2668" i="1"/>
  <c r="F2668" i="1"/>
  <c r="H2668" i="1"/>
  <c r="E2669" i="1"/>
  <c r="F2669" i="1"/>
  <c r="H2669" i="1"/>
  <c r="E2670" i="1"/>
  <c r="F2670" i="1"/>
  <c r="H2670" i="1"/>
  <c r="E2671" i="1"/>
  <c r="F2671" i="1"/>
  <c r="H2671" i="1"/>
  <c r="E2672" i="1"/>
  <c r="F2672" i="1"/>
  <c r="H2672" i="1"/>
  <c r="E2673" i="1"/>
  <c r="F2673" i="1"/>
  <c r="H2673" i="1"/>
  <c r="E2674" i="1"/>
  <c r="F2674" i="1"/>
  <c r="H2674" i="1"/>
  <c r="E2675" i="1"/>
  <c r="F2675" i="1"/>
  <c r="H2675" i="1"/>
</calcChain>
</file>

<file path=xl/sharedStrings.xml><?xml version="1.0" encoding="utf-8"?>
<sst xmlns="http://schemas.openxmlformats.org/spreadsheetml/2006/main" count="599" uniqueCount="462">
  <si>
    <t>Name</t>
  </si>
  <si>
    <t>Check #</t>
  </si>
  <si>
    <t>Check Amount</t>
  </si>
  <si>
    <t>Check Date</t>
  </si>
  <si>
    <t>Invoice ID</t>
  </si>
  <si>
    <t>Invoice Desc</t>
  </si>
  <si>
    <t>Invoice Payment</t>
  </si>
  <si>
    <t>GL Description</t>
  </si>
  <si>
    <t>CHRISTINA CANNON</t>
  </si>
  <si>
    <t>4IMPRINT  INC</t>
  </si>
  <si>
    <t>973 MATERIALS  LLC</t>
  </si>
  <si>
    <t>A PLUS BAIL BONDS</t>
  </si>
  <si>
    <t>ARNOLD OIL COMPANY OF AUSTIN LP</t>
  </si>
  <si>
    <t>TIMOTHY HALL</t>
  </si>
  <si>
    <t>AAA FIRE &amp; SAFETY EQUIP CO.  INC.</t>
  </si>
  <si>
    <t>ABREO &amp; CARTER</t>
  </si>
  <si>
    <t>JEFFREY ALAN ACTON</t>
  </si>
  <si>
    <t>ADAM DAKOTA ROWINS</t>
  </si>
  <si>
    <t>ADAM MUERY</t>
  </si>
  <si>
    <t>ADENA LEWIS</t>
  </si>
  <si>
    <t>ADVANCED GRAPHIX INC</t>
  </si>
  <si>
    <t>DESIGNPD LLC</t>
  </si>
  <si>
    <t>ALAMO AREA COUNCIL OF GOVERNMENT</t>
  </si>
  <si>
    <t>ALAMO CITY TRAILER SALES  LLC</t>
  </si>
  <si>
    <t>ALAMO  GROUP (TX)  INC</t>
  </si>
  <si>
    <t>ALBERT NEAL PFEIFFER</t>
  </si>
  <si>
    <t>ALEJANDRO RODRIGUEZ</t>
  </si>
  <si>
    <t>S &amp; D PLUMBING-GIDDINGS LLC</t>
  </si>
  <si>
    <t>AMAZON CAPITAL SERVICES INC</t>
  </si>
  <si>
    <t>AMERICAN TIRE DISTRIBUTORS INC</t>
  </si>
  <si>
    <t>AMERISOURCEBERGEN</t>
  </si>
  <si>
    <t>ANDERSON &amp; ANDERSON LAW FIRM PC</t>
  </si>
  <si>
    <t>ANIMAL CARE EQUIPMENT</t>
  </si>
  <si>
    <t>ANIXTER INC</t>
  </si>
  <si>
    <t>C APPLEMAN ENT INC</t>
  </si>
  <si>
    <t>AQUA BEVERAGE COMPANY/OZARKA</t>
  </si>
  <si>
    <t>ARA / ST.DAVID'S IMAGING  LP</t>
  </si>
  <si>
    <t>ARSENAL ADVERTISING LLC</t>
  </si>
  <si>
    <t>ASHLEY HERMANS</t>
  </si>
  <si>
    <t>ASPHALT PATCH ENTERPRISES  INC.</t>
  </si>
  <si>
    <t>AT &amp; T</t>
  </si>
  <si>
    <t>AT&amp;T</t>
  </si>
  <si>
    <t>AT&amp;T MOBILITY</t>
  </si>
  <si>
    <t>ERNESTO B HERRERA</t>
  </si>
  <si>
    <t>THE AUBAINE SUPPLY COMPANY  INC</t>
  </si>
  <si>
    <t>GATEHOUSE MEDIA TEXAS HOLDINGS II  INC.</t>
  </si>
  <si>
    <t>AUSTIN FUEL INJECTION &amp; PERFORMANCE CENTER</t>
  </si>
  <si>
    <t>AUSTIN GASTROENTEROLOGY ANESTHESIA ASSOC</t>
  </si>
  <si>
    <t>AUSTIN GASTROENTERLOGY</t>
  </si>
  <si>
    <t>AUSTIN RADIOLOGICAL ASSOC</t>
  </si>
  <si>
    <t>AUTUMN J SMITH</t>
  </si>
  <si>
    <t>MICHAEL OLDHAM TIRE INC</t>
  </si>
  <si>
    <t>EDUARDO BARRIENTOS</t>
  </si>
  <si>
    <t>BASIC IDIQ  INC.</t>
  </si>
  <si>
    <t>BASTROP AIR CONDITIONING &amp; HEATING</t>
  </si>
  <si>
    <t>BASTROP CENTRAL APPRAISAL DIST.</t>
  </si>
  <si>
    <t>BASTROP COUNTY SHERIFF'S DEPT</t>
  </si>
  <si>
    <t>DANIEL L HEPKER</t>
  </si>
  <si>
    <t>BASTROP COUNTY CARES</t>
  </si>
  <si>
    <t>BASTROP MEDICAL CLINIC</t>
  </si>
  <si>
    <t>BASTROP POLICE DEPT</t>
  </si>
  <si>
    <t>BASTROP PROVIDENCE  LLC</t>
  </si>
  <si>
    <t>BASTROP SIGNS &amp; BANNERS</t>
  </si>
  <si>
    <t>BASTROP VETERINARY HOSPITAL  INC.</t>
  </si>
  <si>
    <t>BAYER CORPORATION</t>
  </si>
  <si>
    <t>DAVID H OUTON</t>
  </si>
  <si>
    <t>BECKY KISTLER</t>
  </si>
  <si>
    <t>BEN E KEITH CO.</t>
  </si>
  <si>
    <t>MULTI SERVICE TECHNOLOGY SOLUTIONS  INC.</t>
  </si>
  <si>
    <t>B C FOOD GROUP  LLC</t>
  </si>
  <si>
    <t>BETTY YOAST</t>
  </si>
  <si>
    <t>="11</t>
  </si>
  <si>
    <t>322  01/22/19"</t>
  </si>
  <si>
    <t>BICKERSTAFF HEATH DELGADO ACOSTA LLP</t>
  </si>
  <si>
    <t>MAURINE MC LEAN</t>
  </si>
  <si>
    <t>BIMBO FOODS INC</t>
  </si>
  <si>
    <t>BLAS J. COY  JR.</t>
  </si>
  <si>
    <t>BLUE 360 MEDIA  LLC</t>
  </si>
  <si>
    <t>BLUEBONNET AREA CRIME STOPPERS PROGRAM</t>
  </si>
  <si>
    <t>BLUEBONNET ELECTRIC COOPERATIVE  INC.</t>
  </si>
  <si>
    <t>BLUEBONNET ELECTRIC</t>
  </si>
  <si>
    <t>="15</t>
  </si>
  <si>
    <t>915  01/10/19"</t>
  </si>
  <si>
    <t>BLUEBONNET TRAILS MHMR</t>
  </si>
  <si>
    <t>BOBBY BROWN</t>
  </si>
  <si>
    <t>BOEHM TRACTOR SALES INC</t>
  </si>
  <si>
    <t>BRAUNTEX MATERIALS INC</t>
  </si>
  <si>
    <t>LAW OFFICE OF BRYAN W. MCDANIEL  P.C.</t>
  </si>
  <si>
    <t>BUREAU OF VITAL STATISTICS</t>
  </si>
  <si>
    <t>LIFELINE TRAINING</t>
  </si>
  <si>
    <t>CAMPBELL PET COMPANY</t>
  </si>
  <si>
    <t>CAPITAL AREA METROPOLITAN PLANNING ORGANIZATION</t>
  </si>
  <si>
    <t>CAPITOL BEARING SERVICE OF AUSTIN  INC.</t>
  </si>
  <si>
    <t>DAVID &amp; SUSAN MC ADAMS</t>
  </si>
  <si>
    <t>TIB-THE INDEPENDENT BANKERS BANK</t>
  </si>
  <si>
    <t>CDW GOVERNMENT INC</t>
  </si>
  <si>
    <t>CEN-TEX MARINE FABRICATORS INC</t>
  </si>
  <si>
    <t>CENTERPOINT ENERGY</t>
  </si>
  <si>
    <t>CENTRAL TEXAS BARRICADES INC</t>
  </si>
  <si>
    <t>CENTRAL TEXAS AUTOPSY</t>
  </si>
  <si>
    <t>CENTRAL TX RESOURCE CONSERVATION &amp;</t>
  </si>
  <si>
    <t>CHARLES W CARVER</t>
  </si>
  <si>
    <t>CHARLES WHITE</t>
  </si>
  <si>
    <t>CHARM-TEX</t>
  </si>
  <si>
    <t>CHRIS MATT DILLON</t>
  </si>
  <si>
    <t>CINTAS</t>
  </si>
  <si>
    <t>CINTAS CORPORATION</t>
  </si>
  <si>
    <t>CINTAS CORPORATION #86</t>
  </si>
  <si>
    <t>CITY OF BASTROP</t>
  </si>
  <si>
    <t>="12</t>
  </si>
  <si>
    <t>756  01/10/19"</t>
  </si>
  <si>
    <t>CLAY ROBERTS</t>
  </si>
  <si>
    <t>CLAY WANECK</t>
  </si>
  <si>
    <t>CLINICAL PATHOLOGY LABORATORIES INC</t>
  </si>
  <si>
    <t>CLINICAL PATHOLOGY ASSOC. OF AUSTIN</t>
  </si>
  <si>
    <t>COMAL COUNTY SHERIFF</t>
  </si>
  <si>
    <t>MIGUEL ANTONIO CUYUGAN CASAS</t>
  </si>
  <si>
    <t>CONNIE CAMERON RABEL</t>
  </si>
  <si>
    <t>CONTECH ENGINEERED SOLUTIONS INC</t>
  </si>
  <si>
    <t>COOPER EQUIPMENT CO.</t>
  </si>
  <si>
    <t>COUNTY OF BEXAR - SHERIFF</t>
  </si>
  <si>
    <t>CRESSIDA EVELYN KWOLEK  Ph.D.</t>
  </si>
  <si>
    <t>DFW COMMUNICATIONS  INC.</t>
  </si>
  <si>
    <t>CUMMINS-ALLISON CORP</t>
  </si>
  <si>
    <t>CURTIS OLTMANN</t>
  </si>
  <si>
    <t>CUSTOM PRODUCTS CORPORATION</t>
  </si>
  <si>
    <t>CYDNEY CRIDER</t>
  </si>
  <si>
    <t>DAHILL</t>
  </si>
  <si>
    <t>DALLAS COUNTY CONSTABLE PCT 1</t>
  </si>
  <si>
    <t>DAN HAYES</t>
  </si>
  <si>
    <t>DANA SAFETY SUPPLY  INC.</t>
  </si>
  <si>
    <t>DARREL VINKLAREK</t>
  </si>
  <si>
    <t>DAVID B BROOKS</t>
  </si>
  <si>
    <t>DAVID C. FOLKERS  M.D.</t>
  </si>
  <si>
    <t>DAVID GONZALEZ</t>
  </si>
  <si>
    <t>JOHN DAVID LEWIS</t>
  </si>
  <si>
    <t>DAVID M COLLINS</t>
  </si>
  <si>
    <t>DAVIS &amp; STANTON  INC.</t>
  </si>
  <si>
    <t>DELL</t>
  </si>
  <si>
    <t>SETON FAMILY OF HOSPITALS</t>
  </si>
  <si>
    <t>DENNY DOUGLAS</t>
  </si>
  <si>
    <t>316"</t>
  </si>
  <si>
    <t>DENTRUST DENTAL TX PC</t>
  </si>
  <si>
    <t>DIANA P TRIANA</t>
  </si>
  <si>
    <t>DICKENS LOCKSMITH INC</t>
  </si>
  <si>
    <t>DISCOUNT DOOR &amp; METAL  LLC</t>
  </si>
  <si>
    <t>DON YOUNG</t>
  </si>
  <si>
    <t>DONNIE STARK</t>
  </si>
  <si>
    <t>DOUBLE D INTERNATIONAL FOOD CO.  INC.</t>
  </si>
  <si>
    <t>DOUBLE TUFF TRUCK TARPS INC</t>
  </si>
  <si>
    <t>DUNNE &amp; JUAREZ L.L.C.</t>
  </si>
  <si>
    <t>ECOLAB INC</t>
  </si>
  <si>
    <t>ELGIN POLICE DEPARTMENT</t>
  </si>
  <si>
    <t>CITY OF ELGIN UTILITIES</t>
  </si>
  <si>
    <t>ELLIOTT ELECTRIC SUPPLY INC</t>
  </si>
  <si>
    <t>EDDIE TAUSCH</t>
  </si>
  <si>
    <t>EUGENE C BLOMSTROM</t>
  </si>
  <si>
    <t>EWING IRRIGATION PRODUCTS  INC.</t>
  </si>
  <si>
    <t>BASTROP COUNTY WOMEN'S SHELTER</t>
  </si>
  <si>
    <t>FAMILY HEALTH CENTER OF BASTROP PLLC</t>
  </si>
  <si>
    <t>FEDERAL EXPRESS</t>
  </si>
  <si>
    <t>FLEETPRIDE</t>
  </si>
  <si>
    <t>FLORENCE BEHAVIN</t>
  </si>
  <si>
    <t>FOREMOST COUNTY MUTUAL INS CO</t>
  </si>
  <si>
    <t>347  01/11/19"</t>
  </si>
  <si>
    <t>FORENSIC ANALYTICAL SCIENCES INC.</t>
  </si>
  <si>
    <t>FORREST L. SANDERSON</t>
  </si>
  <si>
    <t>FORT BEND COUNTY CONSTABLE PCT 4</t>
  </si>
  <si>
    <t>FORT BEND COUNTY CONSTABLE PCT 1</t>
  </si>
  <si>
    <t>FRANCES HUNTER</t>
  </si>
  <si>
    <t>AUSTIN TRUCK AND EQUIPMENT  LTD</t>
  </si>
  <si>
    <t>EUGENE W BRIGGS JR</t>
  </si>
  <si>
    <t>G4 SPATIAL TECHNOLOGIES</t>
  </si>
  <si>
    <t>GALLS PARENT HOLDINGS LLC</t>
  </si>
  <si>
    <t>GARMENTS TO GO  INC</t>
  </si>
  <si>
    <t>GIPSON PENDERGRASS PEOPLE'S MORTUARY LLC</t>
  </si>
  <si>
    <t>GRETCHEN SIMS SWEEN</t>
  </si>
  <si>
    <t>GABRIEL  ROEDER  SMITH &amp; COMPANY</t>
  </si>
  <si>
    <t>GT DISTRIBUTORS  INC.</t>
  </si>
  <si>
    <t>GULF COAST PAPER CO. INC.</t>
  </si>
  <si>
    <t>VERTEX ENERGY  INC.</t>
  </si>
  <si>
    <t>HALFF ASSOCIATES</t>
  </si>
  <si>
    <t>HARRIS COUNTY CONSTABLE PCT 1</t>
  </si>
  <si>
    <t>HAYS COUNTY CONSTABLE PCT 5</t>
  </si>
  <si>
    <t>HEARTLAND QUARRIES  LLC</t>
  </si>
  <si>
    <t>HENGST PRINTING &amp; SUPPLIES</t>
  </si>
  <si>
    <t>BUTLER ANIMAL HEALTH</t>
  </si>
  <si>
    <t>HERSHCAP BACKHOE &amp; DITCHING  INC.</t>
  </si>
  <si>
    <t>="10</t>
  </si>
  <si>
    <t>658  01/11/19"</t>
  </si>
  <si>
    <t>HI-LINE</t>
  </si>
  <si>
    <t>BASCOM L HODGES JR</t>
  </si>
  <si>
    <t>HODGSON G ECKEL</t>
  </si>
  <si>
    <t>BD HOLT CO</t>
  </si>
  <si>
    <t>CITIBANK (SOUTH DAKOTA)N.A./THE HOME DEPOT</t>
  </si>
  <si>
    <t>HOMICIDE INVESTIGATORS OF TEXAS INC</t>
  </si>
  <si>
    <t>AMERICAN YOUTH WORKS  INC.</t>
  </si>
  <si>
    <t>TAKKT AMERICA HOLDING INC</t>
  </si>
  <si>
    <t>HUDSON ENERGY CORP</t>
  </si>
  <si>
    <t>HUNTER TEDFORD</t>
  </si>
  <si>
    <t>ALLEN HOTELS  LP</t>
  </si>
  <si>
    <t>HYDRAULIC HOUSE INC</t>
  </si>
  <si>
    <t>INDIGENT HEALTHCARE SOLUTIONS</t>
  </si>
  <si>
    <t>INLAND TRUCK PARTS COMPANY</t>
  </si>
  <si>
    <t>IRON MOUNTAIN RECORDS MGMT INC</t>
  </si>
  <si>
    <t>JAMES O. BURKE</t>
  </si>
  <si>
    <t>JAY SHANKAR PRASAD</t>
  </si>
  <si>
    <t>JENKINS &amp; JENKINS LLP</t>
  </si>
  <si>
    <t>JERRY HOFROCK</t>
  </si>
  <si>
    <t>="14</t>
  </si>
  <si>
    <t>505  01/09/19"</t>
  </si>
  <si>
    <t>JAMES MORGAN</t>
  </si>
  <si>
    <t>JF FILTRATION INC</t>
  </si>
  <si>
    <t>JOHN DEERE FINANCIAL f.s.b.</t>
  </si>
  <si>
    <t>JOHN HALLMARK</t>
  </si>
  <si>
    <t>JONATHAN L COHEN</t>
  </si>
  <si>
    <t>JUSTIN MATTHEW FOHN</t>
  </si>
  <si>
    <t>KATHERINE BEEMAN</t>
  </si>
  <si>
    <t>KAUFFMAN COMPANY</t>
  </si>
  <si>
    <t>KAUFMAN COUNTY SHERIFF</t>
  </si>
  <si>
    <t>KAYCI SCHULTZ WATSON</t>
  </si>
  <si>
    <t>KAYLA STEIN</t>
  </si>
  <si>
    <t>KELLY-MOORE PAINT COMPANY  INC</t>
  </si>
  <si>
    <t>KENDALL COUNTY SHERIFF</t>
  </si>
  <si>
    <t>KENNETH GONSOULIN</t>
  </si>
  <si>
    <t>="16</t>
  </si>
  <si>
    <t>181  01/04/19"</t>
  </si>
  <si>
    <t>KENNETH HANCOCK</t>
  </si>
  <si>
    <t>KENNETH LIMUEL</t>
  </si>
  <si>
    <t>KENT BROUSSARD TOWER RENTAL INC</t>
  </si>
  <si>
    <t>KING'S PORTABLE THRONES</t>
  </si>
  <si>
    <t>KNIGHT SECURITY SYSTEMS LLC</t>
  </si>
  <si>
    <t>LONGHORN INTERNATIONAL TRUCKS LTD</t>
  </si>
  <si>
    <t>LA GRANGE FORD</t>
  </si>
  <si>
    <t>THE LA GRANGE PARTS HOUSE INC</t>
  </si>
  <si>
    <t>LABATT INSTITUTIONAL SUPPLY CO</t>
  </si>
  <si>
    <t>LAURA ROBERTSON</t>
  </si>
  <si>
    <t>LAURENCE DUNNE  II</t>
  </si>
  <si>
    <t>LAVACA COUNTY SHERIFF</t>
  </si>
  <si>
    <t>J. MARQUE MOORE</t>
  </si>
  <si>
    <t>LBJ SCHOOL OF PUBLIC AFFAIRS</t>
  </si>
  <si>
    <t>LUCIO LEAL</t>
  </si>
  <si>
    <t>LEE COUNTY WATER SUPPLY CORP</t>
  </si>
  <si>
    <t>LEXISNEXIS RISK DATA MGMT INC</t>
  </si>
  <si>
    <t>LIBERTY TIRE RECYCLING</t>
  </si>
  <si>
    <t>LINDA HARMON-TAX ASSESSOR</t>
  </si>
  <si>
    <t>LISA M. MIMS</t>
  </si>
  <si>
    <t>LISA PARKER</t>
  </si>
  <si>
    <t>LLOYD GOSSELINK ROCHELLE &amp; TOWNSEND. PC</t>
  </si>
  <si>
    <t>LONE STAR CIRCLE OF CARE</t>
  </si>
  <si>
    <t>UNITED KWB COLLABORATIONS LLC</t>
  </si>
  <si>
    <t>LONGHORN EMERGENCY MEDICAL ASSOC PA</t>
  </si>
  <si>
    <t>LONNIE LAWRENCE DAVIS JR</t>
  </si>
  <si>
    <t>LORI STIFFLEMIRE</t>
  </si>
  <si>
    <t>LOWE'S</t>
  </si>
  <si>
    <t>LUBBOCK COUNTY SHERIFF</t>
  </si>
  <si>
    <t>LYN TURNER</t>
  </si>
  <si>
    <t>MARIA ANFOSSO</t>
  </si>
  <si>
    <t>MARK E BOWLES</t>
  </si>
  <si>
    <t>MARK T. MALONE  M.D. P.A</t>
  </si>
  <si>
    <t>JOHN W GASPARINI INC</t>
  </si>
  <si>
    <t>MART SMITH</t>
  </si>
  <si>
    <t>MARY BETH SCOTT</t>
  </si>
  <si>
    <t>MATHESON TRI-GAS INC</t>
  </si>
  <si>
    <t>MATTHEW A BLOOM</t>
  </si>
  <si>
    <t>MAUREEN S BURROWS MD MPH</t>
  </si>
  <si>
    <t>MC LENNAN COUNTY CONSTABLE PCT 1</t>
  </si>
  <si>
    <t>McCOY'S BUILDING SUPPLY CENTER</t>
  </si>
  <si>
    <t>McCREARY  VESELKA  BRAGG &amp; ALLEN P</t>
  </si>
  <si>
    <t>701"</t>
  </si>
  <si>
    <t>MEDIMPACT HEALTHCARE SYSTEMS INC</t>
  </si>
  <si>
    <t>MEGAN FAITH ANDERSON</t>
  </si>
  <si>
    <t>MICHAEL CHARLES SHULMAN</t>
  </si>
  <si>
    <t>MICHAEL HARBICH</t>
  </si>
  <si>
    <t>MICHAEL R. KIEKE</t>
  </si>
  <si>
    <t>MICHELE FRITSCHE C.S.R.</t>
  </si>
  <si>
    <t>GALLS  LLC</t>
  </si>
  <si>
    <t>MISTY STUBBS</t>
  </si>
  <si>
    <t>MOISES OR CAROLINE GUERRERO</t>
  </si>
  <si>
    <t>851  01/22/19"</t>
  </si>
  <si>
    <t>MOORE MEDICAL LLC</t>
  </si>
  <si>
    <t>MORRIS &amp; MCCLIMON ATTORNEYS AT LAW  PLLC</t>
  </si>
  <si>
    <t>MORSCO SUPPLY  LLC</t>
  </si>
  <si>
    <t>MOTOROLA INC</t>
  </si>
  <si>
    <t>NALCO COMPANY LLC</t>
  </si>
  <si>
    <t>NATIONAL FOOD GROUP INC</t>
  </si>
  <si>
    <t>NAVARRO COUNTY SHERIFF</t>
  </si>
  <si>
    <t>O'REILLY AUTOMOTIVE  INC.</t>
  </si>
  <si>
    <t>SOUTHERN FOODS GROUP LP</t>
  </si>
  <si>
    <t>OFFICE DEPOT</t>
  </si>
  <si>
    <t>OLIVIA HARROS</t>
  </si>
  <si>
    <t>ON SITE SERVICES</t>
  </si>
  <si>
    <t>ROGER C. OSBORN</t>
  </si>
  <si>
    <t>OPERATIONAL SUPPORT SERVICES INC</t>
  </si>
  <si>
    <t>OTTO MAROSKO</t>
  </si>
  <si>
    <t>DURASERV CORP</t>
  </si>
  <si>
    <t>SL PARKER PARTNERSHIP LLC</t>
  </si>
  <si>
    <t>PATRICK ELECTRIC SERVICE</t>
  </si>
  <si>
    <t>PATTERSON  VETERINARY SUPPLY INC</t>
  </si>
  <si>
    <t>PATTILLO  BROWN &amp; HILL   LLP</t>
  </si>
  <si>
    <t>PECOS COUNTY SHERIFF</t>
  </si>
  <si>
    <t>PFM ASSET MANAGEMENT LLC</t>
  </si>
  <si>
    <t>PHIL HENDRIX</t>
  </si>
  <si>
    <t>PHILIP R DUCLOUX</t>
  </si>
  <si>
    <t>PB PROFESSIONAL SERVICES INC</t>
  </si>
  <si>
    <t>PM WILSON &amp; ASSOCIATES PLLC</t>
  </si>
  <si>
    <t>POST OAK HARDWARE  INC.</t>
  </si>
  <si>
    <t>POSTMASTER</t>
  </si>
  <si>
    <t>PROGRESSIVE - RESTITUTION ACCT</t>
  </si>
  <si>
    <t>ELGIN PROVIDENCE LLC</t>
  </si>
  <si>
    <t>PTS OF AMERICA  LLC</t>
  </si>
  <si>
    <t>AEGEAN  LLC</t>
  </si>
  <si>
    <t>QA ROOFING INC</t>
  </si>
  <si>
    <t>R &amp; D BISHOP INC</t>
  </si>
  <si>
    <t>RAYMAH DAVIS</t>
  </si>
  <si>
    <t>RDO EQUIPMENT CO.</t>
  </si>
  <si>
    <t>NESTLE WATERS N AMERICA INC</t>
  </si>
  <si>
    <t>RED ROCK GROCERY</t>
  </si>
  <si>
    <t>RED WING BUSINESS ADVANTAGE ACCOUNT</t>
  </si>
  <si>
    <t>REPUBLIC TRUCK SALES   PARTS  &amp; REPAIRS LLC</t>
  </si>
  <si>
    <t>RESERVE ACCOUNT</t>
  </si>
  <si>
    <t>REYNOLDS &amp; KEINARTH</t>
  </si>
  <si>
    <t>RICHARD ALLAN DICKMAN JR</t>
  </si>
  <si>
    <t>RICK GAMBINO</t>
  </si>
  <si>
    <t>RICOH USA INC</t>
  </si>
  <si>
    <t>CIT TECHNOLOGY FINANCE</t>
  </si>
  <si>
    <t>RUNKLE ENTERPRISES</t>
  </si>
  <si>
    <t>ROADRUNNER RADIOLOGY EQUIP LLC</t>
  </si>
  <si>
    <t>ROBERT JENKINS</t>
  </si>
  <si>
    <t>ROBERT MADDEN INDUSTRIES LTD</t>
  </si>
  <si>
    <t>ROCKY ROAD PRINTING</t>
  </si>
  <si>
    <t>RONALD WOLF</t>
  </si>
  <si>
    <t>ROSE PIETSCH</t>
  </si>
  <si>
    <t>ROSE PIETSCH COUNTY CLERK</t>
  </si>
  <si>
    <t>RUBEN LOPEZ</t>
  </si>
  <si>
    <t>RUSSELL SCHULZ</t>
  </si>
  <si>
    <t>RUTH A. CARROLL</t>
  </si>
  <si>
    <t>TRAVIS CNTY DOMESTIC VIOLENCE &amp; SEXUAL ASSAULT</t>
  </si>
  <si>
    <t>FLB SAFETY ENTERPRISES  INC.</t>
  </si>
  <si>
    <t>SAMMY LERMA III MD</t>
  </si>
  <si>
    <t>SECURETECH SYSTEMS  INC.</t>
  </si>
  <si>
    <t>SECURUS TECHNOLOGIES INC</t>
  </si>
  <si>
    <t>SETON HEALTHCARE SPONSORED PROJECTS</t>
  </si>
  <si>
    <t>SHARON HANCOCK</t>
  </si>
  <si>
    <t>962  01/14/19"</t>
  </si>
  <si>
    <t>FERRELLGAS  LP</t>
  </si>
  <si>
    <t>SHERWIN WILLIAMS CO</t>
  </si>
  <si>
    <t>SHI GOVERNMENT SOLUTIONS INC.</t>
  </si>
  <si>
    <t>SHOPPA'S FARM SUPPLY</t>
  </si>
  <si>
    <t>SHRED-IT US HOLDCO  INC</t>
  </si>
  <si>
    <t>SIGNATURE SMILES</t>
  </si>
  <si>
    <t>SILSBEE FORD</t>
  </si>
  <si>
    <t>JERRY SIMPSON</t>
  </si>
  <si>
    <t>SMITH STORES  INC.</t>
  </si>
  <si>
    <t>SMITHVILLE AUTO PARTS  INC</t>
  </si>
  <si>
    <t>SMITHVILLE POLICE DEPT.</t>
  </si>
  <si>
    <t>LAVACA COUNTY OFFICE SUPPLY  INC</t>
  </si>
  <si>
    <t>SOUTH TX CNTY JUDGES' &amp; COMM ASSN</t>
  </si>
  <si>
    <t>SOUTHERN TIRE MART LLC</t>
  </si>
  <si>
    <t>DS WATERS OF AMERICA INC</t>
  </si>
  <si>
    <t>SPARKLETTS &amp; SIERRA SPRINGS</t>
  </si>
  <si>
    <t>SPILLAR CUSTOM HITCHES INC</t>
  </si>
  <si>
    <t>ST. DAVIDS HEART &amp; VASCULAR  PLLC</t>
  </si>
  <si>
    <t>ST.DAVID'S HEALTHCARE PARTNERSHIP</t>
  </si>
  <si>
    <t>STAPLES ADVANTAGE</t>
  </si>
  <si>
    <t>STATE OF TEXAS</t>
  </si>
  <si>
    <t>STEPHEN R BECK</t>
  </si>
  <si>
    <t>STERICYCLE  INC.</t>
  </si>
  <si>
    <t>STEVE GRANADO</t>
  </si>
  <si>
    <t>MATTHEW LEE SULLINS</t>
  </si>
  <si>
    <t>SUN COAST RESOURCES</t>
  </si>
  <si>
    <t>T-MOBILE USA</t>
  </si>
  <si>
    <t>TARRANT COUNTY CONSTABLE PCT 2</t>
  </si>
  <si>
    <t>TAVCO SERVICES INC</t>
  </si>
  <si>
    <t>TAYLOR SECURITY SYSTEMS  LLC</t>
  </si>
  <si>
    <t>TEXAS DISTRICT &amp; COUNTY ATTORNEYS ASSOCIATION</t>
  </si>
  <si>
    <t>TEJAS ELEVATOR COMPANY</t>
  </si>
  <si>
    <t>TERRI  ROBASON</t>
  </si>
  <si>
    <t>TEX-CON OIL CO</t>
  </si>
  <si>
    <t>MC ADAMS GROUP LLC</t>
  </si>
  <si>
    <t>TEXAS ASSOCIATES INSURORS AGENCY</t>
  </si>
  <si>
    <t>TEXAS ASSOCIATION OF COUNTIES</t>
  </si>
  <si>
    <t>TEXAS COLLEGE OF PROBATE JUDGES</t>
  </si>
  <si>
    <t>TEXAS CONFERENCE OF URBAN COUNTIES</t>
  </si>
  <si>
    <t>TEXAS CRUSHED STONE CO.</t>
  </si>
  <si>
    <t>TEXAS DEPT OF PUBLIC SAFETY</t>
  </si>
  <si>
    <t>072  01/17/19"</t>
  </si>
  <si>
    <t>590"</t>
  </si>
  <si>
    <t>TEXAS JUSTICE COURT JUDGES ASSOCIATION</t>
  </si>
  <si>
    <t>TEXAS MUNICIPAL LEAGUE</t>
  </si>
  <si>
    <t>TEXAS PARKS &amp; WILDLIFE DEPARTMENT</t>
  </si>
  <si>
    <t>TEXAS POLICE ASSN</t>
  </si>
  <si>
    <t>TEXAS VISION CLINIC  PLLC</t>
  </si>
  <si>
    <t>BUG MASTER EXTERMINATING SERVICES  LTD</t>
  </si>
  <si>
    <t>JAMES ANDREW CASEY</t>
  </si>
  <si>
    <t>THE I-10 CORRIDOR ASSOCIATION</t>
  </si>
  <si>
    <t>RICHARD NELSON MOORE</t>
  </si>
  <si>
    <t>THE TRAVELERS INDEMNITY COMPANY</t>
  </si>
  <si>
    <t>WEST PUBLISHING CORPORATION</t>
  </si>
  <si>
    <t>TIM MAHONEY  ATTORNEY AT LAW  PC</t>
  </si>
  <si>
    <t>TWE-ADVANCE/NEWHOUSE PARTNERSHIP</t>
  </si>
  <si>
    <t>HECTOR R. CERDA</t>
  </si>
  <si>
    <t>TRACTOR SUPPLY CREDIT PLAN</t>
  </si>
  <si>
    <t>TRAVIS COUNTY CONSTABLE PCT 5</t>
  </si>
  <si>
    <t>TRAVIS COUNTY EMERGENCY PHYSICIANS PA</t>
  </si>
  <si>
    <t>TRAVIS COUNTY MEDICAL EXAMINER</t>
  </si>
  <si>
    <t>TRAVIS ROBERTS</t>
  </si>
  <si>
    <t>KAUFFMAN TIRE</t>
  </si>
  <si>
    <t>TREY MOORE</t>
  </si>
  <si>
    <t>SETON FAMILY OF DOCTORS</t>
  </si>
  <si>
    <t>THE SITHE GROUP  LLC</t>
  </si>
  <si>
    <t>LINDA WALKER</t>
  </si>
  <si>
    <t>ULINE  INC.</t>
  </si>
  <si>
    <t>UNITED PARCEL SERVICE</t>
  </si>
  <si>
    <t>VAN ZANDT COUNTY SHERIFF</t>
  </si>
  <si>
    <t>TEXAS DEPARTMENT OF STATE HEALTH SERVICES</t>
  </si>
  <si>
    <t>US BANK NA</t>
  </si>
  <si>
    <t>VULCAN  INC.</t>
  </si>
  <si>
    <t>W2 DESIGN BUILD LLC</t>
  </si>
  <si>
    <t>WALLER COUNTY ASPHALT INC</t>
  </si>
  <si>
    <t>WALLER COUNTY CONSTABLE PCT 2</t>
  </si>
  <si>
    <t>WALMART COMMUNITY BRC</t>
  </si>
  <si>
    <t>WAMPLER MFG CO</t>
  </si>
  <si>
    <t>WASHING EQUIPMENT OF TEXAS</t>
  </si>
  <si>
    <t>WASTE CONNECTIONS LONE STAR. INC.</t>
  </si>
  <si>
    <t>WASTE MANAGEMENT OF TEXAS INC</t>
  </si>
  <si>
    <t>WIND KNOT INCORPORATED</t>
  </si>
  <si>
    <t>MAO PHARMACY INC</t>
  </si>
  <si>
    <t>WIDNER &amp; ALFORD OMS  PLLC</t>
  </si>
  <si>
    <t>WILBARGER COUNTY</t>
  </si>
  <si>
    <t>WILLIAMSON COUNTY CONSTABLE PCT 4</t>
  </si>
  <si>
    <t>WJC CONSTRUCTORS SERVICES  LLC</t>
  </si>
  <si>
    <t>XEROX CORPORATION</t>
  </si>
  <si>
    <t>YOLANDA WHEATON</t>
  </si>
  <si>
    <t>YOUNGS PROFESSIONAL SERVICES  LLC</t>
  </si>
  <si>
    <t>BASTROP COUNTY PROBATION DEPT</t>
  </si>
  <si>
    <t>GRAPEVINE DODGE CHRYSLER JEEP  LLC</t>
  </si>
  <si>
    <t>KIRKSEY ARCHITECTS  INC.</t>
  </si>
  <si>
    <t>LANGFORD COMMUNITY MGMT INC</t>
  </si>
  <si>
    <t>MIDTEX MATERIALS</t>
  </si>
  <si>
    <t>EDWARD G HALL II</t>
  </si>
  <si>
    <t>RUSH TRUCK CENTERS OF TEXAS  LP</t>
  </si>
  <si>
    <t>RUSS BASSETT CORPORATION</t>
  </si>
  <si>
    <t>SPEED FAB-CRETE CORPORATION</t>
  </si>
  <si>
    <t>ALLSTATE-AMERICAN HERITAGE LIFE INS CO</t>
  </si>
  <si>
    <t>AmWINS Group Benefits  Inc.</t>
  </si>
  <si>
    <t>BASTROP COUNTY ADULT PROBATION</t>
  </si>
  <si>
    <t>COLONIAL LIFE &amp; ACCIDENT INS. CO.</t>
  </si>
  <si>
    <t>CPI QUALIFIED PLAN CONSULTANTS  INC.</t>
  </si>
  <si>
    <t>DEBORAH B LANGEHENNIG</t>
  </si>
  <si>
    <t>GUARDIAN</t>
  </si>
  <si>
    <t>IRS-PAYROLL TAXES</t>
  </si>
  <si>
    <t>MICHIGAN STATE DISBURSEMENT UNIT(MiSDU)</t>
  </si>
  <si>
    <t>GERALD FLORES OLIVO</t>
  </si>
  <si>
    <t>TAC HEALTH BENEFITS POOL</t>
  </si>
  <si>
    <t>TOTAL ADMINISTRATIVE SERVICES CORPORATION</t>
  </si>
  <si>
    <t>TEXAS ATTY.GENERAL'S OFFICE</t>
  </si>
  <si>
    <t>TEXAS CNTY &amp; DIST RETIREMENT SYS</t>
  </si>
  <si>
    <t>TEXAS LEGAL PROTECTION PLAN INC</t>
  </si>
  <si>
    <t>TEXAS GUARANTEED STUDENT LOAN CORPORATION</t>
  </si>
  <si>
    <t>U.S. DEPT OF EDUCATION - FINANCIAL  ASST</t>
  </si>
  <si>
    <t>Amount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</si>
</sst>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76"/>
  <sheetViews>
    <sheetView tabSelected="1" topLeftCell="A2648" workbookViewId="0">
      <selection activeCell="C2676" sqref="C2676"/>
    </sheetView>
  </sheetViews>
  <sheetFormatPr defaultRowHeight="15" x14ac:dyDescent="0.25"/>
  <cols>
    <col min="1" max="1" width="53.42578125" bestFit="1" customWidth="1"/>
    <col min="2" max="2" width="7.7109375" bestFit="1" customWidth="1"/>
    <col min="3" max="3" width="14" style="2" bestFit="1" customWidth="1"/>
    <col min="4" max="4" width="10.85546875" bestFit="1" customWidth="1"/>
    <col min="5" max="5" width="19.5703125" bestFit="1" customWidth="1"/>
    <col min="6" max="6" width="35.7109375" bestFit="1" customWidth="1"/>
    <col min="7" max="7" width="32.5703125" style="2" bestFit="1" customWidth="1"/>
    <col min="8" max="8" width="35.7109375" bestFit="1" customWidth="1"/>
  </cols>
  <sheetData>
    <row r="1" spans="1:8" x14ac:dyDescent="0.25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t="s">
        <v>5</v>
      </c>
      <c r="G1" s="2" t="s">
        <v>6</v>
      </c>
      <c r="H1" t="s">
        <v>7</v>
      </c>
    </row>
    <row r="2" spans="1:8" x14ac:dyDescent="0.25">
      <c r="A2" t="s">
        <v>8</v>
      </c>
      <c r="B2">
        <v>81033</v>
      </c>
      <c r="C2" s="2">
        <v>105</v>
      </c>
      <c r="D2" s="1">
        <v>43522</v>
      </c>
      <c r="E2" t="str">
        <f>"201902227507"</f>
        <v>201902227507</v>
      </c>
      <c r="F2" t="str">
        <f>"REFUND BAIL BOND COUPONS"</f>
        <v>REFUND BAIL BOND COUPONS</v>
      </c>
      <c r="G2" s="2">
        <v>105</v>
      </c>
      <c r="H2" t="str">
        <f>"REFUND BAIL BOND COUPONS"</f>
        <v>REFUND BAIL BOND COUPONS</v>
      </c>
    </row>
    <row r="3" spans="1:8" x14ac:dyDescent="0.25">
      <c r="A3" t="s">
        <v>9</v>
      </c>
      <c r="B3">
        <v>409</v>
      </c>
      <c r="C3" s="2">
        <v>1174.43</v>
      </c>
      <c r="D3" s="1">
        <v>43508</v>
      </c>
      <c r="E3" t="str">
        <f>"17198183"</f>
        <v>17198183</v>
      </c>
      <c r="F3" t="str">
        <f>"acct# 4294699"</f>
        <v>acct# 4294699</v>
      </c>
      <c r="G3" s="2">
        <v>1174.43</v>
      </c>
      <c r="H3" t="str">
        <f>"item# 138710-7-5"</f>
        <v>item# 138710-7-5</v>
      </c>
    </row>
    <row r="4" spans="1:8" x14ac:dyDescent="0.25">
      <c r="E4" t="str">
        <f>""</f>
        <v/>
      </c>
      <c r="F4" t="str">
        <f>""</f>
        <v/>
      </c>
      <c r="H4" t="str">
        <f>"Freight"</f>
        <v>Freight</v>
      </c>
    </row>
    <row r="5" spans="1:8" x14ac:dyDescent="0.25">
      <c r="E5" t="str">
        <f>""</f>
        <v/>
      </c>
      <c r="F5" t="str">
        <f>""</f>
        <v/>
      </c>
      <c r="H5" t="str">
        <f>"Item# 3836-57"</f>
        <v>Item# 3836-57</v>
      </c>
    </row>
    <row r="6" spans="1:8" x14ac:dyDescent="0.25">
      <c r="E6" t="str">
        <f>""</f>
        <v/>
      </c>
      <c r="F6" t="str">
        <f>""</f>
        <v/>
      </c>
      <c r="H6" t="str">
        <f>"Freight"</f>
        <v>Freight</v>
      </c>
    </row>
    <row r="7" spans="1:8" x14ac:dyDescent="0.25">
      <c r="A7" t="s">
        <v>10</v>
      </c>
      <c r="B7">
        <v>80810</v>
      </c>
      <c r="C7" s="2">
        <v>26665.599999999999</v>
      </c>
      <c r="D7" s="1">
        <v>43507</v>
      </c>
      <c r="E7" t="str">
        <f>"9725-001-105674"</f>
        <v>9725-001-105674</v>
      </c>
      <c r="F7" t="str">
        <f>"ACCT#9725-001/REC BASE/PCT#2"</f>
        <v>ACCT#9725-001/REC BASE/PCT#2</v>
      </c>
      <c r="G7" s="2">
        <v>4746.3</v>
      </c>
      <c r="H7" t="str">
        <f>"ACCT#9725-001/REC BASE/PCT#2"</f>
        <v>ACCT#9725-001/REC BASE/PCT#2</v>
      </c>
    </row>
    <row r="8" spans="1:8" x14ac:dyDescent="0.25">
      <c r="E8" t="str">
        <f>"9725-001-105740"</f>
        <v>9725-001-105740</v>
      </c>
      <c r="F8" t="str">
        <f>"ACCT#9725-001/REC BASE/PCT#2"</f>
        <v>ACCT#9725-001/REC BASE/PCT#2</v>
      </c>
      <c r="G8" s="2">
        <v>4393.32</v>
      </c>
      <c r="H8" t="str">
        <f>"ACCT#9725-001/REC BASE/PCT#2"</f>
        <v>ACCT#9725-001/REC BASE/PCT#2</v>
      </c>
    </row>
    <row r="9" spans="1:8" x14ac:dyDescent="0.25">
      <c r="E9" t="str">
        <f>"9725-001-105771"</f>
        <v>9725-001-105771</v>
      </c>
      <c r="F9" t="str">
        <f>"ACCT#9725-001/REC BASE/PCT#2"</f>
        <v>ACCT#9725-001/REC BASE/PCT#2</v>
      </c>
      <c r="G9" s="2">
        <v>5676.5</v>
      </c>
      <c r="H9" t="str">
        <f>"ACCT#9725-001/REC BASE/PCT#2"</f>
        <v>ACCT#9725-001/REC BASE/PCT#2</v>
      </c>
    </row>
    <row r="10" spans="1:8" x14ac:dyDescent="0.25">
      <c r="E10" t="str">
        <f>"9725-001-105805"</f>
        <v>9725-001-105805</v>
      </c>
      <c r="F10" t="str">
        <f>"ACCT#9725-001/REC BASE/PCT#2"</f>
        <v>ACCT#9725-001/REC BASE/PCT#2</v>
      </c>
      <c r="G10" s="2">
        <v>2269.23</v>
      </c>
      <c r="H10" t="str">
        <f>"ACCT#9725-001/REC BASE/PCT#2"</f>
        <v>ACCT#9725-001/REC BASE/PCT#2</v>
      </c>
    </row>
    <row r="11" spans="1:8" x14ac:dyDescent="0.25">
      <c r="E11" t="str">
        <f>"9725-001-105844"</f>
        <v>9725-001-105844</v>
      </c>
      <c r="F11" t="str">
        <f>"ACCT#9725-001/REC BASE/PCT#2"</f>
        <v>ACCT#9725-001/REC BASE/PCT#2</v>
      </c>
      <c r="G11" s="2">
        <v>3127.61</v>
      </c>
      <c r="H11" t="str">
        <f>"ACCT#9725-001/REC BASE/PCT#2"</f>
        <v>ACCT#9725-001/REC BASE/PCT#2</v>
      </c>
    </row>
    <row r="12" spans="1:8" x14ac:dyDescent="0.25">
      <c r="E12" t="str">
        <f>"9725-004-105754"</f>
        <v>9725-004-105754</v>
      </c>
      <c r="F12" t="str">
        <f t="shared" ref="F12:F19" si="0">"ACCT#9725-004/REC BASE/PCT#1"</f>
        <v>ACCT#9725-004/REC BASE/PCT#1</v>
      </c>
      <c r="G12" s="2">
        <v>192.76</v>
      </c>
      <c r="H12" t="str">
        <f t="shared" ref="H12:H19" si="1">"ACCT#9725-004/REC BASE/PCT#1"</f>
        <v>ACCT#9725-004/REC BASE/PCT#1</v>
      </c>
    </row>
    <row r="13" spans="1:8" x14ac:dyDescent="0.25">
      <c r="E13" t="str">
        <f>"9725-004-105786"</f>
        <v>9725-004-105786</v>
      </c>
      <c r="F13" t="str">
        <f t="shared" si="0"/>
        <v>ACCT#9725-004/REC BASE/PCT#1</v>
      </c>
      <c r="G13" s="2">
        <v>1180.6400000000001</v>
      </c>
      <c r="H13" t="str">
        <f t="shared" si="1"/>
        <v>ACCT#9725-004/REC BASE/PCT#1</v>
      </c>
    </row>
    <row r="14" spans="1:8" x14ac:dyDescent="0.25">
      <c r="E14" t="str">
        <f>"9725-004-105820"</f>
        <v>9725-004-105820</v>
      </c>
      <c r="F14" t="str">
        <f t="shared" si="0"/>
        <v>ACCT#9725-004/REC BASE/PCT#1</v>
      </c>
      <c r="G14" s="2">
        <v>1680.1</v>
      </c>
      <c r="H14" t="str">
        <f t="shared" si="1"/>
        <v>ACCT#9725-004/REC BASE/PCT#1</v>
      </c>
    </row>
    <row r="15" spans="1:8" x14ac:dyDescent="0.25">
      <c r="E15" t="str">
        <f>"9725-004-105857"</f>
        <v>9725-004-105857</v>
      </c>
      <c r="F15" t="str">
        <f t="shared" si="0"/>
        <v>ACCT#9725-004/REC BASE/PCT#1</v>
      </c>
      <c r="G15" s="2">
        <v>2173.9699999999998</v>
      </c>
      <c r="H15" t="str">
        <f t="shared" si="1"/>
        <v>ACCT#9725-004/REC BASE/PCT#1</v>
      </c>
    </row>
    <row r="16" spans="1:8" x14ac:dyDescent="0.25">
      <c r="E16" t="str">
        <f>"9725-004-105912"</f>
        <v>9725-004-105912</v>
      </c>
      <c r="F16" t="str">
        <f t="shared" si="0"/>
        <v>ACCT#9725-004/REC BASE/PCT#1</v>
      </c>
      <c r="G16" s="2">
        <v>1225.17</v>
      </c>
      <c r="H16" t="str">
        <f t="shared" si="1"/>
        <v>ACCT#9725-004/REC BASE/PCT#1</v>
      </c>
    </row>
    <row r="17" spans="1:8" x14ac:dyDescent="0.25">
      <c r="A17" t="s">
        <v>10</v>
      </c>
      <c r="B17">
        <v>81034</v>
      </c>
      <c r="C17" s="2">
        <v>1638.36</v>
      </c>
      <c r="D17" s="1">
        <v>43522</v>
      </c>
      <c r="E17" t="str">
        <f>"9725-004-105943"</f>
        <v>9725-004-105943</v>
      </c>
      <c r="F17" t="str">
        <f t="shared" si="0"/>
        <v>ACCT#9725-004/REC BASE/PCT#1</v>
      </c>
      <c r="G17" s="2">
        <v>1009.93</v>
      </c>
      <c r="H17" t="str">
        <f t="shared" si="1"/>
        <v>ACCT#9725-004/REC BASE/PCT#1</v>
      </c>
    </row>
    <row r="18" spans="1:8" x14ac:dyDescent="0.25">
      <c r="E18" t="str">
        <f>"9725-004-105970"</f>
        <v>9725-004-105970</v>
      </c>
      <c r="F18" t="str">
        <f t="shared" si="0"/>
        <v>ACCT#9725-004/REC BASE/PCT#1</v>
      </c>
      <c r="G18" s="2">
        <v>263.55</v>
      </c>
      <c r="H18" t="str">
        <f t="shared" si="1"/>
        <v>ACCT#9725-004/REC BASE/PCT#1</v>
      </c>
    </row>
    <row r="19" spans="1:8" x14ac:dyDescent="0.25">
      <c r="E19" t="str">
        <f>"9725-004-106058"</f>
        <v>9725-004-106058</v>
      </c>
      <c r="F19" t="str">
        <f t="shared" si="0"/>
        <v>ACCT#9725-004/REC BASE/PCT#1</v>
      </c>
      <c r="G19" s="2">
        <v>364.88</v>
      </c>
      <c r="H19" t="str">
        <f t="shared" si="1"/>
        <v>ACCT#9725-004/REC BASE/PCT#1</v>
      </c>
    </row>
    <row r="20" spans="1:8" x14ac:dyDescent="0.25">
      <c r="A20" t="s">
        <v>11</v>
      </c>
      <c r="B20">
        <v>81035</v>
      </c>
      <c r="C20" s="2">
        <v>15</v>
      </c>
      <c r="D20" s="1">
        <v>43522</v>
      </c>
      <c r="E20" t="str">
        <f>"201902227508"</f>
        <v>201902227508</v>
      </c>
      <c r="F20" t="str">
        <f>"REFUND BAIL BOND COUPON"</f>
        <v>REFUND BAIL BOND COUPON</v>
      </c>
      <c r="G20" s="2">
        <v>15</v>
      </c>
      <c r="H20" t="str">
        <f>"REFUND BAIL BOND COUPON"</f>
        <v>REFUND BAIL BOND COUPON</v>
      </c>
    </row>
    <row r="21" spans="1:8" x14ac:dyDescent="0.25">
      <c r="A21" t="s">
        <v>12</v>
      </c>
      <c r="B21">
        <v>80811</v>
      </c>
      <c r="C21" s="2">
        <v>912.41</v>
      </c>
      <c r="D21" s="1">
        <v>43507</v>
      </c>
      <c r="E21" t="str">
        <f>"201902047029"</f>
        <v>201902047029</v>
      </c>
      <c r="F21" t="str">
        <f>"CUST:16500/STATEMENT#334277/P4"</f>
        <v>CUST:16500/STATEMENT#334277/P4</v>
      </c>
      <c r="G21" s="2">
        <v>912.41</v>
      </c>
      <c r="H21" t="str">
        <f>"CUST:16500/STATEMENT#334277/P4"</f>
        <v>CUST:16500/STATEMENT#334277/P4</v>
      </c>
    </row>
    <row r="22" spans="1:8" x14ac:dyDescent="0.25">
      <c r="A22" t="s">
        <v>13</v>
      </c>
      <c r="B22">
        <v>412</v>
      </c>
      <c r="C22" s="2">
        <v>32048.33</v>
      </c>
      <c r="D22" s="1">
        <v>43508</v>
      </c>
      <c r="E22" t="str">
        <f>"201902057091"</f>
        <v>201902057091</v>
      </c>
      <c r="F22" t="str">
        <f>"HAULING EXPS 01/22-02/04/PCT#4"</f>
        <v>HAULING EXPS 01/22-02/04/PCT#4</v>
      </c>
      <c r="G22" s="2">
        <v>26945.33</v>
      </c>
      <c r="H22" t="str">
        <f>"HAULING EXPS 01/22-02/04/PCT#4"</f>
        <v>HAULING EXPS 01/22-02/04/PCT#4</v>
      </c>
    </row>
    <row r="23" spans="1:8" x14ac:dyDescent="0.25">
      <c r="E23" t="str">
        <f>"201902057093"</f>
        <v>201902057093</v>
      </c>
      <c r="F23" t="str">
        <f>"HAULING EXPS 01/25-02/01/PCT#1"</f>
        <v>HAULING EXPS 01/25-02/01/PCT#1</v>
      </c>
      <c r="G23" s="2">
        <v>5103</v>
      </c>
      <c r="H23" t="str">
        <f>"HAULING EXPS 01/25-02/01/PCT#1"</f>
        <v>HAULING EXPS 01/25-02/01/PCT#1</v>
      </c>
    </row>
    <row r="24" spans="1:8" x14ac:dyDescent="0.25">
      <c r="A24" t="s">
        <v>13</v>
      </c>
      <c r="B24">
        <v>477</v>
      </c>
      <c r="C24" s="2">
        <v>35833.620000000003</v>
      </c>
      <c r="D24" s="1">
        <v>43523</v>
      </c>
      <c r="E24" t="str">
        <f>"201902157443"</f>
        <v>201902157443</v>
      </c>
      <c r="F24" t="str">
        <f>"HAULING EXPS 02/13-02/14/PCT#1"</f>
        <v>HAULING EXPS 02/13-02/14/PCT#1</v>
      </c>
      <c r="G24" s="2">
        <v>2121.48</v>
      </c>
      <c r="H24" t="str">
        <f>"HAULING EXPS 02/13-02/14/PCT#1"</f>
        <v>HAULING EXPS 02/13-02/14/PCT#1</v>
      </c>
    </row>
    <row r="25" spans="1:8" x14ac:dyDescent="0.25">
      <c r="E25" t="str">
        <f>"201902157444"</f>
        <v>201902157444</v>
      </c>
      <c r="F25" t="str">
        <f>"HAULING EXPS 02/05-02/14/PCT#4"</f>
        <v>HAULING EXPS 02/05-02/14/PCT#4</v>
      </c>
      <c r="G25" s="2">
        <v>33712.14</v>
      </c>
      <c r="H25" t="str">
        <f>"HAULING EXPS 02/05-02/14/PCT#4"</f>
        <v>HAULING EXPS 02/05-02/14/PCT#4</v>
      </c>
    </row>
    <row r="26" spans="1:8" x14ac:dyDescent="0.25">
      <c r="A26" t="s">
        <v>14</v>
      </c>
      <c r="B26">
        <v>81036</v>
      </c>
      <c r="C26" s="2">
        <v>858.5</v>
      </c>
      <c r="D26" s="1">
        <v>43522</v>
      </c>
      <c r="E26" t="str">
        <f>"309396"</f>
        <v>309396</v>
      </c>
      <c r="F26" t="str">
        <f>"FIRE EXT MAINT/PCT#2"</f>
        <v>FIRE EXT MAINT/PCT#2</v>
      </c>
      <c r="G26" s="2">
        <v>457.5</v>
      </c>
      <c r="H26" t="str">
        <f>"FIRE EXT MAINT/PCT#2"</f>
        <v>FIRE EXT MAINT/PCT#2</v>
      </c>
    </row>
    <row r="27" spans="1:8" x14ac:dyDescent="0.25">
      <c r="E27" t="str">
        <f>"311320"</f>
        <v>311320</v>
      </c>
      <c r="F27" t="str">
        <f>"ANNUAL FIRE EXT MAINT"</f>
        <v>ANNUAL FIRE EXT MAINT</v>
      </c>
      <c r="G27" s="2">
        <v>401</v>
      </c>
      <c r="H27" t="str">
        <f>"ANNUAL FIRE EXT MAINT"</f>
        <v>ANNUAL FIRE EXT MAINT</v>
      </c>
    </row>
    <row r="28" spans="1:8" x14ac:dyDescent="0.25">
      <c r="A28" t="s">
        <v>15</v>
      </c>
      <c r="B28">
        <v>80812</v>
      </c>
      <c r="C28" s="2">
        <v>600</v>
      </c>
      <c r="D28" s="1">
        <v>43507</v>
      </c>
      <c r="E28" t="str">
        <f>"13704"</f>
        <v>13704</v>
      </c>
      <c r="F28" t="str">
        <f>"ATTORNEY AD LITEM FEE"</f>
        <v>ATTORNEY AD LITEM FEE</v>
      </c>
      <c r="G28" s="2">
        <v>600</v>
      </c>
      <c r="H28" t="str">
        <f>"ATTORNEY AD LITEM FEE"</f>
        <v>ATTORNEY AD LITEM FEE</v>
      </c>
    </row>
    <row r="29" spans="1:8" x14ac:dyDescent="0.25">
      <c r="A29" t="s">
        <v>16</v>
      </c>
      <c r="B29">
        <v>80813</v>
      </c>
      <c r="C29" s="2">
        <v>1686</v>
      </c>
      <c r="D29" s="1">
        <v>43507</v>
      </c>
      <c r="E29" t="str">
        <f>"17.0078-1"</f>
        <v>17.0078-1</v>
      </c>
      <c r="F29" t="str">
        <f>"INv# 17.0078-1"</f>
        <v>INv# 17.0078-1</v>
      </c>
      <c r="G29" s="2">
        <v>1686</v>
      </c>
      <c r="H29" t="str">
        <f>"Principal"</f>
        <v>Principal</v>
      </c>
    </row>
    <row r="30" spans="1:8" x14ac:dyDescent="0.25">
      <c r="E30" t="str">
        <f>""</f>
        <v/>
      </c>
      <c r="F30" t="str">
        <f>""</f>
        <v/>
      </c>
      <c r="H30" t="str">
        <f>"Mileage"</f>
        <v>Mileage</v>
      </c>
    </row>
    <row r="31" spans="1:8" x14ac:dyDescent="0.25">
      <c r="A31" t="s">
        <v>17</v>
      </c>
      <c r="B31">
        <v>80814</v>
      </c>
      <c r="C31" s="2">
        <v>1530</v>
      </c>
      <c r="D31" s="1">
        <v>43507</v>
      </c>
      <c r="E31" t="str">
        <f>"201902057119"</f>
        <v>201902057119</v>
      </c>
      <c r="F31" t="str">
        <f>"14-16404"</f>
        <v>14-16404</v>
      </c>
      <c r="G31" s="2">
        <v>420</v>
      </c>
      <c r="H31" t="str">
        <f>"14-16404"</f>
        <v>14-16404</v>
      </c>
    </row>
    <row r="32" spans="1:8" x14ac:dyDescent="0.25">
      <c r="E32" t="str">
        <f>"201902057131"</f>
        <v>201902057131</v>
      </c>
      <c r="F32" t="str">
        <f>"19-19423"</f>
        <v>19-19423</v>
      </c>
      <c r="G32" s="2">
        <v>175</v>
      </c>
      <c r="H32" t="str">
        <f>"19-19423"</f>
        <v>19-19423</v>
      </c>
    </row>
    <row r="33" spans="1:8" x14ac:dyDescent="0.25">
      <c r="E33" t="str">
        <f>"201902057132"</f>
        <v>201902057132</v>
      </c>
      <c r="F33" t="str">
        <f>"18-19142"</f>
        <v>18-19142</v>
      </c>
      <c r="G33" s="2">
        <v>227.5</v>
      </c>
      <c r="H33" t="str">
        <f>"18-19142"</f>
        <v>18-19142</v>
      </c>
    </row>
    <row r="34" spans="1:8" x14ac:dyDescent="0.25">
      <c r="E34" t="str">
        <f>"201902057133"</f>
        <v>201902057133</v>
      </c>
      <c r="F34" t="str">
        <f>"18-19182"</f>
        <v>18-19182</v>
      </c>
      <c r="G34" s="2">
        <v>130</v>
      </c>
      <c r="H34" t="str">
        <f>"18-19182"</f>
        <v>18-19182</v>
      </c>
    </row>
    <row r="35" spans="1:8" x14ac:dyDescent="0.25">
      <c r="E35" t="str">
        <f>"201902057134"</f>
        <v>201902057134</v>
      </c>
      <c r="F35" t="str">
        <f>"17-18765"</f>
        <v>17-18765</v>
      </c>
      <c r="G35" s="2">
        <v>157.5</v>
      </c>
      <c r="H35" t="str">
        <f>"17-18765"</f>
        <v>17-18765</v>
      </c>
    </row>
    <row r="36" spans="1:8" x14ac:dyDescent="0.25">
      <c r="E36" t="str">
        <f>"201902057135"</f>
        <v>201902057135</v>
      </c>
      <c r="F36" t="str">
        <f>"18-19093"</f>
        <v>18-19093</v>
      </c>
      <c r="G36" s="2">
        <v>367.5</v>
      </c>
      <c r="H36" t="str">
        <f>"18-19093"</f>
        <v>18-19093</v>
      </c>
    </row>
    <row r="37" spans="1:8" x14ac:dyDescent="0.25">
      <c r="E37" t="str">
        <f>"201902057136"</f>
        <v>201902057136</v>
      </c>
      <c r="F37" t="str">
        <f>"18-19016"</f>
        <v>18-19016</v>
      </c>
      <c r="G37" s="2">
        <v>52.5</v>
      </c>
      <c r="H37" t="str">
        <f>"18-19016"</f>
        <v>18-19016</v>
      </c>
    </row>
    <row r="38" spans="1:8" x14ac:dyDescent="0.25">
      <c r="A38" t="s">
        <v>18</v>
      </c>
      <c r="B38">
        <v>80815</v>
      </c>
      <c r="C38" s="2">
        <v>925</v>
      </c>
      <c r="D38" s="1">
        <v>43507</v>
      </c>
      <c r="E38" t="str">
        <f>"201902057046"</f>
        <v>201902057046</v>
      </c>
      <c r="F38" t="str">
        <f>"15773"</f>
        <v>15773</v>
      </c>
      <c r="G38" s="2">
        <v>400</v>
      </c>
      <c r="H38" t="str">
        <f>"15773"</f>
        <v>15773</v>
      </c>
    </row>
    <row r="39" spans="1:8" x14ac:dyDescent="0.25">
      <c r="E39" t="str">
        <f>"201902057047"</f>
        <v>201902057047</v>
      </c>
      <c r="F39" t="str">
        <f>"NO CAUSE # LISTED"</f>
        <v>NO CAUSE # LISTED</v>
      </c>
      <c r="G39" s="2">
        <v>525</v>
      </c>
      <c r="H39" t="str">
        <f>"NO CAUSE # LISTED"</f>
        <v>NO CAUSE # LISTED</v>
      </c>
    </row>
    <row r="40" spans="1:8" x14ac:dyDescent="0.25">
      <c r="A40" t="s">
        <v>18</v>
      </c>
      <c r="B40">
        <v>81037</v>
      </c>
      <c r="C40" s="2">
        <v>250</v>
      </c>
      <c r="D40" s="1">
        <v>43522</v>
      </c>
      <c r="E40" t="str">
        <f>"201902127392"</f>
        <v>201902127392</v>
      </c>
      <c r="F40" t="str">
        <f>"JP4-411228-13"</f>
        <v>JP4-411228-13</v>
      </c>
      <c r="G40" s="2">
        <v>250</v>
      </c>
      <c r="H40" t="str">
        <f>"JP4-411228-13"</f>
        <v>JP4-411228-13</v>
      </c>
    </row>
    <row r="41" spans="1:8" x14ac:dyDescent="0.25">
      <c r="A41" t="s">
        <v>19</v>
      </c>
      <c r="B41">
        <v>418</v>
      </c>
      <c r="C41" s="2">
        <v>1037</v>
      </c>
      <c r="D41" s="1">
        <v>43508</v>
      </c>
      <c r="E41" t="str">
        <f>"201902047036"</f>
        <v>201902047036</v>
      </c>
      <c r="F41" t="str">
        <f>"REIMBURSE EXPENSES"</f>
        <v>REIMBURSE EXPENSES</v>
      </c>
      <c r="G41" s="2">
        <v>1037</v>
      </c>
      <c r="H41" t="str">
        <f>"REIMBURSE EXPENSES"</f>
        <v>REIMBURSE EXPENSES</v>
      </c>
    </row>
    <row r="42" spans="1:8" x14ac:dyDescent="0.25">
      <c r="A42" t="s">
        <v>19</v>
      </c>
      <c r="B42">
        <v>481</v>
      </c>
      <c r="C42" s="2">
        <v>1331.65</v>
      </c>
      <c r="D42" s="1">
        <v>43523</v>
      </c>
      <c r="E42" t="str">
        <f>"201902227466"</f>
        <v>201902227466</v>
      </c>
      <c r="F42" t="str">
        <f>"PER DIEM  03/10-03/13"</f>
        <v>PER DIEM  03/10-03/13</v>
      </c>
      <c r="G42" s="2">
        <v>140</v>
      </c>
      <c r="H42" t="str">
        <f>"PER DIEM"</f>
        <v>PER DIEM</v>
      </c>
    </row>
    <row r="43" spans="1:8" x14ac:dyDescent="0.25">
      <c r="E43" t="str">
        <f>"201902227467"</f>
        <v>201902227467</v>
      </c>
      <c r="F43" t="str">
        <f>"PER DIEM  03/03-03/06"</f>
        <v>PER DIEM  03/03-03/06</v>
      </c>
      <c r="G43" s="2">
        <v>120</v>
      </c>
      <c r="H43" t="str">
        <f>"PER DIEM  03/03-03/06"</f>
        <v>PER DIEM  03/03-03/06</v>
      </c>
    </row>
    <row r="44" spans="1:8" x14ac:dyDescent="0.25">
      <c r="E44" t="str">
        <f>"201902227468"</f>
        <v>201902227468</v>
      </c>
      <c r="F44" t="str">
        <f>"PER DIEM  02/16"</f>
        <v>PER DIEM  02/16</v>
      </c>
      <c r="G44" s="2">
        <v>35</v>
      </c>
      <c r="H44" t="str">
        <f>"PER DIEM  02/16"</f>
        <v>PER DIEM  02/16</v>
      </c>
    </row>
    <row r="45" spans="1:8" x14ac:dyDescent="0.25">
      <c r="E45" t="str">
        <f>"201902227469"</f>
        <v>201902227469</v>
      </c>
      <c r="F45" t="str">
        <f>"PER DIEM  02/10-02/11"</f>
        <v>PER DIEM  02/10-02/11</v>
      </c>
      <c r="G45" s="2">
        <v>35</v>
      </c>
      <c r="H45" t="str">
        <f>"PER DIEM  02/10-02/11"</f>
        <v>PER DIEM  02/10-02/11</v>
      </c>
    </row>
    <row r="46" spans="1:8" x14ac:dyDescent="0.25">
      <c r="E46" t="str">
        <f>"201902227470"</f>
        <v>201902227470</v>
      </c>
      <c r="F46" t="str">
        <f>"REIMBURSE WORKSHOP REG/MAIL CH"</f>
        <v>REIMBURSE WORKSHOP REG/MAIL CH</v>
      </c>
      <c r="G46" s="2">
        <v>105</v>
      </c>
      <c r="H46" t="str">
        <f>"REIMBURSE WORKSHOP REG/MAIL CH"</f>
        <v>REIMBURSE WORKSHOP REG/MAIL CH</v>
      </c>
    </row>
    <row r="47" spans="1:8" x14ac:dyDescent="0.25">
      <c r="E47" t="str">
        <f>"201902227471"</f>
        <v>201902227471</v>
      </c>
      <c r="F47" t="str">
        <f>"PER DIEM  02/05-02/06"</f>
        <v>PER DIEM  02/05-02/06</v>
      </c>
      <c r="G47" s="2">
        <v>40</v>
      </c>
      <c r="H47" t="str">
        <f>"PER DIEM  02/05-02/06"</f>
        <v>PER DIEM  02/05-02/06</v>
      </c>
    </row>
    <row r="48" spans="1:8" x14ac:dyDescent="0.25">
      <c r="E48" t="str">
        <f>"201902227472"</f>
        <v>201902227472</v>
      </c>
      <c r="F48" t="str">
        <f>"REIMBURSE HOTEL/BOOTH FEES"</f>
        <v>REIMBURSE HOTEL/BOOTH FEES</v>
      </c>
      <c r="G48" s="2">
        <v>856.65</v>
      </c>
      <c r="H48" t="str">
        <f>"REIMBURSE HOTEL/BOOTH FEES"</f>
        <v>REIMBURSE HOTEL/BOOTH FEES</v>
      </c>
    </row>
    <row r="49" spans="1:8" x14ac:dyDescent="0.25">
      <c r="A49" t="s">
        <v>20</v>
      </c>
      <c r="B49">
        <v>81038</v>
      </c>
      <c r="C49" s="2">
        <v>37</v>
      </c>
      <c r="D49" s="1">
        <v>43522</v>
      </c>
      <c r="E49" t="str">
        <f>"201181"</f>
        <v>201181</v>
      </c>
      <c r="F49" t="str">
        <f>"INV 201181"</f>
        <v>INV 201181</v>
      </c>
      <c r="G49" s="2">
        <v>37</v>
      </c>
      <c r="H49" t="str">
        <f>"INV 201181"</f>
        <v>INV 201181</v>
      </c>
    </row>
    <row r="50" spans="1:8" x14ac:dyDescent="0.25">
      <c r="A50" t="s">
        <v>21</v>
      </c>
      <c r="B50">
        <v>80816</v>
      </c>
      <c r="C50" s="2">
        <v>3394</v>
      </c>
      <c r="D50" s="1">
        <v>43507</v>
      </c>
      <c r="E50" t="str">
        <f>"1533  1534"</f>
        <v>1533  1534</v>
      </c>
      <c r="F50" t="str">
        <f>"INV 1533 / 1534"</f>
        <v>INV 1533 / 1534</v>
      </c>
      <c r="G50" s="2">
        <v>3394</v>
      </c>
      <c r="H50" t="str">
        <f>"INV 1534"</f>
        <v>INV 1534</v>
      </c>
    </row>
    <row r="51" spans="1:8" x14ac:dyDescent="0.25">
      <c r="E51" t="str">
        <f>""</f>
        <v/>
      </c>
      <c r="F51" t="str">
        <f>""</f>
        <v/>
      </c>
      <c r="H51" t="str">
        <f>"INV 1533"</f>
        <v>INV 1533</v>
      </c>
    </row>
    <row r="52" spans="1:8" x14ac:dyDescent="0.25">
      <c r="A52" t="s">
        <v>22</v>
      </c>
      <c r="B52">
        <v>81039</v>
      </c>
      <c r="C52" s="2">
        <v>100</v>
      </c>
      <c r="D52" s="1">
        <v>43522</v>
      </c>
      <c r="E52" t="str">
        <f>"03988"</f>
        <v>03988</v>
      </c>
      <c r="F52" t="str">
        <f>"INV 03988  A. MARTINEZ"</f>
        <v>INV 03988  A. MARTINEZ</v>
      </c>
      <c r="G52" s="2">
        <v>100</v>
      </c>
      <c r="H52" t="str">
        <f>"INV 03988  A. MARTINEZ"</f>
        <v>INV 03988  A. MARTINEZ</v>
      </c>
    </row>
    <row r="53" spans="1:8" x14ac:dyDescent="0.25">
      <c r="A53" t="s">
        <v>23</v>
      </c>
      <c r="B53">
        <v>81040</v>
      </c>
      <c r="C53" s="2">
        <v>604.97</v>
      </c>
      <c r="D53" s="1">
        <v>43522</v>
      </c>
      <c r="E53" t="str">
        <f>"201902137431"</f>
        <v>201902137431</v>
      </c>
      <c r="F53" t="str">
        <f>"ITEM#11P-500S/PCT#3"</f>
        <v>ITEM#11P-500S/PCT#3</v>
      </c>
      <c r="G53" s="2">
        <v>604.97</v>
      </c>
      <c r="H53" t="str">
        <f>"ITEM#11P-500S/PCT#3"</f>
        <v>ITEM#11P-500S/PCT#3</v>
      </c>
    </row>
    <row r="54" spans="1:8" x14ac:dyDescent="0.25">
      <c r="A54" t="s">
        <v>24</v>
      </c>
      <c r="B54">
        <v>80817</v>
      </c>
      <c r="C54" s="2">
        <v>335.98</v>
      </c>
      <c r="D54" s="1">
        <v>43507</v>
      </c>
      <c r="E54" t="str">
        <f>"6471765"</f>
        <v>6471765</v>
      </c>
      <c r="F54" t="str">
        <f>"CUST#17295/PCT#2"</f>
        <v>CUST#17295/PCT#2</v>
      </c>
      <c r="G54" s="2">
        <v>335.98</v>
      </c>
      <c r="H54" t="str">
        <f>"CUST#17295/PCT#2"</f>
        <v>CUST#17295/PCT#2</v>
      </c>
    </row>
    <row r="55" spans="1:8" x14ac:dyDescent="0.25">
      <c r="A55" t="s">
        <v>24</v>
      </c>
      <c r="B55">
        <v>81041</v>
      </c>
      <c r="C55" s="2">
        <v>1432.08</v>
      </c>
      <c r="D55" s="1">
        <v>43522</v>
      </c>
      <c r="E55" t="str">
        <f>"6491001"</f>
        <v>6491001</v>
      </c>
      <c r="F55" t="str">
        <f>"CUST#17295/PCT#3"</f>
        <v>CUST#17295/PCT#3</v>
      </c>
      <c r="G55" s="2">
        <v>1432.08</v>
      </c>
      <c r="H55" t="str">
        <f>"CUST#17295/PCT#3"</f>
        <v>CUST#17295/PCT#3</v>
      </c>
    </row>
    <row r="56" spans="1:8" x14ac:dyDescent="0.25">
      <c r="A56" t="s">
        <v>25</v>
      </c>
      <c r="B56">
        <v>448</v>
      </c>
      <c r="C56" s="2">
        <v>800</v>
      </c>
      <c r="D56" s="1">
        <v>43508</v>
      </c>
      <c r="E56" t="str">
        <f>"201901306920"</f>
        <v>201901306920</v>
      </c>
      <c r="F56" t="str">
        <f>"16195"</f>
        <v>16195</v>
      </c>
      <c r="G56" s="2">
        <v>400</v>
      </c>
      <c r="H56" t="str">
        <f>"16195"</f>
        <v>16195</v>
      </c>
    </row>
    <row r="57" spans="1:8" x14ac:dyDescent="0.25">
      <c r="E57" t="str">
        <f>"201901316964"</f>
        <v>201901316964</v>
      </c>
      <c r="F57" t="str">
        <f>"16 640"</f>
        <v>16 640</v>
      </c>
      <c r="G57" s="2">
        <v>400</v>
      </c>
      <c r="H57" t="str">
        <f>"16 640"</f>
        <v>16 640</v>
      </c>
    </row>
    <row r="58" spans="1:8" x14ac:dyDescent="0.25">
      <c r="A58" t="s">
        <v>25</v>
      </c>
      <c r="B58">
        <v>507</v>
      </c>
      <c r="C58" s="2">
        <v>500</v>
      </c>
      <c r="D58" s="1">
        <v>43523</v>
      </c>
      <c r="E58" t="str">
        <f>"201902127365"</f>
        <v>201902127365</v>
      </c>
      <c r="F58" t="str">
        <f>"1049-335"</f>
        <v>1049-335</v>
      </c>
      <c r="G58" s="2">
        <v>100</v>
      </c>
      <c r="H58" t="str">
        <f>"1049-335"</f>
        <v>1049-335</v>
      </c>
    </row>
    <row r="59" spans="1:8" x14ac:dyDescent="0.25">
      <c r="E59" t="str">
        <f>"201902127370"</f>
        <v>201902127370</v>
      </c>
      <c r="F59" t="str">
        <f>"14540"</f>
        <v>14540</v>
      </c>
      <c r="G59" s="2">
        <v>400</v>
      </c>
      <c r="H59" t="str">
        <f>"14540"</f>
        <v>14540</v>
      </c>
    </row>
    <row r="60" spans="1:8" x14ac:dyDescent="0.25">
      <c r="A60" t="s">
        <v>26</v>
      </c>
      <c r="B60">
        <v>80818</v>
      </c>
      <c r="C60" s="2">
        <v>338.28</v>
      </c>
      <c r="D60" s="1">
        <v>43507</v>
      </c>
      <c r="E60" t="str">
        <f>"201901316958"</f>
        <v>201901316958</v>
      </c>
      <c r="F60" t="str">
        <f>"423-6124"</f>
        <v>423-6124</v>
      </c>
      <c r="G60" s="2">
        <v>119.14</v>
      </c>
      <c r="H60" t="str">
        <f>"423-6124"</f>
        <v>423-6124</v>
      </c>
    </row>
    <row r="61" spans="1:8" x14ac:dyDescent="0.25">
      <c r="E61" t="str">
        <f>"201902016980"</f>
        <v>201902016980</v>
      </c>
      <c r="F61" t="str">
        <f>"18-19221  18-19329  18-19331"</f>
        <v>18-19221  18-19329  18-19331</v>
      </c>
      <c r="G61" s="2">
        <v>219.14</v>
      </c>
      <c r="H61" t="str">
        <f>"18-19221  18-19329  18-19331"</f>
        <v>18-19221  18-19329  18-19331</v>
      </c>
    </row>
    <row r="62" spans="1:8" x14ac:dyDescent="0.25">
      <c r="A62" t="s">
        <v>26</v>
      </c>
      <c r="B62">
        <v>81042</v>
      </c>
      <c r="C62" s="2">
        <v>761.56</v>
      </c>
      <c r="D62" s="1">
        <v>43522</v>
      </c>
      <c r="E62" t="str">
        <f>"201902127371"</f>
        <v>201902127371</v>
      </c>
      <c r="F62" t="str">
        <f>"423-6174"</f>
        <v>423-6174</v>
      </c>
      <c r="G62" s="2">
        <v>211.64</v>
      </c>
      <c r="H62" t="str">
        <f>"423-6174"</f>
        <v>423-6174</v>
      </c>
    </row>
    <row r="63" spans="1:8" x14ac:dyDescent="0.25">
      <c r="E63" t="str">
        <f>"201902127372"</f>
        <v>201902127372</v>
      </c>
      <c r="F63" t="str">
        <f>"56 744"</f>
        <v>56 744</v>
      </c>
      <c r="G63" s="2">
        <v>338.28</v>
      </c>
      <c r="H63" t="str">
        <f>"56 744"</f>
        <v>56 744</v>
      </c>
    </row>
    <row r="64" spans="1:8" x14ac:dyDescent="0.25">
      <c r="E64" t="str">
        <f>"201902127373"</f>
        <v>201902127373</v>
      </c>
      <c r="F64" t="str">
        <f>"18-19372"</f>
        <v>18-19372</v>
      </c>
      <c r="G64" s="2">
        <v>211.64</v>
      </c>
      <c r="H64" t="str">
        <f>"18-19372"</f>
        <v>18-19372</v>
      </c>
    </row>
    <row r="65" spans="1:8" x14ac:dyDescent="0.25">
      <c r="A65" t="s">
        <v>27</v>
      </c>
      <c r="B65">
        <v>81043</v>
      </c>
      <c r="C65" s="2">
        <v>474</v>
      </c>
      <c r="D65" s="1">
        <v>43522</v>
      </c>
      <c r="E65" t="str">
        <f>"35554"</f>
        <v>35554</v>
      </c>
      <c r="F65" t="str">
        <f>"RENTAL-601 COOL WATER/PCT#1"</f>
        <v>RENTAL-601 COOL WATER/PCT#1</v>
      </c>
      <c r="G65" s="2">
        <v>215</v>
      </c>
      <c r="H65" t="str">
        <f>"RENTAL-601 COOL WATER/PCT#1"</f>
        <v>RENTAL-601 COOL WATER/PCT#1</v>
      </c>
    </row>
    <row r="66" spans="1:8" x14ac:dyDescent="0.25">
      <c r="E66" t="str">
        <f>"35555"</f>
        <v>35555</v>
      </c>
      <c r="F66" t="str">
        <f>"RENTAL-RIVERSIDE LAUNCH"</f>
        <v>RENTAL-RIVERSIDE LAUNCH</v>
      </c>
      <c r="G66" s="2">
        <v>259</v>
      </c>
      <c r="H66" t="str">
        <f>"RENTAL-RIVERSIDE LAUNCH"</f>
        <v>RENTAL-RIVERSIDE LAUNCH</v>
      </c>
    </row>
    <row r="67" spans="1:8" x14ac:dyDescent="0.25">
      <c r="A67" t="s">
        <v>28</v>
      </c>
      <c r="B67">
        <v>428</v>
      </c>
      <c r="C67" s="2">
        <v>169.92</v>
      </c>
      <c r="D67" s="1">
        <v>43508</v>
      </c>
      <c r="E67" t="str">
        <f>"1CMY-6GJF-DFLP"</f>
        <v>1CMY-6GJF-DFLP</v>
      </c>
      <c r="F67" t="str">
        <f>"Antenna and charger order"</f>
        <v>Antenna and charger order</v>
      </c>
      <c r="G67" s="2">
        <v>169.92</v>
      </c>
      <c r="H67" t="str">
        <f>"MOunt Antenna"</f>
        <v>MOunt Antenna</v>
      </c>
    </row>
    <row r="68" spans="1:8" x14ac:dyDescent="0.25">
      <c r="E68" t="str">
        <f>""</f>
        <v/>
      </c>
      <c r="F68" t="str">
        <f>""</f>
        <v/>
      </c>
      <c r="H68" t="str">
        <f>"Canon CB-2LF Battery"</f>
        <v>Canon CB-2LF Battery</v>
      </c>
    </row>
    <row r="69" spans="1:8" x14ac:dyDescent="0.25">
      <c r="A69" t="s">
        <v>28</v>
      </c>
      <c r="B69">
        <v>490</v>
      </c>
      <c r="C69" s="2">
        <v>144.27000000000001</v>
      </c>
      <c r="D69" s="1">
        <v>43523</v>
      </c>
      <c r="E69" t="str">
        <f>"1VKD-CHN6-6FTD"</f>
        <v>1VKD-CHN6-6FTD</v>
      </c>
      <c r="F69" t="str">
        <f>"Busy Phone Light"</f>
        <v>Busy Phone Light</v>
      </c>
      <c r="G69" s="2">
        <v>144.27000000000001</v>
      </c>
      <c r="H69" t="str">
        <f>"Busy Phone Light"</f>
        <v>Busy Phone Light</v>
      </c>
    </row>
    <row r="70" spans="1:8" x14ac:dyDescent="0.25">
      <c r="A70" t="s">
        <v>29</v>
      </c>
      <c r="B70">
        <v>81044</v>
      </c>
      <c r="C70" s="2">
        <v>120.56</v>
      </c>
      <c r="D70" s="1">
        <v>43522</v>
      </c>
      <c r="E70" t="str">
        <f>"S119548462"</f>
        <v>S119548462</v>
      </c>
      <c r="F70" t="str">
        <f>"CUST#379865/PCT#2"</f>
        <v>CUST#379865/PCT#2</v>
      </c>
      <c r="G70" s="2">
        <v>120.56</v>
      </c>
      <c r="H70" t="str">
        <f>"CUST#379865/PCT#2"</f>
        <v>CUST#379865/PCT#2</v>
      </c>
    </row>
    <row r="71" spans="1:8" x14ac:dyDescent="0.25">
      <c r="A71" t="s">
        <v>30</v>
      </c>
      <c r="B71">
        <v>80819</v>
      </c>
      <c r="C71" s="2">
        <v>40.1</v>
      </c>
      <c r="D71" s="1">
        <v>43507</v>
      </c>
      <c r="E71" t="str">
        <f>"948467804/05/94849"</f>
        <v>948467804/05/94849</v>
      </c>
      <c r="F71" t="str">
        <f>"INV 948467804"</f>
        <v>INV 948467804</v>
      </c>
      <c r="G71" s="2">
        <v>40.1</v>
      </c>
      <c r="H71" t="str">
        <f>"INV 948467804"</f>
        <v>INV 948467804</v>
      </c>
    </row>
    <row r="72" spans="1:8" x14ac:dyDescent="0.25">
      <c r="E72" t="str">
        <f>""</f>
        <v/>
      </c>
      <c r="F72" t="str">
        <f>""</f>
        <v/>
      </c>
      <c r="H72" t="str">
        <f>"INV 948467805"</f>
        <v>INV 948467805</v>
      </c>
    </row>
    <row r="73" spans="1:8" x14ac:dyDescent="0.25">
      <c r="E73" t="str">
        <f>""</f>
        <v/>
      </c>
      <c r="F73" t="str">
        <f>""</f>
        <v/>
      </c>
      <c r="H73" t="str">
        <f>"INV 948492412"</f>
        <v>INV 948492412</v>
      </c>
    </row>
    <row r="74" spans="1:8" x14ac:dyDescent="0.25">
      <c r="A74" t="s">
        <v>30</v>
      </c>
      <c r="B74">
        <v>81045</v>
      </c>
      <c r="C74" s="2">
        <v>4859.0200000000004</v>
      </c>
      <c r="D74" s="1">
        <v>43522</v>
      </c>
      <c r="E74" t="str">
        <f>"949448481"</f>
        <v>949448481</v>
      </c>
      <c r="F74" t="str">
        <f>"INV 949448481"</f>
        <v>INV 949448481</v>
      </c>
      <c r="G74" s="2">
        <v>4859.0200000000004</v>
      </c>
      <c r="H74" t="str">
        <f>"INV 949448481"</f>
        <v>INV 949448481</v>
      </c>
    </row>
    <row r="75" spans="1:8" x14ac:dyDescent="0.25">
      <c r="A75" t="s">
        <v>31</v>
      </c>
      <c r="B75">
        <v>464</v>
      </c>
      <c r="C75" s="2">
        <v>7407.5</v>
      </c>
      <c r="D75" s="1">
        <v>43508</v>
      </c>
      <c r="E75" t="str">
        <f>"201901296823"</f>
        <v>201901296823</v>
      </c>
      <c r="F75" t="str">
        <f>"16 438"</f>
        <v>16 438</v>
      </c>
      <c r="G75" s="2">
        <v>400</v>
      </c>
      <c r="H75" t="str">
        <f>"16 438"</f>
        <v>16 438</v>
      </c>
    </row>
    <row r="76" spans="1:8" x14ac:dyDescent="0.25">
      <c r="E76" t="str">
        <f>"201901296824"</f>
        <v>201901296824</v>
      </c>
      <c r="F76" t="str">
        <f>"16 527"</f>
        <v>16 527</v>
      </c>
      <c r="G76" s="2">
        <v>400</v>
      </c>
      <c r="H76" t="str">
        <f>"16 527"</f>
        <v>16 527</v>
      </c>
    </row>
    <row r="77" spans="1:8" x14ac:dyDescent="0.25">
      <c r="E77" t="str">
        <f>"201901296825"</f>
        <v>201901296825</v>
      </c>
      <c r="F77" t="str">
        <f>"16 460"</f>
        <v>16 460</v>
      </c>
      <c r="G77" s="2">
        <v>400</v>
      </c>
      <c r="H77" t="str">
        <f>"16 460"</f>
        <v>16 460</v>
      </c>
    </row>
    <row r="78" spans="1:8" x14ac:dyDescent="0.25">
      <c r="E78" t="str">
        <f>"201901296826"</f>
        <v>201901296826</v>
      </c>
      <c r="F78" t="str">
        <f>"4010851"</f>
        <v>4010851</v>
      </c>
      <c r="G78" s="2">
        <v>400</v>
      </c>
      <c r="H78" t="str">
        <f>"4010851"</f>
        <v>4010851</v>
      </c>
    </row>
    <row r="79" spans="1:8" x14ac:dyDescent="0.25">
      <c r="E79" t="str">
        <f>"201901296827"</f>
        <v>201901296827</v>
      </c>
      <c r="F79" t="str">
        <f>"16 683"</f>
        <v>16 683</v>
      </c>
      <c r="G79" s="2">
        <v>100</v>
      </c>
      <c r="H79" t="str">
        <f>"16 683"</f>
        <v>16 683</v>
      </c>
    </row>
    <row r="80" spans="1:8" x14ac:dyDescent="0.25">
      <c r="E80" t="str">
        <f>"201901306917"</f>
        <v>201901306917</v>
      </c>
      <c r="F80" t="str">
        <f>"16 585"</f>
        <v>16 585</v>
      </c>
      <c r="G80" s="2">
        <v>400</v>
      </c>
      <c r="H80" t="str">
        <f>"16 585"</f>
        <v>16 585</v>
      </c>
    </row>
    <row r="81" spans="1:8" x14ac:dyDescent="0.25">
      <c r="E81" t="str">
        <f>"201901306918"</f>
        <v>201901306918</v>
      </c>
      <c r="F81" t="str">
        <f>"1045-335"</f>
        <v>1045-335</v>
      </c>
      <c r="G81" s="2">
        <v>100</v>
      </c>
      <c r="H81" t="str">
        <f>"1045-335"</f>
        <v>1045-335</v>
      </c>
    </row>
    <row r="82" spans="1:8" x14ac:dyDescent="0.25">
      <c r="E82" t="str">
        <f>"201901306919"</f>
        <v>201901306919</v>
      </c>
      <c r="F82" t="str">
        <f>"16 426"</f>
        <v>16 426</v>
      </c>
      <c r="G82" s="2">
        <v>400</v>
      </c>
      <c r="H82" t="str">
        <f>"16 426"</f>
        <v>16 426</v>
      </c>
    </row>
    <row r="83" spans="1:8" x14ac:dyDescent="0.25">
      <c r="E83" t="str">
        <f>"201901316960"</f>
        <v>201901316960</v>
      </c>
      <c r="F83" t="str">
        <f>"15 927"</f>
        <v>15 927</v>
      </c>
      <c r="G83" s="2">
        <v>800</v>
      </c>
      <c r="H83" t="str">
        <f>"15 927"</f>
        <v>15 927</v>
      </c>
    </row>
    <row r="84" spans="1:8" x14ac:dyDescent="0.25">
      <c r="E84" t="str">
        <f>"201902016976"</f>
        <v>201902016976</v>
      </c>
      <c r="F84" t="str">
        <f>"16 108"</f>
        <v>16 108</v>
      </c>
      <c r="G84" s="2">
        <v>400</v>
      </c>
      <c r="H84" t="str">
        <f>"16 108"</f>
        <v>16 108</v>
      </c>
    </row>
    <row r="85" spans="1:8" x14ac:dyDescent="0.25">
      <c r="E85" t="str">
        <f>"201902017001"</f>
        <v>201902017001</v>
      </c>
      <c r="F85" t="str">
        <f>"18-19240"</f>
        <v>18-19240</v>
      </c>
      <c r="G85" s="2">
        <v>310</v>
      </c>
      <c r="H85" t="str">
        <f>"18-19240"</f>
        <v>18-19240</v>
      </c>
    </row>
    <row r="86" spans="1:8" x14ac:dyDescent="0.25">
      <c r="E86" t="str">
        <f>"201902017002"</f>
        <v>201902017002</v>
      </c>
      <c r="F86" t="str">
        <f>"15-17246"</f>
        <v>15-17246</v>
      </c>
      <c r="G86" s="2">
        <v>387.5</v>
      </c>
      <c r="H86" t="str">
        <f>"15-17246"</f>
        <v>15-17246</v>
      </c>
    </row>
    <row r="87" spans="1:8" x14ac:dyDescent="0.25">
      <c r="E87" t="str">
        <f>"201902017003"</f>
        <v>201902017003</v>
      </c>
      <c r="F87" t="str">
        <f>"15-17399"</f>
        <v>15-17399</v>
      </c>
      <c r="G87" s="2">
        <v>377.5</v>
      </c>
      <c r="H87" t="str">
        <f>"15-17399"</f>
        <v>15-17399</v>
      </c>
    </row>
    <row r="88" spans="1:8" x14ac:dyDescent="0.25">
      <c r="E88" t="str">
        <f>"201902017004"</f>
        <v>201902017004</v>
      </c>
      <c r="F88" t="str">
        <f>"18-19142"</f>
        <v>18-19142</v>
      </c>
      <c r="G88" s="2">
        <v>272.5</v>
      </c>
      <c r="H88" t="str">
        <f>"18-19142"</f>
        <v>18-19142</v>
      </c>
    </row>
    <row r="89" spans="1:8" x14ac:dyDescent="0.25">
      <c r="E89" t="str">
        <f>"201902017005"</f>
        <v>201902017005</v>
      </c>
      <c r="F89" t="str">
        <f>"18-18966"</f>
        <v>18-18966</v>
      </c>
      <c r="G89" s="2">
        <v>527.5</v>
      </c>
      <c r="H89" t="str">
        <f>"18-18966"</f>
        <v>18-18966</v>
      </c>
    </row>
    <row r="90" spans="1:8" x14ac:dyDescent="0.25">
      <c r="E90" t="str">
        <f>"201902047017"</f>
        <v>201902047017</v>
      </c>
      <c r="F90" t="str">
        <f>"17-18392"</f>
        <v>17-18392</v>
      </c>
      <c r="G90" s="2">
        <v>1382.5</v>
      </c>
      <c r="H90" t="str">
        <f>"17-18392"</f>
        <v>17-18392</v>
      </c>
    </row>
    <row r="91" spans="1:8" x14ac:dyDescent="0.25">
      <c r="E91" t="str">
        <f>"201902057052"</f>
        <v>201902057052</v>
      </c>
      <c r="F91" t="str">
        <f>"NO CAUSE # LISTED"</f>
        <v>NO CAUSE # LISTED</v>
      </c>
      <c r="G91" s="2">
        <v>100</v>
      </c>
      <c r="H91" t="str">
        <f>"NO CAUSE # LISTED"</f>
        <v>NO CAUSE # LISTED</v>
      </c>
    </row>
    <row r="92" spans="1:8" x14ac:dyDescent="0.25">
      <c r="E92" t="str">
        <f>"201902057070"</f>
        <v>201902057070</v>
      </c>
      <c r="F92" t="str">
        <f>"55 891"</f>
        <v>55 891</v>
      </c>
      <c r="G92" s="2">
        <v>250</v>
      </c>
      <c r="H92" t="str">
        <f>"55 891"</f>
        <v>55 891</v>
      </c>
    </row>
    <row r="93" spans="1:8" x14ac:dyDescent="0.25">
      <c r="A93" t="s">
        <v>31</v>
      </c>
      <c r="B93">
        <v>521</v>
      </c>
      <c r="C93" s="2">
        <v>11989.62</v>
      </c>
      <c r="D93" s="1">
        <v>43523</v>
      </c>
      <c r="E93" t="str">
        <f>"201902127362"</f>
        <v>201902127362</v>
      </c>
      <c r="F93" t="str">
        <f>"16 030  15 968"</f>
        <v>16 030  15 968</v>
      </c>
      <c r="G93" s="2">
        <v>6620</v>
      </c>
      <c r="H93" t="str">
        <f>"16 030  15 968"</f>
        <v>16 030  15 968</v>
      </c>
    </row>
    <row r="94" spans="1:8" x14ac:dyDescent="0.25">
      <c r="E94" t="str">
        <f>"201902127363"</f>
        <v>201902127363</v>
      </c>
      <c r="F94" t="str">
        <f>"16 030  15 968  16 351"</f>
        <v>16 030  15 968  16 351</v>
      </c>
      <c r="G94" s="2">
        <v>3982.5</v>
      </c>
      <c r="H94" t="str">
        <f>"16 030  15 968  16 351"</f>
        <v>16 030  15 968  16 351</v>
      </c>
    </row>
    <row r="95" spans="1:8" x14ac:dyDescent="0.25">
      <c r="E95" t="str">
        <f>"201902127395"</f>
        <v>201902127395</v>
      </c>
      <c r="F95" t="str">
        <f>"NO CAUSE # LISTED"</f>
        <v>NO CAUSE # LISTED</v>
      </c>
      <c r="G95" s="2">
        <v>100</v>
      </c>
      <c r="H95" t="str">
        <f>"NO CAUSE # LISTED"</f>
        <v>NO CAUSE # LISTED</v>
      </c>
    </row>
    <row r="96" spans="1:8" x14ac:dyDescent="0.25">
      <c r="E96" t="str">
        <f>"201902127396"</f>
        <v>201902127396</v>
      </c>
      <c r="F96" t="str">
        <f>"NO CAUSE # LISTED"</f>
        <v>NO CAUSE # LISTED</v>
      </c>
      <c r="G96" s="2">
        <v>100</v>
      </c>
      <c r="H96" t="str">
        <f>"NO CAUSE # LISTED"</f>
        <v>NO CAUSE # LISTED</v>
      </c>
    </row>
    <row r="97" spans="1:8" x14ac:dyDescent="0.25">
      <c r="E97" t="str">
        <f>"201902127397"</f>
        <v>201902127397</v>
      </c>
      <c r="F97" t="str">
        <f>"NO CAUSE # LISTED"</f>
        <v>NO CAUSE # LISTED</v>
      </c>
      <c r="G97" s="2">
        <v>100</v>
      </c>
      <c r="H97" t="str">
        <f>"NO CAUSE # LISTED"</f>
        <v>NO CAUSE # LISTED</v>
      </c>
    </row>
    <row r="98" spans="1:8" x14ac:dyDescent="0.25">
      <c r="E98" t="str">
        <f>"201902127404"</f>
        <v>201902127404</v>
      </c>
      <c r="F98" t="str">
        <f>"18-18924"</f>
        <v>18-18924</v>
      </c>
      <c r="G98" s="2">
        <v>310</v>
      </c>
      <c r="H98" t="str">
        <f>"18-18924"</f>
        <v>18-18924</v>
      </c>
    </row>
    <row r="99" spans="1:8" x14ac:dyDescent="0.25">
      <c r="E99" t="str">
        <f>"201902127405"</f>
        <v>201902127405</v>
      </c>
      <c r="F99" t="str">
        <f>"14-16896"</f>
        <v>14-16896</v>
      </c>
      <c r="G99" s="2">
        <v>355</v>
      </c>
      <c r="H99" t="str">
        <f>"14-16896"</f>
        <v>14-16896</v>
      </c>
    </row>
    <row r="100" spans="1:8" x14ac:dyDescent="0.25">
      <c r="E100" t="str">
        <f>"201902127406"</f>
        <v>201902127406</v>
      </c>
      <c r="F100" t="str">
        <f>"19-19443"</f>
        <v>19-19443</v>
      </c>
      <c r="G100" s="2">
        <v>422.12</v>
      </c>
      <c r="H100" t="str">
        <f>"19-19443"</f>
        <v>19-19443</v>
      </c>
    </row>
    <row r="101" spans="1:8" x14ac:dyDescent="0.25">
      <c r="A101" t="s">
        <v>32</v>
      </c>
      <c r="B101">
        <v>80820</v>
      </c>
      <c r="C101" s="2">
        <v>65.790000000000006</v>
      </c>
      <c r="D101" s="1">
        <v>43507</v>
      </c>
      <c r="E101" t="str">
        <f>"68968"</f>
        <v>68968</v>
      </c>
      <c r="F101" t="str">
        <f>"CAT PUSHER"</f>
        <v>CAT PUSHER</v>
      </c>
      <c r="G101" s="2">
        <v>65.790000000000006</v>
      </c>
      <c r="H101" t="str">
        <f>"SHEILD"</f>
        <v>SHEILD</v>
      </c>
    </row>
    <row r="102" spans="1:8" x14ac:dyDescent="0.25">
      <c r="E102" t="str">
        <f>""</f>
        <v/>
      </c>
      <c r="F102" t="str">
        <f>""</f>
        <v/>
      </c>
      <c r="H102" t="str">
        <f>"SHIPPING"</f>
        <v>SHIPPING</v>
      </c>
    </row>
    <row r="103" spans="1:8" x14ac:dyDescent="0.25">
      <c r="A103" t="s">
        <v>33</v>
      </c>
      <c r="B103">
        <v>80821</v>
      </c>
      <c r="C103" s="2">
        <v>2536.5500000000002</v>
      </c>
      <c r="D103" s="1">
        <v>43507</v>
      </c>
      <c r="E103" t="str">
        <f>"43T025401"</f>
        <v>43T025401</v>
      </c>
      <c r="F103" t="str">
        <f>"INV 43T025401"</f>
        <v>INV 43T025401</v>
      </c>
      <c r="G103" s="2">
        <v>2536.5500000000002</v>
      </c>
      <c r="H103" t="str">
        <f>"INV 43T025401"</f>
        <v>INV 43T025401</v>
      </c>
    </row>
    <row r="104" spans="1:8" x14ac:dyDescent="0.25">
      <c r="A104" t="s">
        <v>34</v>
      </c>
      <c r="B104">
        <v>80822</v>
      </c>
      <c r="C104" s="2">
        <v>33.090000000000003</v>
      </c>
      <c r="D104" s="1">
        <v>43507</v>
      </c>
      <c r="E104" t="str">
        <f>"1901-426818"</f>
        <v>1901-426818</v>
      </c>
      <c r="F104" t="str">
        <f>"ACCT#3-3053/PCT#2"</f>
        <v>ACCT#3-3053/PCT#2</v>
      </c>
      <c r="G104" s="2">
        <v>33.090000000000003</v>
      </c>
      <c r="H104" t="str">
        <f>"ACCT#3-3053/PCT#2"</f>
        <v>ACCT#3-3053/PCT#2</v>
      </c>
    </row>
    <row r="105" spans="1:8" x14ac:dyDescent="0.25">
      <c r="A105" t="s">
        <v>35</v>
      </c>
      <c r="B105">
        <v>80823</v>
      </c>
      <c r="C105" s="2">
        <v>794.19</v>
      </c>
      <c r="D105" s="1">
        <v>43507</v>
      </c>
      <c r="E105" t="str">
        <f>"201902017006"</f>
        <v>201902017006</v>
      </c>
      <c r="F105" t="str">
        <f>"ACCT#010057/AUDITOR"</f>
        <v>ACCT#010057/AUDITOR</v>
      </c>
      <c r="G105" s="2">
        <v>31.5</v>
      </c>
      <c r="H105" t="str">
        <f>"ACCT#010057/AUDITOR"</f>
        <v>ACCT#010057/AUDITOR</v>
      </c>
    </row>
    <row r="106" spans="1:8" x14ac:dyDescent="0.25">
      <c r="E106" t="str">
        <f>"201902017007"</f>
        <v>201902017007</v>
      </c>
      <c r="F106" t="str">
        <f>"ACCT#011280/COUNTY CLERK"</f>
        <v>ACCT#011280/COUNTY CLERK</v>
      </c>
      <c r="G106" s="2">
        <v>46.5</v>
      </c>
      <c r="H106" t="str">
        <f>"ACCT#011280/COUNTY CLERK"</f>
        <v>ACCT#011280/COUNTY CLERK</v>
      </c>
    </row>
    <row r="107" spans="1:8" x14ac:dyDescent="0.25">
      <c r="E107" t="str">
        <f>"201902047010"</f>
        <v>201902047010</v>
      </c>
      <c r="F107" t="str">
        <f>"ACCT#010311/COUNTY CT AT LAW"</f>
        <v>ACCT#010311/COUNTY CT AT LAW</v>
      </c>
      <c r="G107" s="2">
        <v>9</v>
      </c>
      <c r="H107" t="str">
        <f>"ACCT#010311/COUNTY CT AT LAW"</f>
        <v>ACCT#010311/COUNTY CT AT LAW</v>
      </c>
    </row>
    <row r="108" spans="1:8" x14ac:dyDescent="0.25">
      <c r="E108" t="str">
        <f>"201902047011"</f>
        <v>201902047011</v>
      </c>
      <c r="F108" t="str">
        <f>"ACCT#015538/EMER COMM"</f>
        <v>ACCT#015538/EMER COMM</v>
      </c>
      <c r="G108" s="2">
        <v>126.74</v>
      </c>
      <c r="H108" t="str">
        <f>"ACCT#015538/EMER COMM"</f>
        <v>ACCT#015538/EMER COMM</v>
      </c>
    </row>
    <row r="109" spans="1:8" x14ac:dyDescent="0.25">
      <c r="E109" t="str">
        <f>"201902047012"</f>
        <v>201902047012</v>
      </c>
      <c r="F109" t="str">
        <f>"ACCT#010238/GEN SVCS"</f>
        <v>ACCT#010238/GEN SVCS</v>
      </c>
      <c r="G109" s="2">
        <v>70.5</v>
      </c>
      <c r="H109" t="str">
        <f>"ACCT#010238/GEN SVCS"</f>
        <v>ACCT#010238/GEN SVCS</v>
      </c>
    </row>
    <row r="110" spans="1:8" x14ac:dyDescent="0.25">
      <c r="E110" t="str">
        <f>"201902047013"</f>
        <v>201902047013</v>
      </c>
      <c r="F110" t="str">
        <f>"ACCT#012571/TREASURER"</f>
        <v>ACCT#012571/TREASURER</v>
      </c>
      <c r="G110" s="2">
        <v>24</v>
      </c>
      <c r="H110" t="str">
        <f>"ACCT#012571/TREASURER"</f>
        <v>ACCT#012571/TREASURER</v>
      </c>
    </row>
    <row r="111" spans="1:8" x14ac:dyDescent="0.25">
      <c r="E111" t="str">
        <f>"201902047014"</f>
        <v>201902047014</v>
      </c>
      <c r="F111" t="str">
        <f>"ACCT#012231/DIST JUDGE OFFICE"</f>
        <v>ACCT#012231/DIST JUDGE OFFICE</v>
      </c>
      <c r="G111" s="2">
        <v>10</v>
      </c>
      <c r="H111" t="str">
        <f>"ACCT#012231/DIST JUDGE OFFICE"</f>
        <v>ACCT#012231/DIST JUDGE OFFICE</v>
      </c>
    </row>
    <row r="112" spans="1:8" x14ac:dyDescent="0.25">
      <c r="E112" t="str">
        <f>"201902047015"</f>
        <v>201902047015</v>
      </c>
      <c r="F112" t="str">
        <f>"ACCT#011955/DIST JUDGE"</f>
        <v>ACCT#011955/DIST JUDGE</v>
      </c>
      <c r="G112" s="2">
        <v>48</v>
      </c>
      <c r="H112" t="str">
        <f>"ACCT#011955/DIST JUDGE"</f>
        <v>ACCT#011955/DIST JUDGE</v>
      </c>
    </row>
    <row r="113" spans="1:8" x14ac:dyDescent="0.25">
      <c r="E113" t="str">
        <f>"201902047019"</f>
        <v>201902047019</v>
      </c>
      <c r="F113" t="str">
        <f>"ACCT#010602/COMMISSIONER OFFIC"</f>
        <v>ACCT#010602/COMMISSIONER OFFIC</v>
      </c>
      <c r="G113" s="2">
        <v>46.5</v>
      </c>
      <c r="H113" t="str">
        <f>"ACCT#010602/COMMISSIONER OFFIC"</f>
        <v>ACCT#010602/COMMISSIONER OFFIC</v>
      </c>
    </row>
    <row r="114" spans="1:8" x14ac:dyDescent="0.25">
      <c r="E114" t="str">
        <f>"201902047020"</f>
        <v>201902047020</v>
      </c>
      <c r="F114" t="str">
        <f>"ACCT#015199/JP#1"</f>
        <v>ACCT#015199/JP#1</v>
      </c>
      <c r="G114" s="2">
        <v>37.479999999999997</v>
      </c>
      <c r="H114" t="str">
        <f>"ACCT#015199/JP#1"</f>
        <v>ACCT#015199/JP#1</v>
      </c>
    </row>
    <row r="115" spans="1:8" x14ac:dyDescent="0.25">
      <c r="E115" t="str">
        <f>"201902047021"</f>
        <v>201902047021</v>
      </c>
      <c r="F115" t="str">
        <f>"ACCT#011474/ELECTIONS"</f>
        <v>ACCT#011474/ELECTIONS</v>
      </c>
      <c r="G115" s="2">
        <v>25</v>
      </c>
      <c r="H115" t="str">
        <f>"ACCT#011474/ELECTIONS"</f>
        <v>ACCT#011474/ELECTIONS</v>
      </c>
    </row>
    <row r="116" spans="1:8" x14ac:dyDescent="0.25">
      <c r="E116" t="str">
        <f>"201902047028"</f>
        <v>201902047028</v>
      </c>
      <c r="F116" t="str">
        <f>"ACCT#010835/PCT#1"</f>
        <v>ACCT#010835/PCT#1</v>
      </c>
      <c r="G116" s="2">
        <v>9</v>
      </c>
      <c r="H116" t="str">
        <f>"ACCT#010835/PCT#1"</f>
        <v>ACCT#010835/PCT#1</v>
      </c>
    </row>
    <row r="117" spans="1:8" x14ac:dyDescent="0.25">
      <c r="E117" t="str">
        <f>"201902057076"</f>
        <v>201902057076</v>
      </c>
      <c r="F117" t="str">
        <f>"ACCT#012259/DISTRICT CLERK"</f>
        <v>ACCT#012259/DISTRICT CLERK</v>
      </c>
      <c r="G117" s="2">
        <v>69</v>
      </c>
      <c r="H117" t="str">
        <f>"ACCT#012259/DISTRICT CLERK"</f>
        <v>ACCT#012259/DISTRICT CLERK</v>
      </c>
    </row>
    <row r="118" spans="1:8" x14ac:dyDescent="0.25">
      <c r="E118" t="str">
        <f>"201902057077"</f>
        <v>201902057077</v>
      </c>
      <c r="F118" t="str">
        <f>"ACCT#012803/BASTROP CO JUDGE"</f>
        <v>ACCT#012803/BASTROP CO JUDGE</v>
      </c>
      <c r="G118" s="2">
        <v>22.5</v>
      </c>
      <c r="H118" t="str">
        <f>"ACCT#012803/BASTROP CO JUDGE"</f>
        <v>ACCT#012803/BASTROP CO JUDGE</v>
      </c>
    </row>
    <row r="119" spans="1:8" x14ac:dyDescent="0.25">
      <c r="E119" t="str">
        <f>"201902057080"</f>
        <v>201902057080</v>
      </c>
      <c r="F119" t="str">
        <f>"ACCT#011033/IT DEPT"</f>
        <v>ACCT#011033/IT DEPT</v>
      </c>
      <c r="G119" s="2">
        <v>39</v>
      </c>
      <c r="H119" t="str">
        <f>"ACCT#011033/IT DEPT"</f>
        <v>ACCT#011033/IT DEPT</v>
      </c>
    </row>
    <row r="120" spans="1:8" x14ac:dyDescent="0.25">
      <c r="E120" t="str">
        <f>"201902057081"</f>
        <v>201902057081</v>
      </c>
      <c r="F120" t="str">
        <f>"ACCT#010149/AGRI LIFE EXTEN"</f>
        <v>ACCT#010149/AGRI LIFE EXTEN</v>
      </c>
      <c r="G120" s="2">
        <v>29.49</v>
      </c>
      <c r="H120" t="str">
        <f>"ACCT#010149/AGRI LIFE EXTEN"</f>
        <v>ACCT#010149/AGRI LIFE EXTEN</v>
      </c>
    </row>
    <row r="121" spans="1:8" x14ac:dyDescent="0.25">
      <c r="E121" t="str">
        <f>"201902057082"</f>
        <v>201902057082</v>
      </c>
      <c r="F121" t="str">
        <f>"ACCT#012260/D.A.'S OFFICE"</f>
        <v>ACCT#012260/D.A.'S OFFICE</v>
      </c>
      <c r="G121" s="2">
        <v>37.5</v>
      </c>
      <c r="H121" t="str">
        <f>"ACCT#012260/D.A.'S OFFICE"</f>
        <v>ACCT#012260/D.A.'S OFFICE</v>
      </c>
    </row>
    <row r="122" spans="1:8" x14ac:dyDescent="0.25">
      <c r="E122" t="str">
        <f>"201902057083"</f>
        <v>201902057083</v>
      </c>
      <c r="F122" t="str">
        <f>"ACCT#013393/HUMAN RESOURCES"</f>
        <v>ACCT#013393/HUMAN RESOURCES</v>
      </c>
      <c r="G122" s="2">
        <v>25</v>
      </c>
      <c r="H122" t="str">
        <f>"ACCT#013393/HUMAN RESOURCES"</f>
        <v>ACCT#013393/HUMAN RESOURCES</v>
      </c>
    </row>
    <row r="123" spans="1:8" x14ac:dyDescent="0.25">
      <c r="E123" t="str">
        <f>"201902057137"</f>
        <v>201902057137</v>
      </c>
      <c r="F123" t="str">
        <f>"ACCT#014737/ANIMAL SERVICE"</f>
        <v>ACCT#014737/ANIMAL SERVICE</v>
      </c>
      <c r="G123" s="2">
        <v>82.99</v>
      </c>
      <c r="H123" t="str">
        <f>"ACCT#014737/ANIMAL SERVICE"</f>
        <v>ACCT#014737/ANIMAL SERVICE</v>
      </c>
    </row>
    <row r="124" spans="1:8" x14ac:dyDescent="0.25">
      <c r="E124" t="str">
        <f>"201902057140"</f>
        <v>201902057140</v>
      </c>
      <c r="F124" t="str">
        <f>"ACCT#015476/PURCHASING DEPT"</f>
        <v>ACCT#015476/PURCHASING DEPT</v>
      </c>
      <c r="G124" s="2">
        <v>4.49</v>
      </c>
      <c r="H124" t="str">
        <f>"ACCT#015476/PURCHASING DEPT"</f>
        <v>ACCT#015476/PURCHASING DEPT</v>
      </c>
    </row>
    <row r="125" spans="1:8" x14ac:dyDescent="0.25">
      <c r="A125" t="s">
        <v>36</v>
      </c>
      <c r="B125">
        <v>81046</v>
      </c>
      <c r="C125" s="2">
        <v>22.99</v>
      </c>
      <c r="D125" s="1">
        <v>43522</v>
      </c>
      <c r="E125" t="str">
        <f>"201902157449"</f>
        <v>201902157449</v>
      </c>
      <c r="F125" t="str">
        <f>"INDIGENT HEALTH"</f>
        <v>INDIGENT HEALTH</v>
      </c>
      <c r="G125" s="2">
        <v>22.99</v>
      </c>
      <c r="H125" t="str">
        <f>"INDIGENT HEALTH"</f>
        <v>INDIGENT HEALTH</v>
      </c>
    </row>
    <row r="126" spans="1:8" x14ac:dyDescent="0.25">
      <c r="A126" t="s">
        <v>37</v>
      </c>
      <c r="B126">
        <v>484</v>
      </c>
      <c r="C126" s="2">
        <v>13837.46</v>
      </c>
      <c r="D126" s="1">
        <v>43523</v>
      </c>
      <c r="E126" t="str">
        <f>"14815"</f>
        <v>14815</v>
      </c>
      <c r="F126" t="str">
        <f>"PROJ NAME:BC DEC/JAN ADV"</f>
        <v>PROJ NAME:BC DEC/JAN ADV</v>
      </c>
      <c r="G126" s="2">
        <v>6562.46</v>
      </c>
      <c r="H126" t="str">
        <f>"PROJ NAME:BC DEC/JAN ADV"</f>
        <v>PROJ NAME:BC DEC/JAN ADV</v>
      </c>
    </row>
    <row r="127" spans="1:8" x14ac:dyDescent="0.25">
      <c r="E127" t="str">
        <f>"14816"</f>
        <v>14816</v>
      </c>
      <c r="F127" t="str">
        <f>"PROJ NAME:BC DEC/JAN PROSERV"</f>
        <v>PROJ NAME:BC DEC/JAN PROSERV</v>
      </c>
      <c r="G127" s="2">
        <v>7275</v>
      </c>
      <c r="H127" t="str">
        <f>"PROJ NAME:BC DEC/JAN PROSERV"</f>
        <v>PROJ NAME:BC DEC/JAN PROSERV</v>
      </c>
    </row>
    <row r="128" spans="1:8" x14ac:dyDescent="0.25">
      <c r="A128" t="s">
        <v>38</v>
      </c>
      <c r="B128">
        <v>81047</v>
      </c>
      <c r="C128" s="2">
        <v>56.96</v>
      </c>
      <c r="D128" s="1">
        <v>43522</v>
      </c>
      <c r="E128" t="str">
        <f>"201902227492"</f>
        <v>201902227492</v>
      </c>
      <c r="F128" t="str">
        <f>"REIMBURSE BUS CARDS/HOLDER/PAD"</f>
        <v>REIMBURSE BUS CARDS/HOLDER/PAD</v>
      </c>
      <c r="G128" s="2">
        <v>56.96</v>
      </c>
      <c r="H128" t="str">
        <f>"REIMBURSE BUS CARDS/HOLDER/PAD"</f>
        <v>REIMBURSE BUS CARDS/HOLDER/PAD</v>
      </c>
    </row>
    <row r="129" spans="1:8" x14ac:dyDescent="0.25">
      <c r="A129" t="s">
        <v>39</v>
      </c>
      <c r="B129">
        <v>80824</v>
      </c>
      <c r="C129" s="2">
        <v>1029</v>
      </c>
      <c r="D129" s="1">
        <v>43507</v>
      </c>
      <c r="E129" t="str">
        <f>"731258"</f>
        <v>731258</v>
      </c>
      <c r="F129" t="str">
        <f>"Pothole Material"</f>
        <v>Pothole Material</v>
      </c>
      <c r="G129" s="2">
        <v>1029</v>
      </c>
      <c r="H129" t="str">
        <f>"Asphalt Patch HP"</f>
        <v>Asphalt Patch HP</v>
      </c>
    </row>
    <row r="130" spans="1:8" x14ac:dyDescent="0.25">
      <c r="E130" t="str">
        <f>""</f>
        <v/>
      </c>
      <c r="F130" t="str">
        <f>""</f>
        <v/>
      </c>
      <c r="H130" t="str">
        <f>"Freight Charge"</f>
        <v>Freight Charge</v>
      </c>
    </row>
    <row r="131" spans="1:8" x14ac:dyDescent="0.25">
      <c r="A131" t="s">
        <v>40</v>
      </c>
      <c r="B131">
        <v>80825</v>
      </c>
      <c r="C131" s="2">
        <v>5266.34</v>
      </c>
      <c r="D131" s="1">
        <v>43507</v>
      </c>
      <c r="E131" t="str">
        <f>"201902047026"</f>
        <v>201902047026</v>
      </c>
      <c r="F131" t="str">
        <f>"ACCT#512A49-0048 193 3"</f>
        <v>ACCT#512A49-0048 193 3</v>
      </c>
      <c r="G131" s="2">
        <v>5266.34</v>
      </c>
      <c r="H131" t="str">
        <f>"ACCT#512A49-0048 193 3"</f>
        <v>ACCT#512A49-0048 193 3</v>
      </c>
    </row>
    <row r="132" spans="1:8" x14ac:dyDescent="0.25">
      <c r="E132" t="str">
        <f>""</f>
        <v/>
      </c>
      <c r="F132" t="str">
        <f>""</f>
        <v/>
      </c>
      <c r="H132" t="str">
        <f>"ACCT#512A49-0048 193 3"</f>
        <v>ACCT#512A49-0048 193 3</v>
      </c>
    </row>
    <row r="133" spans="1:8" x14ac:dyDescent="0.25">
      <c r="E133" t="str">
        <f>""</f>
        <v/>
      </c>
      <c r="F133" t="str">
        <f>""</f>
        <v/>
      </c>
      <c r="H133" t="str">
        <f>"ACCT#512A49-0048 193 3"</f>
        <v>ACCT#512A49-0048 193 3</v>
      </c>
    </row>
    <row r="134" spans="1:8" x14ac:dyDescent="0.25">
      <c r="E134" t="str">
        <f>""</f>
        <v/>
      </c>
      <c r="F134" t="str">
        <f>""</f>
        <v/>
      </c>
      <c r="H134" t="str">
        <f>"ACCT#512A49-0048 193 3"</f>
        <v>ACCT#512A49-0048 193 3</v>
      </c>
    </row>
    <row r="135" spans="1:8" x14ac:dyDescent="0.25">
      <c r="A135" t="s">
        <v>41</v>
      </c>
      <c r="B135">
        <v>80826</v>
      </c>
      <c r="C135" s="2">
        <v>4559.32</v>
      </c>
      <c r="D135" s="1">
        <v>43507</v>
      </c>
      <c r="E135" t="str">
        <f>"1028417409"</f>
        <v>1028417409</v>
      </c>
      <c r="F135" t="str">
        <f>"ACCT#831-000-7919 623"</f>
        <v>ACCT#831-000-7919 623</v>
      </c>
      <c r="G135" s="2">
        <v>2000.38</v>
      </c>
      <c r="H135" t="str">
        <f>"ACCT#831-000-7919 623"</f>
        <v>ACCT#831-000-7919 623</v>
      </c>
    </row>
    <row r="136" spans="1:8" x14ac:dyDescent="0.25">
      <c r="E136" t="str">
        <f>"3746616404"</f>
        <v>3746616404</v>
      </c>
      <c r="F136" t="str">
        <f>"ACCT#831-000-7218 923"</f>
        <v>ACCT#831-000-7218 923</v>
      </c>
      <c r="G136" s="2">
        <v>874.25</v>
      </c>
      <c r="H136" t="str">
        <f>"ACCT#831-000-7218 923"</f>
        <v>ACCT#831-000-7218 923</v>
      </c>
    </row>
    <row r="137" spans="1:8" x14ac:dyDescent="0.25">
      <c r="E137" t="str">
        <f>"7202694409"</f>
        <v>7202694409</v>
      </c>
      <c r="F137" t="str">
        <f>"ACCT#831-000-6084 095"</f>
        <v>ACCT#831-000-6084 095</v>
      </c>
      <c r="G137" s="2">
        <v>1684.69</v>
      </c>
      <c r="H137" t="str">
        <f>"ACCT#831-000-6084 095"</f>
        <v>ACCT#831-000-6084 095</v>
      </c>
    </row>
    <row r="138" spans="1:8" x14ac:dyDescent="0.25">
      <c r="A138" t="s">
        <v>41</v>
      </c>
      <c r="B138">
        <v>81048</v>
      </c>
      <c r="C138" s="2">
        <v>1802.47</v>
      </c>
      <c r="D138" s="1">
        <v>43522</v>
      </c>
      <c r="E138" t="str">
        <f>"201902227521"</f>
        <v>201902227521</v>
      </c>
      <c r="F138" t="str">
        <f>"512-303-1080 238 5"</f>
        <v>512-303-1080 238 5</v>
      </c>
      <c r="G138" s="2">
        <v>1802.47</v>
      </c>
      <c r="H138" t="str">
        <f>"512-303-1080  / LE"</f>
        <v>512-303-1080  / LE</v>
      </c>
    </row>
    <row r="139" spans="1:8" x14ac:dyDescent="0.25">
      <c r="E139" t="str">
        <f>""</f>
        <v/>
      </c>
      <c r="F139" t="str">
        <f>""</f>
        <v/>
      </c>
      <c r="H139" t="str">
        <f>"512-303-1080  / JAIL"</f>
        <v>512-303-1080  / JAIL</v>
      </c>
    </row>
    <row r="140" spans="1:8" x14ac:dyDescent="0.25">
      <c r="A140" t="s">
        <v>42</v>
      </c>
      <c r="B140">
        <v>80827</v>
      </c>
      <c r="C140" s="2">
        <v>1251.82</v>
      </c>
      <c r="D140" s="1">
        <v>43507</v>
      </c>
      <c r="E140" t="str">
        <f>"287263291654X01202"</f>
        <v>287263291654X01202</v>
      </c>
      <c r="F140" t="str">
        <f>"ACCT#287263291654"</f>
        <v>ACCT#287263291654</v>
      </c>
      <c r="G140" s="2">
        <v>1251.82</v>
      </c>
      <c r="H140" t="str">
        <f t="shared" ref="H140:H155" si="2">"ACCT#287263291654"</f>
        <v>ACCT#287263291654</v>
      </c>
    </row>
    <row r="141" spans="1:8" x14ac:dyDescent="0.25">
      <c r="E141" t="str">
        <f>""</f>
        <v/>
      </c>
      <c r="F141" t="str">
        <f>""</f>
        <v/>
      </c>
      <c r="H141" t="str">
        <f t="shared" si="2"/>
        <v>ACCT#287263291654</v>
      </c>
    </row>
    <row r="142" spans="1:8" x14ac:dyDescent="0.25">
      <c r="E142" t="str">
        <f>""</f>
        <v/>
      </c>
      <c r="F142" t="str">
        <f>""</f>
        <v/>
      </c>
      <c r="H142" t="str">
        <f t="shared" si="2"/>
        <v>ACCT#287263291654</v>
      </c>
    </row>
    <row r="143" spans="1:8" x14ac:dyDescent="0.25">
      <c r="E143" t="str">
        <f>""</f>
        <v/>
      </c>
      <c r="F143" t="str">
        <f>""</f>
        <v/>
      </c>
      <c r="H143" t="str">
        <f t="shared" si="2"/>
        <v>ACCT#287263291654</v>
      </c>
    </row>
    <row r="144" spans="1:8" x14ac:dyDescent="0.25">
      <c r="E144" t="str">
        <f>""</f>
        <v/>
      </c>
      <c r="F144" t="str">
        <f>""</f>
        <v/>
      </c>
      <c r="H144" t="str">
        <f t="shared" si="2"/>
        <v>ACCT#287263291654</v>
      </c>
    </row>
    <row r="145" spans="1:8" x14ac:dyDescent="0.25">
      <c r="E145" t="str">
        <f>""</f>
        <v/>
      </c>
      <c r="F145" t="str">
        <f>""</f>
        <v/>
      </c>
      <c r="H145" t="str">
        <f t="shared" si="2"/>
        <v>ACCT#287263291654</v>
      </c>
    </row>
    <row r="146" spans="1:8" x14ac:dyDescent="0.25">
      <c r="E146" t="str">
        <f>""</f>
        <v/>
      </c>
      <c r="F146" t="str">
        <f>""</f>
        <v/>
      </c>
      <c r="H146" t="str">
        <f t="shared" si="2"/>
        <v>ACCT#287263291654</v>
      </c>
    </row>
    <row r="147" spans="1:8" x14ac:dyDescent="0.25">
      <c r="E147" t="str">
        <f>""</f>
        <v/>
      </c>
      <c r="F147" t="str">
        <f>""</f>
        <v/>
      </c>
      <c r="H147" t="str">
        <f t="shared" si="2"/>
        <v>ACCT#287263291654</v>
      </c>
    </row>
    <row r="148" spans="1:8" x14ac:dyDescent="0.25">
      <c r="E148" t="str">
        <f>""</f>
        <v/>
      </c>
      <c r="F148" t="str">
        <f>""</f>
        <v/>
      </c>
      <c r="H148" t="str">
        <f t="shared" si="2"/>
        <v>ACCT#287263291654</v>
      </c>
    </row>
    <row r="149" spans="1:8" x14ac:dyDescent="0.25">
      <c r="E149" t="str">
        <f>""</f>
        <v/>
      </c>
      <c r="F149" t="str">
        <f>""</f>
        <v/>
      </c>
      <c r="H149" t="str">
        <f t="shared" si="2"/>
        <v>ACCT#287263291654</v>
      </c>
    </row>
    <row r="150" spans="1:8" x14ac:dyDescent="0.25">
      <c r="E150" t="str">
        <f>""</f>
        <v/>
      </c>
      <c r="F150" t="str">
        <f>""</f>
        <v/>
      </c>
      <c r="H150" t="str">
        <f t="shared" si="2"/>
        <v>ACCT#287263291654</v>
      </c>
    </row>
    <row r="151" spans="1:8" x14ac:dyDescent="0.25">
      <c r="E151" t="str">
        <f>""</f>
        <v/>
      </c>
      <c r="F151" t="str">
        <f>""</f>
        <v/>
      </c>
      <c r="H151" t="str">
        <f t="shared" si="2"/>
        <v>ACCT#287263291654</v>
      </c>
    </row>
    <row r="152" spans="1:8" x14ac:dyDescent="0.25">
      <c r="E152" t="str">
        <f>""</f>
        <v/>
      </c>
      <c r="F152" t="str">
        <f>""</f>
        <v/>
      </c>
      <c r="H152" t="str">
        <f t="shared" si="2"/>
        <v>ACCT#287263291654</v>
      </c>
    </row>
    <row r="153" spans="1:8" x14ac:dyDescent="0.25">
      <c r="E153" t="str">
        <f>""</f>
        <v/>
      </c>
      <c r="F153" t="str">
        <f>""</f>
        <v/>
      </c>
      <c r="H153" t="str">
        <f t="shared" si="2"/>
        <v>ACCT#287263291654</v>
      </c>
    </row>
    <row r="154" spans="1:8" x14ac:dyDescent="0.25">
      <c r="E154" t="str">
        <f>""</f>
        <v/>
      </c>
      <c r="F154" t="str">
        <f>""</f>
        <v/>
      </c>
      <c r="H154" t="str">
        <f t="shared" si="2"/>
        <v>ACCT#287263291654</v>
      </c>
    </row>
    <row r="155" spans="1:8" x14ac:dyDescent="0.25">
      <c r="E155" t="str">
        <f>""</f>
        <v/>
      </c>
      <c r="F155" t="str">
        <f>""</f>
        <v/>
      </c>
      <c r="H155" t="str">
        <f t="shared" si="2"/>
        <v>ACCT#287263291654</v>
      </c>
    </row>
    <row r="156" spans="1:8" x14ac:dyDescent="0.25">
      <c r="A156" t="s">
        <v>42</v>
      </c>
      <c r="B156">
        <v>80828</v>
      </c>
      <c r="C156" s="2">
        <v>217.64</v>
      </c>
      <c r="D156" s="1">
        <v>43507</v>
      </c>
      <c r="E156" t="str">
        <f>"201902067151"</f>
        <v>201902067151</v>
      </c>
      <c r="F156" t="str">
        <f>"ACCT 287280903541"</f>
        <v>ACCT 287280903541</v>
      </c>
      <c r="G156" s="2">
        <v>217.64</v>
      </c>
      <c r="H156" t="str">
        <f>"ACCT 287280903541"</f>
        <v>ACCT 287280903541</v>
      </c>
    </row>
    <row r="157" spans="1:8" x14ac:dyDescent="0.25">
      <c r="A157" t="s">
        <v>42</v>
      </c>
      <c r="B157">
        <v>81049</v>
      </c>
      <c r="C157" s="2">
        <v>1278.68</v>
      </c>
      <c r="D157" s="1">
        <v>43522</v>
      </c>
      <c r="E157" t="str">
        <f>"287263291654X02202"</f>
        <v>287263291654X02202</v>
      </c>
      <c r="F157" t="str">
        <f>"ACCT#287263291654"</f>
        <v>ACCT#287263291654</v>
      </c>
      <c r="G157" s="2">
        <v>1278.68</v>
      </c>
      <c r="H157" t="str">
        <f t="shared" ref="H157:H191" si="3">"ACCT#287263291654"</f>
        <v>ACCT#287263291654</v>
      </c>
    </row>
    <row r="158" spans="1:8" x14ac:dyDescent="0.25">
      <c r="E158" t="str">
        <f>""</f>
        <v/>
      </c>
      <c r="F158" t="str">
        <f>""</f>
        <v/>
      </c>
      <c r="H158" t="str">
        <f t="shared" si="3"/>
        <v>ACCT#287263291654</v>
      </c>
    </row>
    <row r="159" spans="1:8" x14ac:dyDescent="0.25">
      <c r="E159" t="str">
        <f>""</f>
        <v/>
      </c>
      <c r="F159" t="str">
        <f>""</f>
        <v/>
      </c>
      <c r="H159" t="str">
        <f t="shared" si="3"/>
        <v>ACCT#287263291654</v>
      </c>
    </row>
    <row r="160" spans="1:8" x14ac:dyDescent="0.25">
      <c r="E160" t="str">
        <f>""</f>
        <v/>
      </c>
      <c r="F160" t="str">
        <f>""</f>
        <v/>
      </c>
      <c r="H160" t="str">
        <f t="shared" si="3"/>
        <v>ACCT#287263291654</v>
      </c>
    </row>
    <row r="161" spans="5:8" x14ac:dyDescent="0.25">
      <c r="E161" t="str">
        <f>""</f>
        <v/>
      </c>
      <c r="F161" t="str">
        <f>""</f>
        <v/>
      </c>
      <c r="H161" t="str">
        <f t="shared" si="3"/>
        <v>ACCT#287263291654</v>
      </c>
    </row>
    <row r="162" spans="5:8" x14ac:dyDescent="0.25">
      <c r="E162" t="str">
        <f>""</f>
        <v/>
      </c>
      <c r="F162" t="str">
        <f>""</f>
        <v/>
      </c>
      <c r="H162" t="str">
        <f t="shared" si="3"/>
        <v>ACCT#287263291654</v>
      </c>
    </row>
    <row r="163" spans="5:8" x14ac:dyDescent="0.25">
      <c r="E163" t="str">
        <f>""</f>
        <v/>
      </c>
      <c r="F163" t="str">
        <f>""</f>
        <v/>
      </c>
      <c r="H163" t="str">
        <f t="shared" si="3"/>
        <v>ACCT#287263291654</v>
      </c>
    </row>
    <row r="164" spans="5:8" x14ac:dyDescent="0.25">
      <c r="E164" t="str">
        <f>""</f>
        <v/>
      </c>
      <c r="F164" t="str">
        <f>""</f>
        <v/>
      </c>
      <c r="H164" t="str">
        <f t="shared" si="3"/>
        <v>ACCT#287263291654</v>
      </c>
    </row>
    <row r="165" spans="5:8" x14ac:dyDescent="0.25">
      <c r="E165" t="str">
        <f>""</f>
        <v/>
      </c>
      <c r="F165" t="str">
        <f>""</f>
        <v/>
      </c>
      <c r="H165" t="str">
        <f t="shared" si="3"/>
        <v>ACCT#287263291654</v>
      </c>
    </row>
    <row r="166" spans="5:8" x14ac:dyDescent="0.25">
      <c r="E166" t="str">
        <f>""</f>
        <v/>
      </c>
      <c r="F166" t="str">
        <f>""</f>
        <v/>
      </c>
      <c r="H166" t="str">
        <f t="shared" si="3"/>
        <v>ACCT#287263291654</v>
      </c>
    </row>
    <row r="167" spans="5:8" x14ac:dyDescent="0.25">
      <c r="E167" t="str">
        <f>""</f>
        <v/>
      </c>
      <c r="F167" t="str">
        <f>""</f>
        <v/>
      </c>
      <c r="H167" t="str">
        <f t="shared" si="3"/>
        <v>ACCT#287263291654</v>
      </c>
    </row>
    <row r="168" spans="5:8" x14ac:dyDescent="0.25">
      <c r="E168" t="str">
        <f>""</f>
        <v/>
      </c>
      <c r="F168" t="str">
        <f>""</f>
        <v/>
      </c>
      <c r="H168" t="str">
        <f t="shared" si="3"/>
        <v>ACCT#287263291654</v>
      </c>
    </row>
    <row r="169" spans="5:8" x14ac:dyDescent="0.25">
      <c r="E169" t="str">
        <f>""</f>
        <v/>
      </c>
      <c r="F169" t="str">
        <f>""</f>
        <v/>
      </c>
      <c r="H169" t="str">
        <f t="shared" si="3"/>
        <v>ACCT#287263291654</v>
      </c>
    </row>
    <row r="170" spans="5:8" x14ac:dyDescent="0.25">
      <c r="E170" t="str">
        <f>""</f>
        <v/>
      </c>
      <c r="F170" t="str">
        <f>""</f>
        <v/>
      </c>
      <c r="H170" t="str">
        <f t="shared" si="3"/>
        <v>ACCT#287263291654</v>
      </c>
    </row>
    <row r="171" spans="5:8" x14ac:dyDescent="0.25">
      <c r="E171" t="str">
        <f>""</f>
        <v/>
      </c>
      <c r="F171" t="str">
        <f>""</f>
        <v/>
      </c>
      <c r="H171" t="str">
        <f t="shared" si="3"/>
        <v>ACCT#287263291654</v>
      </c>
    </row>
    <row r="172" spans="5:8" x14ac:dyDescent="0.25">
      <c r="E172" t="str">
        <f>""</f>
        <v/>
      </c>
      <c r="F172" t="str">
        <f>""</f>
        <v/>
      </c>
      <c r="H172" t="str">
        <f t="shared" si="3"/>
        <v>ACCT#287263291654</v>
      </c>
    </row>
    <row r="173" spans="5:8" x14ac:dyDescent="0.25">
      <c r="E173" t="str">
        <f>""</f>
        <v/>
      </c>
      <c r="F173" t="str">
        <f>""</f>
        <v/>
      </c>
      <c r="H173" t="str">
        <f t="shared" si="3"/>
        <v>ACCT#287263291654</v>
      </c>
    </row>
    <row r="174" spans="5:8" x14ac:dyDescent="0.25">
      <c r="E174" t="str">
        <f>""</f>
        <v/>
      </c>
      <c r="F174" t="str">
        <f>""</f>
        <v/>
      </c>
      <c r="H174" t="str">
        <f t="shared" si="3"/>
        <v>ACCT#287263291654</v>
      </c>
    </row>
    <row r="175" spans="5:8" x14ac:dyDescent="0.25">
      <c r="E175" t="str">
        <f>""</f>
        <v/>
      </c>
      <c r="F175" t="str">
        <f>""</f>
        <v/>
      </c>
      <c r="H175" t="str">
        <f t="shared" si="3"/>
        <v>ACCT#287263291654</v>
      </c>
    </row>
    <row r="176" spans="5:8" x14ac:dyDescent="0.25">
      <c r="E176" t="str">
        <f>""</f>
        <v/>
      </c>
      <c r="F176" t="str">
        <f>""</f>
        <v/>
      </c>
      <c r="H176" t="str">
        <f t="shared" si="3"/>
        <v>ACCT#287263291654</v>
      </c>
    </row>
    <row r="177" spans="1:8" x14ac:dyDescent="0.25">
      <c r="E177" t="str">
        <f>""</f>
        <v/>
      </c>
      <c r="F177" t="str">
        <f>""</f>
        <v/>
      </c>
      <c r="H177" t="str">
        <f t="shared" si="3"/>
        <v>ACCT#287263291654</v>
      </c>
    </row>
    <row r="178" spans="1:8" x14ac:dyDescent="0.25">
      <c r="E178" t="str">
        <f>""</f>
        <v/>
      </c>
      <c r="F178" t="str">
        <f>""</f>
        <v/>
      </c>
      <c r="H178" t="str">
        <f t="shared" si="3"/>
        <v>ACCT#287263291654</v>
      </c>
    </row>
    <row r="179" spans="1:8" x14ac:dyDescent="0.25">
      <c r="E179" t="str">
        <f>""</f>
        <v/>
      </c>
      <c r="F179" t="str">
        <f>""</f>
        <v/>
      </c>
      <c r="H179" t="str">
        <f t="shared" si="3"/>
        <v>ACCT#287263291654</v>
      </c>
    </row>
    <row r="180" spans="1:8" x14ac:dyDescent="0.25">
      <c r="E180" t="str">
        <f>""</f>
        <v/>
      </c>
      <c r="F180" t="str">
        <f>""</f>
        <v/>
      </c>
      <c r="H180" t="str">
        <f t="shared" si="3"/>
        <v>ACCT#287263291654</v>
      </c>
    </row>
    <row r="181" spans="1:8" x14ac:dyDescent="0.25">
      <c r="E181" t="str">
        <f>""</f>
        <v/>
      </c>
      <c r="F181" t="str">
        <f>""</f>
        <v/>
      </c>
      <c r="H181" t="str">
        <f t="shared" si="3"/>
        <v>ACCT#287263291654</v>
      </c>
    </row>
    <row r="182" spans="1:8" x14ac:dyDescent="0.25">
      <c r="E182" t="str">
        <f>""</f>
        <v/>
      </c>
      <c r="F182" t="str">
        <f>""</f>
        <v/>
      </c>
      <c r="H182" t="str">
        <f t="shared" si="3"/>
        <v>ACCT#287263291654</v>
      </c>
    </row>
    <row r="183" spans="1:8" x14ac:dyDescent="0.25">
      <c r="E183" t="str">
        <f>""</f>
        <v/>
      </c>
      <c r="F183" t="str">
        <f>""</f>
        <v/>
      </c>
      <c r="H183" t="str">
        <f t="shared" si="3"/>
        <v>ACCT#287263291654</v>
      </c>
    </row>
    <row r="184" spans="1:8" x14ac:dyDescent="0.25">
      <c r="E184" t="str">
        <f>""</f>
        <v/>
      </c>
      <c r="F184" t="str">
        <f>""</f>
        <v/>
      </c>
      <c r="H184" t="str">
        <f t="shared" si="3"/>
        <v>ACCT#287263291654</v>
      </c>
    </row>
    <row r="185" spans="1:8" x14ac:dyDescent="0.25">
      <c r="E185" t="str">
        <f>""</f>
        <v/>
      </c>
      <c r="F185" t="str">
        <f>""</f>
        <v/>
      </c>
      <c r="H185" t="str">
        <f t="shared" si="3"/>
        <v>ACCT#287263291654</v>
      </c>
    </row>
    <row r="186" spans="1:8" x14ac:dyDescent="0.25">
      <c r="E186" t="str">
        <f>""</f>
        <v/>
      </c>
      <c r="F186" t="str">
        <f>""</f>
        <v/>
      </c>
      <c r="H186" t="str">
        <f t="shared" si="3"/>
        <v>ACCT#287263291654</v>
      </c>
    </row>
    <row r="187" spans="1:8" x14ac:dyDescent="0.25">
      <c r="E187" t="str">
        <f>""</f>
        <v/>
      </c>
      <c r="F187" t="str">
        <f>""</f>
        <v/>
      </c>
      <c r="H187" t="str">
        <f t="shared" si="3"/>
        <v>ACCT#287263291654</v>
      </c>
    </row>
    <row r="188" spans="1:8" x14ac:dyDescent="0.25">
      <c r="E188" t="str">
        <f>""</f>
        <v/>
      </c>
      <c r="F188" t="str">
        <f>""</f>
        <v/>
      </c>
      <c r="H188" t="str">
        <f t="shared" si="3"/>
        <v>ACCT#287263291654</v>
      </c>
    </row>
    <row r="189" spans="1:8" x14ac:dyDescent="0.25">
      <c r="E189" t="str">
        <f>""</f>
        <v/>
      </c>
      <c r="F189" t="str">
        <f>""</f>
        <v/>
      </c>
      <c r="H189" t="str">
        <f t="shared" si="3"/>
        <v>ACCT#287263291654</v>
      </c>
    </row>
    <row r="190" spans="1:8" x14ac:dyDescent="0.25">
      <c r="E190" t="str">
        <f>""</f>
        <v/>
      </c>
      <c r="F190" t="str">
        <f>""</f>
        <v/>
      </c>
      <c r="H190" t="str">
        <f t="shared" si="3"/>
        <v>ACCT#287263291654</v>
      </c>
    </row>
    <row r="191" spans="1:8" x14ac:dyDescent="0.25">
      <c r="E191" t="str">
        <f>""</f>
        <v/>
      </c>
      <c r="F191" t="str">
        <f>""</f>
        <v/>
      </c>
      <c r="H191" t="str">
        <f t="shared" si="3"/>
        <v>ACCT#287263291654</v>
      </c>
    </row>
    <row r="192" spans="1:8" x14ac:dyDescent="0.25">
      <c r="A192" t="s">
        <v>42</v>
      </c>
      <c r="B192">
        <v>81050</v>
      </c>
      <c r="C192" s="2">
        <v>258.33999999999997</v>
      </c>
      <c r="D192" s="1">
        <v>43522</v>
      </c>
      <c r="E192" t="str">
        <f>"201902227522"</f>
        <v>201902227522</v>
      </c>
      <c r="F192" t="str">
        <f>"ACCT. 287280903541"</f>
        <v>ACCT. 287280903541</v>
      </c>
      <c r="G192" s="2">
        <v>258.33999999999997</v>
      </c>
      <c r="H192" t="str">
        <f>"ACCT. 287280903541"</f>
        <v>ACCT. 287280903541</v>
      </c>
    </row>
    <row r="193" spans="1:8" x14ac:dyDescent="0.25">
      <c r="A193" t="s">
        <v>43</v>
      </c>
      <c r="B193">
        <v>81051</v>
      </c>
      <c r="C193" s="2">
        <v>196.6</v>
      </c>
      <c r="D193" s="1">
        <v>43522</v>
      </c>
      <c r="E193" t="str">
        <f>"0060914"</f>
        <v>0060914</v>
      </c>
      <c r="F193" t="str">
        <f>"2016 FRHT/PCT#2"</f>
        <v>2016 FRHT/PCT#2</v>
      </c>
      <c r="G193" s="2">
        <v>196.6</v>
      </c>
      <c r="H193" t="str">
        <f>"2016 FRHT/PCT#2"</f>
        <v>2016 FRHT/PCT#2</v>
      </c>
    </row>
    <row r="194" spans="1:8" x14ac:dyDescent="0.25">
      <c r="A194" t="s">
        <v>44</v>
      </c>
      <c r="B194">
        <v>80829</v>
      </c>
      <c r="C194" s="2">
        <v>248.49</v>
      </c>
      <c r="D194" s="1">
        <v>43507</v>
      </c>
      <c r="E194" t="str">
        <f>"93373"</f>
        <v>93373</v>
      </c>
      <c r="F194" t="str">
        <f>"WORK ORD#17658/PCT#3"</f>
        <v>WORK ORD#17658/PCT#3</v>
      </c>
      <c r="G194" s="2">
        <v>248.49</v>
      </c>
      <c r="H194" t="str">
        <f>"WORK ORD#17658/PCT#3"</f>
        <v>WORK ORD#17658/PCT#3</v>
      </c>
    </row>
    <row r="195" spans="1:8" x14ac:dyDescent="0.25">
      <c r="A195" t="s">
        <v>45</v>
      </c>
      <c r="B195">
        <v>81052</v>
      </c>
      <c r="C195" s="2">
        <v>440.64</v>
      </c>
      <c r="D195" s="1">
        <v>43522</v>
      </c>
      <c r="E195" t="str">
        <f>"201902227527"</f>
        <v>201902227527</v>
      </c>
      <c r="F195" t="str">
        <f>"GATEHOUSE MEDIA TEXAS HOLDINGS"</f>
        <v>GATEHOUSE MEDIA TEXAS HOLDINGS</v>
      </c>
      <c r="G195" s="2">
        <v>51.84</v>
      </c>
      <c r="H195" t="str">
        <f>"Smithville Times"</f>
        <v>Smithville Times</v>
      </c>
    </row>
    <row r="196" spans="1:8" x14ac:dyDescent="0.25">
      <c r="E196" t="str">
        <f>""</f>
        <v/>
      </c>
      <c r="F196" t="str">
        <f>""</f>
        <v/>
      </c>
      <c r="H196" t="str">
        <f>"Smithville Times"</f>
        <v>Smithville Times</v>
      </c>
    </row>
    <row r="197" spans="1:8" x14ac:dyDescent="0.25">
      <c r="E197" t="str">
        <f>"450093"</f>
        <v>450093</v>
      </c>
      <c r="F197" t="str">
        <f>"ad# 450093"</f>
        <v>ad# 450093</v>
      </c>
      <c r="G197" s="2">
        <v>388.8</v>
      </c>
      <c r="H197" t="str">
        <f>"ad# 450093"</f>
        <v>ad# 450093</v>
      </c>
    </row>
    <row r="198" spans="1:8" x14ac:dyDescent="0.25">
      <c r="A198" t="s">
        <v>46</v>
      </c>
      <c r="B198">
        <v>81053</v>
      </c>
      <c r="C198" s="2">
        <v>130.80000000000001</v>
      </c>
      <c r="D198" s="1">
        <v>43522</v>
      </c>
      <c r="E198" t="str">
        <f>"1008453"</f>
        <v>1008453</v>
      </c>
      <c r="F198" t="str">
        <f>"INJECTOR/PCT#3"</f>
        <v>INJECTOR/PCT#3</v>
      </c>
      <c r="G198" s="2">
        <v>130.80000000000001</v>
      </c>
      <c r="H198" t="str">
        <f>"INJECTOR/PCT#3"</f>
        <v>INJECTOR/PCT#3</v>
      </c>
    </row>
    <row r="199" spans="1:8" x14ac:dyDescent="0.25">
      <c r="A199" t="s">
        <v>47</v>
      </c>
      <c r="B199">
        <v>80830</v>
      </c>
      <c r="C199" s="2">
        <v>183.21</v>
      </c>
      <c r="D199" s="1">
        <v>43507</v>
      </c>
      <c r="E199" t="str">
        <f>"201902057098"</f>
        <v>201902057098</v>
      </c>
      <c r="F199" t="str">
        <f>"INDIGENT HEALTH"</f>
        <v>INDIGENT HEALTH</v>
      </c>
      <c r="G199" s="2">
        <v>183.21</v>
      </c>
      <c r="H199" t="str">
        <f>"INDIGENT HEALTH"</f>
        <v>INDIGENT HEALTH</v>
      </c>
    </row>
    <row r="200" spans="1:8" x14ac:dyDescent="0.25">
      <c r="A200" t="s">
        <v>48</v>
      </c>
      <c r="B200">
        <v>463</v>
      </c>
      <c r="C200" s="2">
        <v>33.270000000000003</v>
      </c>
      <c r="D200" s="1">
        <v>43508</v>
      </c>
      <c r="E200" t="str">
        <f>"201902057099"</f>
        <v>201902057099</v>
      </c>
      <c r="F200" t="str">
        <f>"INDIGENT HEALTH"</f>
        <v>INDIGENT HEALTH</v>
      </c>
      <c r="G200" s="2">
        <v>33.270000000000003</v>
      </c>
      <c r="H200" t="str">
        <f>"INDIGENT HEALTH"</f>
        <v>INDIGENT HEALTH</v>
      </c>
    </row>
    <row r="201" spans="1:8" x14ac:dyDescent="0.25">
      <c r="A201" t="s">
        <v>49</v>
      </c>
      <c r="B201">
        <v>80831</v>
      </c>
      <c r="C201" s="2">
        <v>694.46</v>
      </c>
      <c r="D201" s="1">
        <v>43507</v>
      </c>
      <c r="E201" t="str">
        <f>"201902057101"</f>
        <v>201902057101</v>
      </c>
      <c r="F201" t="str">
        <f>"INDIGENT HEALTH"</f>
        <v>INDIGENT HEALTH</v>
      </c>
      <c r="G201" s="2">
        <v>641.54</v>
      </c>
      <c r="H201" t="str">
        <f>"INDIGENT HEALTH"</f>
        <v>INDIGENT HEALTH</v>
      </c>
    </row>
    <row r="202" spans="1:8" x14ac:dyDescent="0.25">
      <c r="E202" t="str">
        <f>""</f>
        <v/>
      </c>
      <c r="F202" t="str">
        <f>""</f>
        <v/>
      </c>
      <c r="H202" t="str">
        <f>"INDIGENT HEALTH"</f>
        <v>INDIGENT HEALTH</v>
      </c>
    </row>
    <row r="203" spans="1:8" x14ac:dyDescent="0.25">
      <c r="E203" t="str">
        <f>"4490*98039*1"</f>
        <v>4490*98039*1</v>
      </c>
      <c r="F203" t="str">
        <f>"JAIL MEDICAL"</f>
        <v>JAIL MEDICAL</v>
      </c>
      <c r="G203" s="2">
        <v>52.92</v>
      </c>
      <c r="H203" t="str">
        <f>"JAIL MEDICAL"</f>
        <v>JAIL MEDICAL</v>
      </c>
    </row>
    <row r="204" spans="1:8" x14ac:dyDescent="0.25">
      <c r="A204" t="s">
        <v>49</v>
      </c>
      <c r="B204">
        <v>81054</v>
      </c>
      <c r="C204" s="2">
        <v>203.68</v>
      </c>
      <c r="D204" s="1">
        <v>43522</v>
      </c>
      <c r="E204" t="str">
        <f>"201902157450"</f>
        <v>201902157450</v>
      </c>
      <c r="F204" t="str">
        <f>"INDIGENT HEALTH"</f>
        <v>INDIGENT HEALTH</v>
      </c>
      <c r="G204" s="2">
        <v>203.68</v>
      </c>
      <c r="H204" t="str">
        <f>"INDIGENT HEALTH"</f>
        <v>INDIGENT HEALTH</v>
      </c>
    </row>
    <row r="205" spans="1:8" x14ac:dyDescent="0.25">
      <c r="E205" t="str">
        <f>""</f>
        <v/>
      </c>
      <c r="F205" t="str">
        <f>""</f>
        <v/>
      </c>
      <c r="H205" t="str">
        <f>"INDIGENT HEALTH"</f>
        <v>INDIGENT HEALTH</v>
      </c>
    </row>
    <row r="206" spans="1:8" x14ac:dyDescent="0.25">
      <c r="A206" t="s">
        <v>50</v>
      </c>
      <c r="B206">
        <v>80832</v>
      </c>
      <c r="C206" s="2">
        <v>800</v>
      </c>
      <c r="D206" s="1">
        <v>43507</v>
      </c>
      <c r="E206" t="str">
        <f>"2104"</f>
        <v>2104</v>
      </c>
      <c r="F206" t="str">
        <f>"GOETZMAN TEMP ORDER HEARING"</f>
        <v>GOETZMAN TEMP ORDER HEARING</v>
      </c>
      <c r="G206" s="2">
        <v>400</v>
      </c>
      <c r="H206" t="str">
        <f>"GOETZMAN TEMP ORDER HEARING"</f>
        <v>GOETZMAN TEMP ORDER HEARING</v>
      </c>
    </row>
    <row r="207" spans="1:8" x14ac:dyDescent="0.25">
      <c r="E207" t="str">
        <f>"2105"</f>
        <v>2105</v>
      </c>
      <c r="F207" t="str">
        <f>"MEUTH/ROBERTS HEARING"</f>
        <v>MEUTH/ROBERTS HEARING</v>
      </c>
      <c r="G207" s="2">
        <v>400</v>
      </c>
      <c r="H207" t="str">
        <f>"MEUTH/ROBERTS HEARING"</f>
        <v>MEUTH/ROBERTS HEARING</v>
      </c>
    </row>
    <row r="208" spans="1:8" x14ac:dyDescent="0.25">
      <c r="A208" t="s">
        <v>50</v>
      </c>
      <c r="B208">
        <v>81055</v>
      </c>
      <c r="C208" s="2">
        <v>400</v>
      </c>
      <c r="D208" s="1">
        <v>43522</v>
      </c>
      <c r="E208" t="str">
        <f>"2107"</f>
        <v>2107</v>
      </c>
      <c r="F208" t="str">
        <f>"2018-MCF-03"</f>
        <v>2018-MCF-03</v>
      </c>
      <c r="G208" s="2">
        <v>400</v>
      </c>
      <c r="H208" t="str">
        <f>"2018-MCF-03"</f>
        <v>2018-MCF-03</v>
      </c>
    </row>
    <row r="209" spans="1:8" x14ac:dyDescent="0.25">
      <c r="A209" t="s">
        <v>51</v>
      </c>
      <c r="B209">
        <v>437</v>
      </c>
      <c r="C209" s="2">
        <v>942.99</v>
      </c>
      <c r="D209" s="1">
        <v>43508</v>
      </c>
      <c r="E209" t="str">
        <f>"201902047037"</f>
        <v>201902047037</v>
      </c>
      <c r="F209" t="str">
        <f>"CUST ID:0010/PCT#2"</f>
        <v>CUST ID:0010/PCT#2</v>
      </c>
      <c r="G209" s="2">
        <v>852.99</v>
      </c>
      <c r="H209" t="str">
        <f>"CUST ID:0010/PCT#2"</f>
        <v>CUST ID:0010/PCT#2</v>
      </c>
    </row>
    <row r="210" spans="1:8" x14ac:dyDescent="0.25">
      <c r="E210" t="str">
        <f>"357064 &amp; 357297"</f>
        <v>357064 &amp; 357297</v>
      </c>
      <c r="F210" t="str">
        <f>"CUST ID:0009/PCT#1"</f>
        <v>CUST ID:0009/PCT#1</v>
      </c>
      <c r="G210" s="2">
        <v>55</v>
      </c>
      <c r="H210" t="str">
        <f>"CUST ID:0009/PCT#1"</f>
        <v>CUST ID:0009/PCT#1</v>
      </c>
    </row>
    <row r="211" spans="1:8" x14ac:dyDescent="0.25">
      <c r="E211" t="str">
        <f>"357438"</f>
        <v>357438</v>
      </c>
      <c r="F211" t="str">
        <f>"CUST ID:0011/PCT#3"</f>
        <v>CUST ID:0011/PCT#3</v>
      </c>
      <c r="G211" s="2">
        <v>35</v>
      </c>
      <c r="H211" t="str">
        <f>"CUST ID:0011/PCT#3"</f>
        <v>CUST ID:0011/PCT#3</v>
      </c>
    </row>
    <row r="212" spans="1:8" x14ac:dyDescent="0.25">
      <c r="A212" t="s">
        <v>52</v>
      </c>
      <c r="B212">
        <v>411</v>
      </c>
      <c r="C212" s="2">
        <v>4645</v>
      </c>
      <c r="D212" s="1">
        <v>43508</v>
      </c>
      <c r="E212" t="str">
        <f>"1536"</f>
        <v>1536</v>
      </c>
      <c r="F212" t="str">
        <f>"NEW HEADWALL/TREE REMOVAL/P1"</f>
        <v>NEW HEADWALL/TREE REMOVAL/P1</v>
      </c>
      <c r="G212" s="2">
        <v>4645</v>
      </c>
      <c r="H212" t="str">
        <f>"NEW HEADWALL/TREE REMOVAL/P1"</f>
        <v>NEW HEADWALL/TREE REMOVAL/P1</v>
      </c>
    </row>
    <row r="213" spans="1:8" x14ac:dyDescent="0.25">
      <c r="A213" t="s">
        <v>52</v>
      </c>
      <c r="B213">
        <v>476</v>
      </c>
      <c r="C213" s="2">
        <v>3300</v>
      </c>
      <c r="D213" s="1">
        <v>43523</v>
      </c>
      <c r="E213" t="str">
        <f>"1537"</f>
        <v>1537</v>
      </c>
      <c r="F213" t="str">
        <f>"REMOVED LARGE TREES/PCT#2"</f>
        <v>REMOVED LARGE TREES/PCT#2</v>
      </c>
      <c r="G213" s="2">
        <v>3300</v>
      </c>
      <c r="H213" t="str">
        <f>"REMOVED LARGE TREES/PCT#2"</f>
        <v>REMOVED LARGE TREES/PCT#2</v>
      </c>
    </row>
    <row r="214" spans="1:8" x14ac:dyDescent="0.25">
      <c r="A214" t="s">
        <v>53</v>
      </c>
      <c r="B214">
        <v>80833</v>
      </c>
      <c r="C214" s="2">
        <v>2500</v>
      </c>
      <c r="D214" s="1">
        <v>43507</v>
      </c>
      <c r="E214" t="str">
        <f>"19-1370-44"</f>
        <v>19-1370-44</v>
      </c>
      <c r="F214" t="str">
        <f>"INSTALL/REMOVE DOORS"</f>
        <v>INSTALL/REMOVE DOORS</v>
      </c>
      <c r="G214" s="2">
        <v>2500</v>
      </c>
      <c r="H214" t="str">
        <f>"INSTALL/REMOVE DOORS"</f>
        <v>INSTALL/REMOVE DOORS</v>
      </c>
    </row>
    <row r="215" spans="1:8" x14ac:dyDescent="0.25">
      <c r="A215" t="s">
        <v>54</v>
      </c>
      <c r="B215">
        <v>81056</v>
      </c>
      <c r="C215" s="2">
        <v>1668.57</v>
      </c>
      <c r="D215" s="1">
        <v>43522</v>
      </c>
      <c r="E215" t="str">
        <f>"16055"</f>
        <v>16055</v>
      </c>
      <c r="F215" t="str">
        <f>"LABOR/MATERIALS/ENV FEE"</f>
        <v>LABOR/MATERIALS/ENV FEE</v>
      </c>
      <c r="G215" s="2">
        <v>705</v>
      </c>
      <c r="H215" t="str">
        <f>"LABOR/MATERIALS/ENV FEE"</f>
        <v>LABOR/MATERIALS/ENV FEE</v>
      </c>
    </row>
    <row r="216" spans="1:8" x14ac:dyDescent="0.25">
      <c r="E216" t="str">
        <f>"16056"</f>
        <v>16056</v>
      </c>
      <c r="F216" t="str">
        <f>"LABOR/MATERIALS/ENV FEE"</f>
        <v>LABOR/MATERIALS/ENV FEE</v>
      </c>
      <c r="G216" s="2">
        <v>963.57</v>
      </c>
      <c r="H216" t="str">
        <f>"LABOR/MATERIALS/ENV FEE"</f>
        <v>LABOR/MATERIALS/ENV FEE</v>
      </c>
    </row>
    <row r="217" spans="1:8" x14ac:dyDescent="0.25">
      <c r="A217" t="s">
        <v>55</v>
      </c>
      <c r="B217">
        <v>81057</v>
      </c>
      <c r="C217" s="2">
        <v>148131.5</v>
      </c>
      <c r="D217" s="1">
        <v>43522</v>
      </c>
      <c r="E217" t="str">
        <f>"201902227486"</f>
        <v>201902227486</v>
      </c>
      <c r="F217" t="str">
        <f>"BCAD LOCAL SUPPORT-2ND QTR2019"</f>
        <v>BCAD LOCAL SUPPORT-2ND QTR2019</v>
      </c>
      <c r="G217" s="2">
        <v>148131.5</v>
      </c>
      <c r="H217" t="str">
        <f>"BCAD LOCAL SUPPORT-2ND QTR2019"</f>
        <v>BCAD LOCAL SUPPORT-2ND QTR2019</v>
      </c>
    </row>
    <row r="218" spans="1:8" x14ac:dyDescent="0.25">
      <c r="A218" t="s">
        <v>56</v>
      </c>
      <c r="B218">
        <v>80834</v>
      </c>
      <c r="C218" s="2">
        <v>6979.32</v>
      </c>
      <c r="D218" s="1">
        <v>43507</v>
      </c>
      <c r="E218" t="str">
        <f>"12109"</f>
        <v>12109</v>
      </c>
      <c r="F218" t="str">
        <f t="shared" ref="F218:F226" si="4">"SERVICE"</f>
        <v>SERVICE</v>
      </c>
      <c r="G218" s="2">
        <v>75</v>
      </c>
      <c r="H218" t="str">
        <f t="shared" ref="H218:H226" si="5">"SERVICE"</f>
        <v>SERVICE</v>
      </c>
    </row>
    <row r="219" spans="1:8" x14ac:dyDescent="0.25">
      <c r="E219" t="str">
        <f>"12151"</f>
        <v>12151</v>
      </c>
      <c r="F219" t="str">
        <f t="shared" si="4"/>
        <v>SERVICE</v>
      </c>
      <c r="G219" s="2">
        <v>275</v>
      </c>
      <c r="H219" t="str">
        <f t="shared" si="5"/>
        <v>SERVICE</v>
      </c>
    </row>
    <row r="220" spans="1:8" x14ac:dyDescent="0.25">
      <c r="E220" t="str">
        <f>"12205  12/28/18"</f>
        <v>12205  12/28/18</v>
      </c>
      <c r="F220" t="str">
        <f t="shared" si="4"/>
        <v>SERVICE</v>
      </c>
      <c r="G220" s="2">
        <v>50</v>
      </c>
      <c r="H220" t="str">
        <f t="shared" si="5"/>
        <v>SERVICE</v>
      </c>
    </row>
    <row r="221" spans="1:8" x14ac:dyDescent="0.25">
      <c r="E221" t="str">
        <f>"12223"</f>
        <v>12223</v>
      </c>
      <c r="F221" t="str">
        <f t="shared" si="4"/>
        <v>SERVICE</v>
      </c>
      <c r="G221" s="2">
        <v>157.44</v>
      </c>
      <c r="H221" t="str">
        <f t="shared" si="5"/>
        <v>SERVICE</v>
      </c>
    </row>
    <row r="222" spans="1:8" x14ac:dyDescent="0.25">
      <c r="E222" t="str">
        <f>"12239"</f>
        <v>12239</v>
      </c>
      <c r="F222" t="str">
        <f t="shared" si="4"/>
        <v>SERVICE</v>
      </c>
      <c r="G222" s="2">
        <v>200</v>
      </c>
      <c r="H222" t="str">
        <f t="shared" si="5"/>
        <v>SERVICE</v>
      </c>
    </row>
    <row r="223" spans="1:8" x14ac:dyDescent="0.25">
      <c r="E223" t="str">
        <f>"12246"</f>
        <v>12246</v>
      </c>
      <c r="F223" t="str">
        <f t="shared" si="4"/>
        <v>SERVICE</v>
      </c>
      <c r="G223" s="2">
        <v>61.44</v>
      </c>
      <c r="H223" t="str">
        <f t="shared" si="5"/>
        <v>SERVICE</v>
      </c>
    </row>
    <row r="224" spans="1:8" x14ac:dyDescent="0.25">
      <c r="E224" t="str">
        <f>"12472"</f>
        <v>12472</v>
      </c>
      <c r="F224" t="str">
        <f t="shared" si="4"/>
        <v>SERVICE</v>
      </c>
      <c r="G224" s="2">
        <v>325</v>
      </c>
      <c r="H224" t="str">
        <f t="shared" si="5"/>
        <v>SERVICE</v>
      </c>
    </row>
    <row r="225" spans="5:8" x14ac:dyDescent="0.25">
      <c r="E225" t="str">
        <f>"12478"</f>
        <v>12478</v>
      </c>
      <c r="F225" t="str">
        <f t="shared" si="4"/>
        <v>SERVICE</v>
      </c>
      <c r="G225" s="2">
        <v>325</v>
      </c>
      <c r="H225" t="str">
        <f t="shared" si="5"/>
        <v>SERVICE</v>
      </c>
    </row>
    <row r="226" spans="5:8" x14ac:dyDescent="0.25">
      <c r="E226" t="str">
        <f>"12545"</f>
        <v>12545</v>
      </c>
      <c r="F226" t="str">
        <f t="shared" si="4"/>
        <v>SERVICE</v>
      </c>
      <c r="G226" s="2">
        <v>110.41</v>
      </c>
      <c r="H226" t="str">
        <f t="shared" si="5"/>
        <v>SERVICE</v>
      </c>
    </row>
    <row r="227" spans="5:8" x14ac:dyDescent="0.25">
      <c r="E227" t="str">
        <f>"12545  11/20/18"</f>
        <v>12545  11/20/18</v>
      </c>
      <c r="F227" t="str">
        <f>"SERVICE (TAX SALE)"</f>
        <v>SERVICE (TAX SALE)</v>
      </c>
      <c r="G227" s="2">
        <v>0.03</v>
      </c>
      <c r="H227" t="str">
        <f>"SERVICE (TAX SALE)"</f>
        <v>SERVICE (TAX SALE)</v>
      </c>
    </row>
    <row r="228" spans="5:8" x14ac:dyDescent="0.25">
      <c r="E228" t="str">
        <f>"12562"</f>
        <v>12562</v>
      </c>
      <c r="F228" t="str">
        <f t="shared" ref="F228:F245" si="6">"SERVICE"</f>
        <v>SERVICE</v>
      </c>
      <c r="G228" s="2">
        <v>250</v>
      </c>
      <c r="H228" t="str">
        <f t="shared" ref="H228:H245" si="7">"SERVICE"</f>
        <v>SERVICE</v>
      </c>
    </row>
    <row r="229" spans="5:8" x14ac:dyDescent="0.25">
      <c r="E229" t="str">
        <f>"12579"</f>
        <v>12579</v>
      </c>
      <c r="F229" t="str">
        <f t="shared" si="6"/>
        <v>SERVICE</v>
      </c>
      <c r="G229" s="2">
        <v>250</v>
      </c>
      <c r="H229" t="str">
        <f t="shared" si="7"/>
        <v>SERVICE</v>
      </c>
    </row>
    <row r="230" spans="5:8" x14ac:dyDescent="0.25">
      <c r="E230" t="str">
        <f>"12637"</f>
        <v>12637</v>
      </c>
      <c r="F230" t="str">
        <f t="shared" si="6"/>
        <v>SERVICE</v>
      </c>
      <c r="G230" s="2">
        <v>400</v>
      </c>
      <c r="H230" t="str">
        <f t="shared" si="7"/>
        <v>SERVICE</v>
      </c>
    </row>
    <row r="231" spans="5:8" x14ac:dyDescent="0.25">
      <c r="E231" t="str">
        <f>"12678"</f>
        <v>12678</v>
      </c>
      <c r="F231" t="str">
        <f t="shared" si="6"/>
        <v>SERVICE</v>
      </c>
      <c r="G231" s="2">
        <v>325</v>
      </c>
      <c r="H231" t="str">
        <f t="shared" si="7"/>
        <v>SERVICE</v>
      </c>
    </row>
    <row r="232" spans="5:8" x14ac:dyDescent="0.25">
      <c r="E232" t="str">
        <f>"12701"</f>
        <v>12701</v>
      </c>
      <c r="F232" t="str">
        <f t="shared" si="6"/>
        <v>SERVICE</v>
      </c>
      <c r="G232" s="2">
        <v>325</v>
      </c>
      <c r="H232" t="str">
        <f t="shared" si="7"/>
        <v>SERVICE</v>
      </c>
    </row>
    <row r="233" spans="5:8" x14ac:dyDescent="0.25">
      <c r="E233" t="str">
        <f>"12715"</f>
        <v>12715</v>
      </c>
      <c r="F233" t="str">
        <f t="shared" si="6"/>
        <v>SERVICE</v>
      </c>
      <c r="G233" s="2">
        <v>325</v>
      </c>
      <c r="H233" t="str">
        <f t="shared" si="7"/>
        <v>SERVICE</v>
      </c>
    </row>
    <row r="234" spans="5:8" x14ac:dyDescent="0.25">
      <c r="E234" t="str">
        <f>"12721"</f>
        <v>12721</v>
      </c>
      <c r="F234" t="str">
        <f t="shared" si="6"/>
        <v>SERVICE</v>
      </c>
      <c r="G234" s="2">
        <v>400</v>
      </c>
      <c r="H234" t="str">
        <f t="shared" si="7"/>
        <v>SERVICE</v>
      </c>
    </row>
    <row r="235" spans="5:8" x14ac:dyDescent="0.25">
      <c r="E235" t="str">
        <f>"12730"</f>
        <v>12730</v>
      </c>
      <c r="F235" t="str">
        <f t="shared" si="6"/>
        <v>SERVICE</v>
      </c>
      <c r="G235" s="2">
        <v>700</v>
      </c>
      <c r="H235" t="str">
        <f t="shared" si="7"/>
        <v>SERVICE</v>
      </c>
    </row>
    <row r="236" spans="5:8" x14ac:dyDescent="0.25">
      <c r="E236" t="str">
        <f>"12749"</f>
        <v>12749</v>
      </c>
      <c r="F236" t="str">
        <f t="shared" si="6"/>
        <v>SERVICE</v>
      </c>
      <c r="G236" s="2">
        <v>325</v>
      </c>
      <c r="H236" t="str">
        <f t="shared" si="7"/>
        <v>SERVICE</v>
      </c>
    </row>
    <row r="237" spans="5:8" x14ac:dyDescent="0.25">
      <c r="E237" t="str">
        <f>"12820"</f>
        <v>12820</v>
      </c>
      <c r="F237" t="str">
        <f t="shared" si="6"/>
        <v>SERVICE</v>
      </c>
      <c r="G237" s="2">
        <v>325</v>
      </c>
      <c r="H237" t="str">
        <f t="shared" si="7"/>
        <v>SERVICE</v>
      </c>
    </row>
    <row r="238" spans="5:8" x14ac:dyDescent="0.25">
      <c r="E238" t="str">
        <f>"12837"</f>
        <v>12837</v>
      </c>
      <c r="F238" t="str">
        <f t="shared" si="6"/>
        <v>SERVICE</v>
      </c>
      <c r="G238" s="2">
        <v>250</v>
      </c>
      <c r="H238" t="str">
        <f t="shared" si="7"/>
        <v>SERVICE</v>
      </c>
    </row>
    <row r="239" spans="5:8" x14ac:dyDescent="0.25">
      <c r="E239" t="str">
        <f>"12856"</f>
        <v>12856</v>
      </c>
      <c r="F239" t="str">
        <f t="shared" si="6"/>
        <v>SERVICE</v>
      </c>
      <c r="G239" s="2">
        <v>250</v>
      </c>
      <c r="H239" t="str">
        <f t="shared" si="7"/>
        <v>SERVICE</v>
      </c>
    </row>
    <row r="240" spans="5:8" x14ac:dyDescent="0.25">
      <c r="E240" t="str">
        <f>"12864"</f>
        <v>12864</v>
      </c>
      <c r="F240" t="str">
        <f t="shared" si="6"/>
        <v>SERVICE</v>
      </c>
      <c r="G240" s="2">
        <v>325</v>
      </c>
      <c r="H240" t="str">
        <f t="shared" si="7"/>
        <v>SERVICE</v>
      </c>
    </row>
    <row r="241" spans="1:8" x14ac:dyDescent="0.25">
      <c r="E241" t="str">
        <f>"12893"</f>
        <v>12893</v>
      </c>
      <c r="F241" t="str">
        <f t="shared" si="6"/>
        <v>SERVICE</v>
      </c>
      <c r="G241" s="2">
        <v>250</v>
      </c>
      <c r="H241" t="str">
        <f t="shared" si="7"/>
        <v>SERVICE</v>
      </c>
    </row>
    <row r="242" spans="1:8" x14ac:dyDescent="0.25">
      <c r="E242" t="str">
        <f>"12928"</f>
        <v>12928</v>
      </c>
      <c r="F242" t="str">
        <f t="shared" si="6"/>
        <v>SERVICE</v>
      </c>
      <c r="G242" s="2">
        <v>325</v>
      </c>
      <c r="H242" t="str">
        <f t="shared" si="7"/>
        <v>SERVICE</v>
      </c>
    </row>
    <row r="243" spans="1:8" x14ac:dyDescent="0.25">
      <c r="E243" t="str">
        <f>"13008"</f>
        <v>13008</v>
      </c>
      <c r="F243" t="str">
        <f t="shared" si="6"/>
        <v>SERVICE</v>
      </c>
      <c r="G243" s="2">
        <v>150</v>
      </c>
      <c r="H243" t="str">
        <f t="shared" si="7"/>
        <v>SERVICE</v>
      </c>
    </row>
    <row r="244" spans="1:8" x14ac:dyDescent="0.25">
      <c r="E244" t="str">
        <f>"13079"</f>
        <v>13079</v>
      </c>
      <c r="F244" t="str">
        <f t="shared" si="6"/>
        <v>SERVICE</v>
      </c>
      <c r="G244" s="2">
        <v>150</v>
      </c>
      <c r="H244" t="str">
        <f t="shared" si="7"/>
        <v>SERVICE</v>
      </c>
    </row>
    <row r="245" spans="1:8" x14ac:dyDescent="0.25">
      <c r="E245" t="str">
        <f>"13106"</f>
        <v>13106</v>
      </c>
      <c r="F245" t="str">
        <f t="shared" si="6"/>
        <v>SERVICE</v>
      </c>
      <c r="G245" s="2">
        <v>75</v>
      </c>
      <c r="H245" t="str">
        <f t="shared" si="7"/>
        <v>SERVICE</v>
      </c>
    </row>
    <row r="246" spans="1:8" x14ac:dyDescent="0.25">
      <c r="A246" t="s">
        <v>57</v>
      </c>
      <c r="B246">
        <v>81058</v>
      </c>
      <c r="C246" s="2">
        <v>461.2</v>
      </c>
      <c r="D246" s="1">
        <v>43522</v>
      </c>
      <c r="E246" t="str">
        <f>"201902137425"</f>
        <v>201902137425</v>
      </c>
      <c r="F246" t="str">
        <f>"ACCT#BC01"</f>
        <v>ACCT#BC01</v>
      </c>
      <c r="G246" s="2">
        <v>461.2</v>
      </c>
      <c r="H246" t="str">
        <f t="shared" ref="H246:H253" si="8">"ACCT#BC01"</f>
        <v>ACCT#BC01</v>
      </c>
    </row>
    <row r="247" spans="1:8" x14ac:dyDescent="0.25">
      <c r="E247" t="str">
        <f>""</f>
        <v/>
      </c>
      <c r="F247" t="str">
        <f>""</f>
        <v/>
      </c>
      <c r="H247" t="str">
        <f t="shared" si="8"/>
        <v>ACCT#BC01</v>
      </c>
    </row>
    <row r="248" spans="1:8" x14ac:dyDescent="0.25">
      <c r="E248" t="str">
        <f>""</f>
        <v/>
      </c>
      <c r="F248" t="str">
        <f>""</f>
        <v/>
      </c>
      <c r="H248" t="str">
        <f t="shared" si="8"/>
        <v>ACCT#BC01</v>
      </c>
    </row>
    <row r="249" spans="1:8" x14ac:dyDescent="0.25">
      <c r="E249" t="str">
        <f>""</f>
        <v/>
      </c>
      <c r="F249" t="str">
        <f>""</f>
        <v/>
      </c>
      <c r="H249" t="str">
        <f t="shared" si="8"/>
        <v>ACCT#BC01</v>
      </c>
    </row>
    <row r="250" spans="1:8" x14ac:dyDescent="0.25">
      <c r="E250" t="str">
        <f>""</f>
        <v/>
      </c>
      <c r="F250" t="str">
        <f>""</f>
        <v/>
      </c>
      <c r="H250" t="str">
        <f t="shared" si="8"/>
        <v>ACCT#BC01</v>
      </c>
    </row>
    <row r="251" spans="1:8" x14ac:dyDescent="0.25">
      <c r="E251" t="str">
        <f>""</f>
        <v/>
      </c>
      <c r="F251" t="str">
        <f>""</f>
        <v/>
      </c>
      <c r="H251" t="str">
        <f t="shared" si="8"/>
        <v>ACCT#BC01</v>
      </c>
    </row>
    <row r="252" spans="1:8" x14ac:dyDescent="0.25">
      <c r="E252" t="str">
        <f>""</f>
        <v/>
      </c>
      <c r="F252" t="str">
        <f>""</f>
        <v/>
      </c>
      <c r="H252" t="str">
        <f t="shared" si="8"/>
        <v>ACCT#BC01</v>
      </c>
    </row>
    <row r="253" spans="1:8" x14ac:dyDescent="0.25">
      <c r="E253" t="str">
        <f>""</f>
        <v/>
      </c>
      <c r="F253" t="str">
        <f>""</f>
        <v/>
      </c>
      <c r="H253" t="str">
        <f t="shared" si="8"/>
        <v>ACCT#BC01</v>
      </c>
    </row>
    <row r="254" spans="1:8" x14ac:dyDescent="0.25">
      <c r="A254" t="s">
        <v>58</v>
      </c>
      <c r="B254">
        <v>431</v>
      </c>
      <c r="C254" s="2">
        <v>20266.93</v>
      </c>
      <c r="D254" s="1">
        <v>43508</v>
      </c>
      <c r="E254" t="str">
        <f>"201902047023"</f>
        <v>201902047023</v>
      </c>
      <c r="F254" t="str">
        <f>"GRANT REIMBURSEMENT"</f>
        <v>GRANT REIMBURSEMENT</v>
      </c>
      <c r="G254" s="2">
        <v>11044.37</v>
      </c>
      <c r="H254" t="str">
        <f>"GRANT REIMBURSEMENT"</f>
        <v>GRANT REIMBURSEMENT</v>
      </c>
    </row>
    <row r="255" spans="1:8" x14ac:dyDescent="0.25">
      <c r="E255" t="str">
        <f>"201902057097"</f>
        <v>201902057097</v>
      </c>
      <c r="F255" t="str">
        <f>"GRANT REIMBURSEMENT"</f>
        <v>GRANT REIMBURSEMENT</v>
      </c>
      <c r="G255" s="2">
        <v>9222.56</v>
      </c>
      <c r="H255" t="str">
        <f>"GRANT REIMBURSEMENT"</f>
        <v>GRANT REIMBURSEMENT</v>
      </c>
    </row>
    <row r="256" spans="1:8" x14ac:dyDescent="0.25">
      <c r="A256" t="s">
        <v>59</v>
      </c>
      <c r="B256">
        <v>513</v>
      </c>
      <c r="C256" s="2">
        <v>59.04</v>
      </c>
      <c r="D256" s="1">
        <v>43523</v>
      </c>
      <c r="E256" t="str">
        <f>"201902157451"</f>
        <v>201902157451</v>
      </c>
      <c r="F256" t="str">
        <f>"INDIGENT HEALTH"</f>
        <v>INDIGENT HEALTH</v>
      </c>
      <c r="G256" s="2">
        <v>59.04</v>
      </c>
      <c r="H256" t="str">
        <f>"INDIGENT HEALTH"</f>
        <v>INDIGENT HEALTH</v>
      </c>
    </row>
    <row r="257" spans="1:8" x14ac:dyDescent="0.25">
      <c r="A257" t="s">
        <v>60</v>
      </c>
      <c r="B257">
        <v>80835</v>
      </c>
      <c r="C257" s="2">
        <v>25.68</v>
      </c>
      <c r="D257" s="1">
        <v>43507</v>
      </c>
      <c r="E257" t="str">
        <f>"201901296898"</f>
        <v>201901296898</v>
      </c>
      <c r="F257" t="str">
        <f>"ARREST FEES 10/01-12/31"</f>
        <v>ARREST FEES 10/01-12/31</v>
      </c>
      <c r="G257" s="2">
        <v>25.68</v>
      </c>
      <c r="H257" t="str">
        <f>"ARREST FEES 10/01-12/31"</f>
        <v>ARREST FEES 10/01-12/31</v>
      </c>
    </row>
    <row r="258" spans="1:8" x14ac:dyDescent="0.25">
      <c r="A258" t="s">
        <v>61</v>
      </c>
      <c r="B258">
        <v>410</v>
      </c>
      <c r="C258" s="2">
        <v>3750</v>
      </c>
      <c r="D258" s="1">
        <v>43508</v>
      </c>
      <c r="E258" t="str">
        <f>"2018182"</f>
        <v>2018182</v>
      </c>
      <c r="F258" t="str">
        <f>"TRANSPORT-R.V. ACUNA"</f>
        <v>TRANSPORT-R.V. ACUNA</v>
      </c>
      <c r="G258" s="2">
        <v>295</v>
      </c>
      <c r="H258" t="str">
        <f>"TRANSPORT-R.V. ACUNA"</f>
        <v>TRANSPORT-R.V. ACUNA</v>
      </c>
    </row>
    <row r="259" spans="1:8" x14ac:dyDescent="0.25">
      <c r="E259" t="str">
        <f>"2019004"</f>
        <v>2019004</v>
      </c>
      <c r="F259" t="str">
        <f>"TRANSPORT-C.S. MANIS"</f>
        <v>TRANSPORT-C.S. MANIS</v>
      </c>
      <c r="G259" s="2">
        <v>495</v>
      </c>
      <c r="H259" t="str">
        <f>"TRANSPORT-C.S. MANIS"</f>
        <v>TRANSPORT-C.S. MANIS</v>
      </c>
    </row>
    <row r="260" spans="1:8" x14ac:dyDescent="0.25">
      <c r="E260" t="str">
        <f>"2019005"</f>
        <v>2019005</v>
      </c>
      <c r="F260" t="str">
        <f>"TRANSPORT-J.M. GARCIA"</f>
        <v>TRANSPORT-J.M. GARCIA</v>
      </c>
      <c r="G260" s="2">
        <v>495</v>
      </c>
      <c r="H260" t="str">
        <f>"TRANSPORT-J.M. GARCIA"</f>
        <v>TRANSPORT-J.M. GARCIA</v>
      </c>
    </row>
    <row r="261" spans="1:8" x14ac:dyDescent="0.25">
      <c r="E261" t="str">
        <f>"2019007"</f>
        <v>2019007</v>
      </c>
      <c r="F261" t="str">
        <f>"TRANSPORT-R.C. MORALES"</f>
        <v>TRANSPORT-R.C. MORALES</v>
      </c>
      <c r="G261" s="2">
        <v>390</v>
      </c>
      <c r="H261" t="str">
        <f>"TRANSPORT-R.C. MORALES"</f>
        <v>TRANSPORT-R.C. MORALES</v>
      </c>
    </row>
    <row r="262" spans="1:8" x14ac:dyDescent="0.25">
      <c r="E262" t="str">
        <f>"2019008"</f>
        <v>2019008</v>
      </c>
      <c r="F262" t="str">
        <f>"TRANSPORT-R.W. ROBERTS"</f>
        <v>TRANSPORT-R.W. ROBERTS</v>
      </c>
      <c r="G262" s="2">
        <v>390</v>
      </c>
      <c r="H262" t="str">
        <f>"TRANSPORT-R.W. ROBERTS"</f>
        <v>TRANSPORT-R.W. ROBERTS</v>
      </c>
    </row>
    <row r="263" spans="1:8" x14ac:dyDescent="0.25">
      <c r="E263" t="str">
        <f>"2019010"</f>
        <v>2019010</v>
      </c>
      <c r="F263" t="str">
        <f>"TRANSPORT-J. BALAS"</f>
        <v>TRANSPORT-J. BALAS</v>
      </c>
      <c r="G263" s="2">
        <v>695</v>
      </c>
      <c r="H263" t="str">
        <f>"TRANSPORT-J. BALAS"</f>
        <v>TRANSPORT-J. BALAS</v>
      </c>
    </row>
    <row r="264" spans="1:8" x14ac:dyDescent="0.25">
      <c r="E264" t="str">
        <f>"2019011"</f>
        <v>2019011</v>
      </c>
      <c r="F264" t="str">
        <f>"TRANSPORT-B.G. ALLEN"</f>
        <v>TRANSPORT-B.G. ALLEN</v>
      </c>
      <c r="G264" s="2">
        <v>495</v>
      </c>
      <c r="H264" t="str">
        <f>"TRANSPORT-B.G. ALLEN"</f>
        <v>TRANSPORT-B.G. ALLEN</v>
      </c>
    </row>
    <row r="265" spans="1:8" x14ac:dyDescent="0.25">
      <c r="E265" t="str">
        <f>"2019012"</f>
        <v>2019012</v>
      </c>
      <c r="F265" t="str">
        <f>"TRANSPORT-T.M. DAVIS"</f>
        <v>TRANSPORT-T.M. DAVIS</v>
      </c>
      <c r="G265" s="2">
        <v>495</v>
      </c>
      <c r="H265" t="str">
        <f>"TRANSPORT-T.M. DAVIS"</f>
        <v>TRANSPORT-T.M. DAVIS</v>
      </c>
    </row>
    <row r="266" spans="1:8" x14ac:dyDescent="0.25">
      <c r="A266" t="s">
        <v>62</v>
      </c>
      <c r="B266">
        <v>81059</v>
      </c>
      <c r="C266" s="2">
        <v>56</v>
      </c>
      <c r="D266" s="1">
        <v>43522</v>
      </c>
      <c r="E266" t="str">
        <f>"6095"</f>
        <v>6095</v>
      </c>
      <c r="F266" t="str">
        <f>"TAPE/FOAM PRINT"</f>
        <v>TAPE/FOAM PRINT</v>
      </c>
      <c r="G266" s="2">
        <v>56</v>
      </c>
      <c r="H266" t="str">
        <f>"TAPE/FOAM PRINT"</f>
        <v>TAPE/FOAM PRINT</v>
      </c>
    </row>
    <row r="267" spans="1:8" x14ac:dyDescent="0.25">
      <c r="A267" t="s">
        <v>63</v>
      </c>
      <c r="B267">
        <v>81060</v>
      </c>
      <c r="C267" s="2">
        <v>37</v>
      </c>
      <c r="D267" s="1">
        <v>43522</v>
      </c>
      <c r="E267" t="str">
        <f>"1126120"</f>
        <v>1126120</v>
      </c>
      <c r="F267" t="str">
        <f>"INV 1126120"</f>
        <v>INV 1126120</v>
      </c>
      <c r="G267" s="2">
        <v>37</v>
      </c>
      <c r="H267" t="str">
        <f>"INV 1126120"</f>
        <v>INV 1126120</v>
      </c>
    </row>
    <row r="268" spans="1:8" x14ac:dyDescent="0.25">
      <c r="A268" t="s">
        <v>64</v>
      </c>
      <c r="B268">
        <v>435</v>
      </c>
      <c r="C268" s="2">
        <v>331.33</v>
      </c>
      <c r="D268" s="1">
        <v>43508</v>
      </c>
      <c r="E268" t="str">
        <f>"6007022706"</f>
        <v>6007022706</v>
      </c>
      <c r="F268" t="str">
        <f>"ACCT#3422853/ANIMAL CONTROL"</f>
        <v>ACCT#3422853/ANIMAL CONTROL</v>
      </c>
      <c r="G268" s="2">
        <v>331.33</v>
      </c>
      <c r="H268" t="str">
        <f>"ACCT#3422853/ANIMAL CONTROL"</f>
        <v>ACCT#3422853/ANIMAL CONTROL</v>
      </c>
    </row>
    <row r="269" spans="1:8" x14ac:dyDescent="0.25">
      <c r="A269" t="s">
        <v>64</v>
      </c>
      <c r="B269">
        <v>494</v>
      </c>
      <c r="C269" s="2">
        <v>212.94</v>
      </c>
      <c r="D269" s="1">
        <v>43523</v>
      </c>
      <c r="E269" t="str">
        <f>"6007071224"</f>
        <v>6007071224</v>
      </c>
      <c r="F269" t="str">
        <f>"ACCT#3422583/ANIMAL CONTROL"</f>
        <v>ACCT#3422583/ANIMAL CONTROL</v>
      </c>
      <c r="G269" s="2">
        <v>212.94</v>
      </c>
      <c r="H269" t="str">
        <f>"ACCT#3422583/ANIMAL CONTROL"</f>
        <v>ACCT#3422583/ANIMAL CONTROL</v>
      </c>
    </row>
    <row r="270" spans="1:8" x14ac:dyDescent="0.25">
      <c r="A270" t="s">
        <v>65</v>
      </c>
      <c r="B270">
        <v>405</v>
      </c>
      <c r="C270" s="2">
        <v>700</v>
      </c>
      <c r="D270" s="1">
        <v>43508</v>
      </c>
      <c r="E270" t="str">
        <f>"201902067149"</f>
        <v>201902067149</v>
      </c>
      <c r="F270" t="str">
        <f>"JANUARY SERVICES"</f>
        <v>JANUARY SERVICES</v>
      </c>
      <c r="G270" s="2">
        <v>700</v>
      </c>
      <c r="H270" t="str">
        <f>"JANUARY SERVICES LE"</f>
        <v>JANUARY SERVICES LE</v>
      </c>
    </row>
    <row r="271" spans="1:8" x14ac:dyDescent="0.25">
      <c r="E271" t="str">
        <f>""</f>
        <v/>
      </c>
      <c r="F271" t="str">
        <f>""</f>
        <v/>
      </c>
      <c r="H271" t="str">
        <f>"JANUARY SERVICES JAI"</f>
        <v>JANUARY SERVICES JAI</v>
      </c>
    </row>
    <row r="272" spans="1:8" x14ac:dyDescent="0.25">
      <c r="A272" t="s">
        <v>66</v>
      </c>
      <c r="B272">
        <v>80836</v>
      </c>
      <c r="C272" s="2">
        <v>85</v>
      </c>
      <c r="D272" s="1">
        <v>43507</v>
      </c>
      <c r="E272" t="str">
        <f>"201902016968"</f>
        <v>201902016968</v>
      </c>
      <c r="F272" t="str">
        <f>"PER DIEM"</f>
        <v>PER DIEM</v>
      </c>
      <c r="G272" s="2">
        <v>85</v>
      </c>
      <c r="H272" t="str">
        <f>"PER DIEM"</f>
        <v>PER DIEM</v>
      </c>
    </row>
    <row r="273" spans="1:9" x14ac:dyDescent="0.25">
      <c r="A273" t="s">
        <v>67</v>
      </c>
      <c r="B273">
        <v>80837</v>
      </c>
      <c r="C273" s="2">
        <v>1282.8599999999999</v>
      </c>
      <c r="D273" s="1">
        <v>43507</v>
      </c>
      <c r="E273" t="str">
        <f>"74958705  74966293"</f>
        <v>74958705  74966293</v>
      </c>
      <c r="F273" t="str">
        <f>"INV 74958705"</f>
        <v>INV 74958705</v>
      </c>
      <c r="G273" s="2">
        <v>1282.8599999999999</v>
      </c>
      <c r="H273" t="str">
        <f>"INV 74958705"</f>
        <v>INV 74958705</v>
      </c>
    </row>
    <row r="274" spans="1:9" x14ac:dyDescent="0.25">
      <c r="E274" t="str">
        <f>""</f>
        <v/>
      </c>
      <c r="F274" t="str">
        <f>""</f>
        <v/>
      </c>
      <c r="H274" t="str">
        <f>"INV 74966293"</f>
        <v>INV 74966293</v>
      </c>
    </row>
    <row r="275" spans="1:9" x14ac:dyDescent="0.25">
      <c r="A275" t="s">
        <v>67</v>
      </c>
      <c r="B275">
        <v>81061</v>
      </c>
      <c r="C275" s="2">
        <v>1369.2</v>
      </c>
      <c r="D275" s="1">
        <v>43522</v>
      </c>
      <c r="E275" t="str">
        <f>"74973974 74981712"</f>
        <v>74973974 74981712</v>
      </c>
      <c r="F275" t="str">
        <f>"INV 74973974"</f>
        <v>INV 74973974</v>
      </c>
      <c r="G275" s="2">
        <v>1369.2</v>
      </c>
      <c r="H275" t="str">
        <f>"INV 74973974"</f>
        <v>INV 74973974</v>
      </c>
    </row>
    <row r="276" spans="1:9" x14ac:dyDescent="0.25">
      <c r="E276" t="str">
        <f>""</f>
        <v/>
      </c>
      <c r="F276" t="str">
        <f>""</f>
        <v/>
      </c>
      <c r="H276" t="str">
        <f>"INV 74981712"</f>
        <v>INV 74981712</v>
      </c>
    </row>
    <row r="277" spans="1:9" x14ac:dyDescent="0.25">
      <c r="A277" t="s">
        <v>68</v>
      </c>
      <c r="B277">
        <v>81062</v>
      </c>
      <c r="C277" s="2">
        <v>49.99</v>
      </c>
      <c r="D277" s="1">
        <v>43522</v>
      </c>
      <c r="E277" t="str">
        <f>"3711557"</f>
        <v>3711557</v>
      </c>
      <c r="F277" t="str">
        <f>"INV# 3711557"</f>
        <v>INV# 3711557</v>
      </c>
      <c r="G277" s="2">
        <v>49.99</v>
      </c>
      <c r="H277" t="str">
        <f>"INV# 3711557"</f>
        <v>INV# 3711557</v>
      </c>
    </row>
    <row r="278" spans="1:9" x14ac:dyDescent="0.25">
      <c r="A278" t="s">
        <v>69</v>
      </c>
      <c r="B278">
        <v>80838</v>
      </c>
      <c r="C278" s="2">
        <v>2906.9</v>
      </c>
      <c r="D278" s="1">
        <v>43507</v>
      </c>
      <c r="E278" t="str">
        <f>"24107"</f>
        <v>24107</v>
      </c>
      <c r="F278" t="str">
        <f>"INV 24107"</f>
        <v>INV 24107</v>
      </c>
      <c r="G278" s="2">
        <v>2906.9</v>
      </c>
      <c r="H278" t="str">
        <f>"INV 24107"</f>
        <v>INV 24107</v>
      </c>
    </row>
    <row r="279" spans="1:9" x14ac:dyDescent="0.25">
      <c r="A279" t="s">
        <v>69</v>
      </c>
      <c r="B279">
        <v>81063</v>
      </c>
      <c r="C279" s="2">
        <v>3923.04</v>
      </c>
      <c r="D279" s="1">
        <v>43522</v>
      </c>
      <c r="E279" t="str">
        <f>"24088"</f>
        <v>24088</v>
      </c>
      <c r="F279" t="str">
        <f>"INV 24088"</f>
        <v>INV 24088</v>
      </c>
      <c r="G279" s="2">
        <v>3923.04</v>
      </c>
      <c r="H279" t="str">
        <f>"INV 24088"</f>
        <v>INV 24088</v>
      </c>
    </row>
    <row r="280" spans="1:9" x14ac:dyDescent="0.25">
      <c r="A280" t="s">
        <v>70</v>
      </c>
      <c r="B280">
        <v>81064</v>
      </c>
      <c r="C280" s="2">
        <v>25</v>
      </c>
      <c r="D280" s="1">
        <v>43522</v>
      </c>
      <c r="E280" t="s">
        <v>71</v>
      </c>
      <c r="F280" t="s">
        <v>72</v>
      </c>
      <c r="G280" s="2" t="str">
        <f>"RESTITUTION-JOSEPH RICHARDSON"</f>
        <v>RESTITUTION-JOSEPH RICHARDSON</v>
      </c>
      <c r="H280" t="str">
        <f>"210-0000"</f>
        <v>210-0000</v>
      </c>
      <c r="I280" t="str">
        <f>""</f>
        <v/>
      </c>
    </row>
    <row r="281" spans="1:9" x14ac:dyDescent="0.25">
      <c r="A281" t="s">
        <v>73</v>
      </c>
      <c r="B281">
        <v>457</v>
      </c>
      <c r="C281" s="2">
        <v>1830</v>
      </c>
      <c r="D281" s="1">
        <v>43508</v>
      </c>
      <c r="E281" t="str">
        <f>"108517"</f>
        <v>108517</v>
      </c>
      <c r="F281" t="str">
        <f>"CLIENT:001309/MATTER:000030"</f>
        <v>CLIENT:001309/MATTER:000030</v>
      </c>
      <c r="G281" s="2">
        <v>1830</v>
      </c>
      <c r="H281" t="str">
        <f>"CLIENT:001309/MATTER:000030"</f>
        <v>CLIENT:001309/MATTER:000030</v>
      </c>
    </row>
    <row r="282" spans="1:9" x14ac:dyDescent="0.25">
      <c r="A282" t="s">
        <v>73</v>
      </c>
      <c r="B282">
        <v>515</v>
      </c>
      <c r="C282" s="2">
        <v>2165.4</v>
      </c>
      <c r="D282" s="1">
        <v>43523</v>
      </c>
      <c r="E282" t="str">
        <f>"108069"</f>
        <v>108069</v>
      </c>
      <c r="F282" t="str">
        <f>"CLIENT#001309/PROF SVCS 11/15"</f>
        <v>CLIENT#001309/PROF SVCS 11/15</v>
      </c>
      <c r="G282" s="2">
        <v>530</v>
      </c>
      <c r="H282" t="str">
        <f>"CLIENT#001309/PROF SVCS 11/15"</f>
        <v>CLIENT#001309/PROF SVCS 11/15</v>
      </c>
    </row>
    <row r="283" spans="1:9" x14ac:dyDescent="0.25">
      <c r="E283" t="str">
        <f>"108073"</f>
        <v>108073</v>
      </c>
      <c r="F283" t="str">
        <f>"CLIENT:001309/PROF SVCS 11/15"</f>
        <v>CLIENT:001309/PROF SVCS 11/15</v>
      </c>
      <c r="G283" s="2">
        <v>182.25</v>
      </c>
      <c r="H283" t="str">
        <f>"CLIENT:001309/PROF SVCS 11/15"</f>
        <v>CLIENT:001309/PROF SVCS 11/15</v>
      </c>
    </row>
    <row r="284" spans="1:9" x14ac:dyDescent="0.25">
      <c r="E284" t="str">
        <f>"108316"</f>
        <v>108316</v>
      </c>
      <c r="F284" t="str">
        <f>"CLIENT#001309-PROF SVCS 12/15"</f>
        <v>CLIENT#001309-PROF SVCS 12/15</v>
      </c>
      <c r="G284" s="2">
        <v>250.9</v>
      </c>
      <c r="H284" t="str">
        <f>"CLIENT#001309-PROF SVCS 12/15"</f>
        <v>CLIENT#001309-PROF SVCS 12/15</v>
      </c>
    </row>
    <row r="285" spans="1:9" x14ac:dyDescent="0.25">
      <c r="E285" t="str">
        <f>"108318"</f>
        <v>108318</v>
      </c>
      <c r="F285" t="str">
        <f>"CLIENT:001309/PROF SVCS 12/15"</f>
        <v>CLIENT:001309/PROF SVCS 12/15</v>
      </c>
      <c r="G285" s="2">
        <v>1202.25</v>
      </c>
      <c r="H285" t="str">
        <f>"CLIENT:001309/PROF SVCS 12/15"</f>
        <v>CLIENT:001309/PROF SVCS 12/15</v>
      </c>
    </row>
    <row r="286" spans="1:9" x14ac:dyDescent="0.25">
      <c r="A286" t="s">
        <v>74</v>
      </c>
      <c r="B286">
        <v>406</v>
      </c>
      <c r="C286" s="2">
        <v>231.07</v>
      </c>
      <c r="D286" s="1">
        <v>43508</v>
      </c>
      <c r="E286" t="str">
        <f>"201901306914"</f>
        <v>201901306914</v>
      </c>
      <c r="F286" t="str">
        <f>"16735"</f>
        <v>16735</v>
      </c>
      <c r="G286" s="2">
        <v>231.07</v>
      </c>
      <c r="H286" t="str">
        <f>"16735"</f>
        <v>16735</v>
      </c>
    </row>
    <row r="287" spans="1:9" x14ac:dyDescent="0.25">
      <c r="A287" t="s">
        <v>74</v>
      </c>
      <c r="B287">
        <v>470</v>
      </c>
      <c r="C287" s="2">
        <v>231.07</v>
      </c>
      <c r="D287" s="1">
        <v>43523</v>
      </c>
      <c r="E287" t="str">
        <f>"201902127364"</f>
        <v>201902127364</v>
      </c>
      <c r="F287" t="str">
        <f>"MORNING DOCKET"</f>
        <v>MORNING DOCKET</v>
      </c>
      <c r="G287" s="2">
        <v>231.07</v>
      </c>
      <c r="H287" t="str">
        <f>"MORNING DOCKET"</f>
        <v>MORNING DOCKET</v>
      </c>
    </row>
    <row r="288" spans="1:9" x14ac:dyDescent="0.25">
      <c r="A288" t="s">
        <v>75</v>
      </c>
      <c r="B288">
        <v>80840</v>
      </c>
      <c r="C288" s="2">
        <v>528.4</v>
      </c>
      <c r="D288" s="1">
        <v>43507</v>
      </c>
      <c r="E288" t="str">
        <f>"84078900159/00267"</f>
        <v>84078900159/00267</v>
      </c>
      <c r="F288" t="str">
        <f>"INV 84078900159"</f>
        <v>INV 84078900159</v>
      </c>
      <c r="G288" s="2">
        <v>528.4</v>
      </c>
      <c r="H288" t="str">
        <f>"INV 84078900159"</f>
        <v>INV 84078900159</v>
      </c>
    </row>
    <row r="289" spans="1:8" x14ac:dyDescent="0.25">
      <c r="E289" t="str">
        <f>""</f>
        <v/>
      </c>
      <c r="F289" t="str">
        <f>""</f>
        <v/>
      </c>
      <c r="H289" t="str">
        <f>"INV 84078900267"</f>
        <v>INV 84078900267</v>
      </c>
    </row>
    <row r="290" spans="1:8" x14ac:dyDescent="0.25">
      <c r="A290" t="s">
        <v>75</v>
      </c>
      <c r="B290">
        <v>81065</v>
      </c>
      <c r="C290" s="2">
        <v>531.24</v>
      </c>
      <c r="D290" s="1">
        <v>43522</v>
      </c>
      <c r="E290" t="str">
        <f>"84078900364 0460"</f>
        <v>84078900364 0460</v>
      </c>
      <c r="F290" t="str">
        <f>"INV 84078900364"</f>
        <v>INV 84078900364</v>
      </c>
      <c r="G290" s="2">
        <v>531.24</v>
      </c>
      <c r="H290" t="str">
        <f>"INV 84078900364"</f>
        <v>INV 84078900364</v>
      </c>
    </row>
    <row r="291" spans="1:8" x14ac:dyDescent="0.25">
      <c r="E291" t="str">
        <f>""</f>
        <v/>
      </c>
      <c r="F291" t="str">
        <f>""</f>
        <v/>
      </c>
      <c r="H291" t="str">
        <f>"INV 84078900460"</f>
        <v>INV 84078900460</v>
      </c>
    </row>
    <row r="292" spans="1:8" x14ac:dyDescent="0.25">
      <c r="A292" t="s">
        <v>76</v>
      </c>
      <c r="B292">
        <v>422</v>
      </c>
      <c r="C292" s="2">
        <v>484.35</v>
      </c>
      <c r="D292" s="1">
        <v>43508</v>
      </c>
      <c r="E292" t="str">
        <f>"201901296839"</f>
        <v>201901296839</v>
      </c>
      <c r="F292" t="str">
        <f>"17-18765"</f>
        <v>17-18765</v>
      </c>
      <c r="G292" s="2">
        <v>100</v>
      </c>
      <c r="H292" t="str">
        <f>"17-18765"</f>
        <v>17-18765</v>
      </c>
    </row>
    <row r="293" spans="1:8" x14ac:dyDescent="0.25">
      <c r="E293" t="str">
        <f>"201901296840"</f>
        <v>201901296840</v>
      </c>
      <c r="F293" t="str">
        <f>"18-18961"</f>
        <v>18-18961</v>
      </c>
      <c r="G293" s="2">
        <v>284.35000000000002</v>
      </c>
      <c r="H293" t="str">
        <f>"18-18961"</f>
        <v>18-18961</v>
      </c>
    </row>
    <row r="294" spans="1:8" x14ac:dyDescent="0.25">
      <c r="E294" t="str">
        <f>"201901296841"</f>
        <v>201901296841</v>
      </c>
      <c r="F294" t="str">
        <f>"18-19142"</f>
        <v>18-19142</v>
      </c>
      <c r="G294" s="2">
        <v>100</v>
      </c>
      <c r="H294" t="str">
        <f>"18-19142"</f>
        <v>18-19142</v>
      </c>
    </row>
    <row r="295" spans="1:8" x14ac:dyDescent="0.25">
      <c r="A295" t="s">
        <v>76</v>
      </c>
      <c r="B295">
        <v>486</v>
      </c>
      <c r="C295" s="2">
        <v>1400</v>
      </c>
      <c r="D295" s="1">
        <v>43523</v>
      </c>
      <c r="E295" t="str">
        <f>"201902127388"</f>
        <v>201902127388</v>
      </c>
      <c r="F295" t="str">
        <f>"56 730"</f>
        <v>56 730</v>
      </c>
      <c r="G295" s="2">
        <v>250</v>
      </c>
      <c r="H295" t="str">
        <f>"56 730"</f>
        <v>56 730</v>
      </c>
    </row>
    <row r="296" spans="1:8" x14ac:dyDescent="0.25">
      <c r="E296" t="str">
        <f>"201902127389"</f>
        <v>201902127389</v>
      </c>
      <c r="F296" t="str">
        <f>"4051261MW  925-342-627619001"</f>
        <v>4051261MW  925-342-627619001</v>
      </c>
      <c r="G296" s="2">
        <v>250</v>
      </c>
      <c r="H296" t="str">
        <f>"4051261MW  925-342-627619001"</f>
        <v>4051261MW  925-342-627619001</v>
      </c>
    </row>
    <row r="297" spans="1:8" x14ac:dyDescent="0.25">
      <c r="E297" t="str">
        <f>"201902127390"</f>
        <v>201902127390</v>
      </c>
      <c r="F297" t="str">
        <f>"55 590"</f>
        <v>55 590</v>
      </c>
      <c r="G297" s="2">
        <v>250</v>
      </c>
      <c r="H297" t="str">
        <f>"55 590"</f>
        <v>55 590</v>
      </c>
    </row>
    <row r="298" spans="1:8" x14ac:dyDescent="0.25">
      <c r="E298" t="str">
        <f>"201902127391"</f>
        <v>201902127391</v>
      </c>
      <c r="F298" t="str">
        <f>"56 620"</f>
        <v>56 620</v>
      </c>
      <c r="G298" s="2">
        <v>250</v>
      </c>
      <c r="H298" t="str">
        <f>"56 620"</f>
        <v>56 620</v>
      </c>
    </row>
    <row r="299" spans="1:8" x14ac:dyDescent="0.25">
      <c r="E299" t="str">
        <f>"201902127398"</f>
        <v>201902127398</v>
      </c>
      <c r="F299" t="str">
        <f>"JUVENILE"</f>
        <v>JUVENILE</v>
      </c>
      <c r="G299" s="2">
        <v>100</v>
      </c>
      <c r="H299" t="str">
        <f>"JUVENILE"</f>
        <v>JUVENILE</v>
      </c>
    </row>
    <row r="300" spans="1:8" x14ac:dyDescent="0.25">
      <c r="E300" t="str">
        <f>"201902127399"</f>
        <v>201902127399</v>
      </c>
      <c r="F300" t="str">
        <f>"JUVENILE"</f>
        <v>JUVENILE</v>
      </c>
      <c r="G300" s="2">
        <v>100</v>
      </c>
      <c r="H300" t="str">
        <f>"JUVENILE"</f>
        <v>JUVENILE</v>
      </c>
    </row>
    <row r="301" spans="1:8" x14ac:dyDescent="0.25">
      <c r="E301" t="str">
        <f>"201902127400"</f>
        <v>201902127400</v>
      </c>
      <c r="F301" t="str">
        <f>"JUVENILE"</f>
        <v>JUVENILE</v>
      </c>
      <c r="G301" s="2">
        <v>100</v>
      </c>
      <c r="H301" t="str">
        <f>"JUVENILE"</f>
        <v>JUVENILE</v>
      </c>
    </row>
    <row r="302" spans="1:8" x14ac:dyDescent="0.25">
      <c r="E302" t="str">
        <f>"201902127401"</f>
        <v>201902127401</v>
      </c>
      <c r="F302" t="str">
        <f>"JUVENILE"</f>
        <v>JUVENILE</v>
      </c>
      <c r="G302" s="2">
        <v>100</v>
      </c>
      <c r="H302" t="str">
        <f>"JUVENILE"</f>
        <v>JUVENILE</v>
      </c>
    </row>
    <row r="303" spans="1:8" x14ac:dyDescent="0.25">
      <c r="A303" t="s">
        <v>77</v>
      </c>
      <c r="B303">
        <v>80841</v>
      </c>
      <c r="C303" s="2">
        <v>273.24</v>
      </c>
      <c r="D303" s="1">
        <v>43507</v>
      </c>
      <c r="E303" t="str">
        <f>"41536"</f>
        <v>41536</v>
      </c>
      <c r="F303" t="str">
        <f>"INV 41536"</f>
        <v>INV 41536</v>
      </c>
      <c r="G303" s="2">
        <v>273.24</v>
      </c>
      <c r="H303" t="str">
        <f>"INV 41536"</f>
        <v>INV 41536</v>
      </c>
    </row>
    <row r="304" spans="1:8" x14ac:dyDescent="0.25">
      <c r="A304" t="s">
        <v>78</v>
      </c>
      <c r="B304">
        <v>81066</v>
      </c>
      <c r="C304" s="2">
        <v>372.69</v>
      </c>
      <c r="D304" s="1">
        <v>43522</v>
      </c>
      <c r="E304" t="str">
        <f>"201902227493"</f>
        <v>201902227493</v>
      </c>
      <c r="F304" t="str">
        <f>"CRIMESTOPPER FEES JANUARY 2019"</f>
        <v>CRIMESTOPPER FEES JANUARY 2019</v>
      </c>
      <c r="G304" s="2">
        <v>372.69</v>
      </c>
      <c r="H304" t="str">
        <f>"CRIMESTOPPER FEES JANUARY 2019"</f>
        <v>CRIMESTOPPER FEES JANUARY 2019</v>
      </c>
    </row>
    <row r="305" spans="1:8" x14ac:dyDescent="0.25">
      <c r="A305" t="s">
        <v>79</v>
      </c>
      <c r="B305">
        <v>81029</v>
      </c>
      <c r="C305" s="2">
        <v>3912.51</v>
      </c>
      <c r="D305" s="1">
        <v>43511</v>
      </c>
      <c r="E305" t="str">
        <f>"201902157437"</f>
        <v>201902157437</v>
      </c>
      <c r="F305" t="str">
        <f>"ACCT#5000057374 / 02042019"</f>
        <v>ACCT#5000057374 / 02042019</v>
      </c>
      <c r="G305" s="2">
        <v>3912.51</v>
      </c>
      <c r="H305" t="str">
        <f>"ACCT#5000057374 / 02042019"</f>
        <v>ACCT#5000057374 / 02042019</v>
      </c>
    </row>
    <row r="306" spans="1:8" x14ac:dyDescent="0.25">
      <c r="E306" t="str">
        <f>""</f>
        <v/>
      </c>
      <c r="F306" t="str">
        <f>""</f>
        <v/>
      </c>
      <c r="H306" t="str">
        <f>"ACCT#5000057374 / 02042019"</f>
        <v>ACCT#5000057374 / 02042019</v>
      </c>
    </row>
    <row r="307" spans="1:8" x14ac:dyDescent="0.25">
      <c r="E307" t="str">
        <f>""</f>
        <v/>
      </c>
      <c r="F307" t="str">
        <f>""</f>
        <v/>
      </c>
      <c r="H307" t="str">
        <f>"ACCT#5000057374 / 02042019"</f>
        <v>ACCT#5000057374 / 02042019</v>
      </c>
    </row>
    <row r="308" spans="1:8" x14ac:dyDescent="0.25">
      <c r="E308" t="str">
        <f>""</f>
        <v/>
      </c>
      <c r="F308" t="str">
        <f>""</f>
        <v/>
      </c>
      <c r="H308" t="str">
        <f>"ACCT#5000057374 / 02042019"</f>
        <v>ACCT#5000057374 / 02042019</v>
      </c>
    </row>
    <row r="309" spans="1:8" x14ac:dyDescent="0.25">
      <c r="A309" t="s">
        <v>80</v>
      </c>
      <c r="B309">
        <v>81067</v>
      </c>
      <c r="C309" s="2">
        <v>20</v>
      </c>
      <c r="D309" s="1">
        <v>43522</v>
      </c>
      <c r="E309" t="s">
        <v>81</v>
      </c>
      <c r="F309" t="s">
        <v>82</v>
      </c>
      <c r="G309" s="2" t="str">
        <f>"RESTITUTION-PAULA BOATMAN"</f>
        <v>RESTITUTION-PAULA BOATMAN</v>
      </c>
    </row>
    <row r="310" spans="1:8" x14ac:dyDescent="0.25">
      <c r="A310" t="s">
        <v>83</v>
      </c>
      <c r="B310">
        <v>461</v>
      </c>
      <c r="C310" s="2">
        <v>10752.94</v>
      </c>
      <c r="D310" s="1">
        <v>43508</v>
      </c>
      <c r="E310" t="str">
        <f>"201902047024"</f>
        <v>201902047024</v>
      </c>
      <c r="F310" t="str">
        <f>"GRANT REIMBURSEMENT"</f>
        <v>GRANT REIMBURSEMENT</v>
      </c>
      <c r="G310" s="2">
        <v>9802.94</v>
      </c>
      <c r="H310" t="str">
        <f>"GRANT REIMBURSEMENT"</f>
        <v>GRANT REIMBURSEMENT</v>
      </c>
    </row>
    <row r="311" spans="1:8" x14ac:dyDescent="0.25">
      <c r="E311" t="str">
        <f>"25-01-2019"</f>
        <v>25-01-2019</v>
      </c>
      <c r="F311" t="str">
        <f>"INV 25-01-2019"</f>
        <v>INV 25-01-2019</v>
      </c>
      <c r="G311" s="2">
        <v>950</v>
      </c>
      <c r="H311" t="str">
        <f>"INV 25-01-2019"</f>
        <v>INV 25-01-2019</v>
      </c>
    </row>
    <row r="312" spans="1:8" x14ac:dyDescent="0.25">
      <c r="A312" t="s">
        <v>84</v>
      </c>
      <c r="B312">
        <v>80842</v>
      </c>
      <c r="C312" s="2">
        <v>84.3</v>
      </c>
      <c r="D312" s="1">
        <v>43507</v>
      </c>
      <c r="E312" t="str">
        <f>"9702"</f>
        <v>9702</v>
      </c>
      <c r="F312" t="str">
        <f>"2010 DODGE/PCT#1"</f>
        <v>2010 DODGE/PCT#1</v>
      </c>
      <c r="G312" s="2">
        <v>84.3</v>
      </c>
      <c r="H312" t="str">
        <f>"2010 DODGE/PCT#1"</f>
        <v>2010 DODGE/PCT#1</v>
      </c>
    </row>
    <row r="313" spans="1:8" x14ac:dyDescent="0.25">
      <c r="A313" t="s">
        <v>84</v>
      </c>
      <c r="B313">
        <v>81068</v>
      </c>
      <c r="C313" s="2">
        <v>551.4</v>
      </c>
      <c r="D313" s="1">
        <v>43522</v>
      </c>
      <c r="E313" t="str">
        <f>"201902227520"</f>
        <v>201902227520</v>
      </c>
      <c r="F313" t="str">
        <f>"RADAR TRAILER"</f>
        <v>RADAR TRAILER</v>
      </c>
      <c r="G313" s="2">
        <v>366</v>
      </c>
      <c r="H313" t="str">
        <f>"RADAR TRAILER"</f>
        <v>RADAR TRAILER</v>
      </c>
    </row>
    <row r="314" spans="1:8" x14ac:dyDescent="0.25">
      <c r="E314" t="str">
        <f>"9683"</f>
        <v>9683</v>
      </c>
      <c r="F314" t="str">
        <f>"INV 9683 UNIT 6520"</f>
        <v>INV 9683 UNIT 6520</v>
      </c>
      <c r="G314" s="2">
        <v>185.4</v>
      </c>
      <c r="H314" t="str">
        <f>"INV 9683 UNIT 6520"</f>
        <v>INV 9683 UNIT 6520</v>
      </c>
    </row>
    <row r="315" spans="1:8" x14ac:dyDescent="0.25">
      <c r="A315" t="s">
        <v>85</v>
      </c>
      <c r="B315">
        <v>81069</v>
      </c>
      <c r="C315" s="2">
        <v>19.04</v>
      </c>
      <c r="D315" s="1">
        <v>43522</v>
      </c>
      <c r="E315" t="str">
        <f>"CT173012"</f>
        <v>CT173012</v>
      </c>
      <c r="F315" t="str">
        <f>"ACCT#B02137/PCT#3"</f>
        <v>ACCT#B02137/PCT#3</v>
      </c>
      <c r="G315" s="2">
        <v>19.04</v>
      </c>
      <c r="H315" t="str">
        <f>"ACCT#B02137/PCT#3"</f>
        <v>ACCT#B02137/PCT#3</v>
      </c>
    </row>
    <row r="316" spans="1:8" x14ac:dyDescent="0.25">
      <c r="A316" t="s">
        <v>86</v>
      </c>
      <c r="B316">
        <v>80843</v>
      </c>
      <c r="C316" s="2">
        <v>7978.23</v>
      </c>
      <c r="D316" s="1">
        <v>43507</v>
      </c>
      <c r="E316" t="str">
        <f>"99024"</f>
        <v>99024</v>
      </c>
      <c r="F316" t="str">
        <f>"ACCT#1267/RIP RAP/PCT#2"</f>
        <v>ACCT#1267/RIP RAP/PCT#2</v>
      </c>
      <c r="G316" s="2">
        <v>2344.5</v>
      </c>
      <c r="H316" t="str">
        <f>"ACCT#1267/RIP RAP/PCT#2"</f>
        <v>ACCT#1267/RIP RAP/PCT#2</v>
      </c>
    </row>
    <row r="317" spans="1:8" x14ac:dyDescent="0.25">
      <c r="E317" t="str">
        <f>"99025"</f>
        <v>99025</v>
      </c>
      <c r="F317" t="str">
        <f>"ACCT#1268/PCT#3"</f>
        <v>ACCT#1268/PCT#3</v>
      </c>
      <c r="G317" s="2">
        <v>2506.2600000000002</v>
      </c>
      <c r="H317" t="str">
        <f>"ACCT#1268/PCT#3"</f>
        <v>ACCT#1268/PCT#3</v>
      </c>
    </row>
    <row r="318" spans="1:8" x14ac:dyDescent="0.25">
      <c r="E318" t="str">
        <f>"99178"</f>
        <v>99178</v>
      </c>
      <c r="F318" t="str">
        <f>"ACCT#1268/COMMER/PCT#3"</f>
        <v>ACCT#1268/COMMER/PCT#3</v>
      </c>
      <c r="G318" s="2">
        <v>3127.47</v>
      </c>
      <c r="H318" t="str">
        <f>"ACCT#1268/COMMER/PCT#3"</f>
        <v>ACCT#1268/COMMER/PCT#3</v>
      </c>
    </row>
    <row r="319" spans="1:8" x14ac:dyDescent="0.25">
      <c r="A319" t="s">
        <v>86</v>
      </c>
      <c r="B319">
        <v>81070</v>
      </c>
      <c r="C319" s="2">
        <v>3648.04</v>
      </c>
      <c r="D319" s="1">
        <v>43522</v>
      </c>
      <c r="E319" t="str">
        <f>"99358"</f>
        <v>99358</v>
      </c>
      <c r="F319" t="str">
        <f>"ACCT#1268/PCT#3"</f>
        <v>ACCT#1268/PCT#3</v>
      </c>
      <c r="G319" s="2">
        <v>760.87</v>
      </c>
      <c r="H319" t="str">
        <f>"ACCT#1268/PCT#3"</f>
        <v>ACCT#1268/PCT#3</v>
      </c>
    </row>
    <row r="320" spans="1:8" x14ac:dyDescent="0.25">
      <c r="E320" t="str">
        <f>"99540"</f>
        <v>99540</v>
      </c>
      <c r="F320" t="str">
        <f>"ACCT#1268/PCT#3"</f>
        <v>ACCT#1268/PCT#3</v>
      </c>
      <c r="G320" s="2">
        <v>2887.17</v>
      </c>
      <c r="H320" t="str">
        <f>"ACCT#1268/PCT#3"</f>
        <v>ACCT#1268/PCT#3</v>
      </c>
    </row>
    <row r="321" spans="1:8" x14ac:dyDescent="0.25">
      <c r="A321" t="s">
        <v>87</v>
      </c>
      <c r="B321">
        <v>81028</v>
      </c>
      <c r="C321" s="2">
        <v>1500</v>
      </c>
      <c r="D321" s="1">
        <v>43507</v>
      </c>
      <c r="E321" t="str">
        <f>"201902016990"</f>
        <v>201902016990</v>
      </c>
      <c r="F321" t="str">
        <f>"02.0818.4"</f>
        <v>02.0818.4</v>
      </c>
      <c r="G321" s="2">
        <v>250</v>
      </c>
      <c r="H321" t="str">
        <f>"02.0818.4"</f>
        <v>02.0818.4</v>
      </c>
    </row>
    <row r="322" spans="1:8" x14ac:dyDescent="0.25">
      <c r="E322" t="str">
        <f>"201902057042"</f>
        <v>201902057042</v>
      </c>
      <c r="F322" t="str">
        <f>"004.08646"</f>
        <v>004.08646</v>
      </c>
      <c r="G322" s="2">
        <v>250</v>
      </c>
      <c r="H322" t="str">
        <f>"004.08646"</f>
        <v>004.08646</v>
      </c>
    </row>
    <row r="323" spans="1:8" x14ac:dyDescent="0.25">
      <c r="E323" t="str">
        <f>"201902057043"</f>
        <v>201902057043</v>
      </c>
      <c r="F323" t="str">
        <f>"56 239"</f>
        <v>56 239</v>
      </c>
      <c r="G323" s="2">
        <v>250</v>
      </c>
      <c r="H323" t="str">
        <f>"56 239"</f>
        <v>56 239</v>
      </c>
    </row>
    <row r="324" spans="1:8" x14ac:dyDescent="0.25">
      <c r="E324" t="str">
        <f>"201902057044"</f>
        <v>201902057044</v>
      </c>
      <c r="F324" t="str">
        <f>"56 426"</f>
        <v>56 426</v>
      </c>
      <c r="G324" s="2">
        <v>250</v>
      </c>
      <c r="H324" t="str">
        <f>"56 426"</f>
        <v>56 426</v>
      </c>
    </row>
    <row r="325" spans="1:8" x14ac:dyDescent="0.25">
      <c r="E325" t="str">
        <f>"201902057062"</f>
        <v>201902057062</v>
      </c>
      <c r="F325" t="str">
        <f>"56 229"</f>
        <v>56 229</v>
      </c>
      <c r="G325" s="2">
        <v>250</v>
      </c>
      <c r="H325" t="str">
        <f>"56 229"</f>
        <v>56 229</v>
      </c>
    </row>
    <row r="326" spans="1:8" x14ac:dyDescent="0.25">
      <c r="E326" t="str">
        <f>"201902057063"</f>
        <v>201902057063</v>
      </c>
      <c r="F326" t="str">
        <f>"56 132"</f>
        <v>56 132</v>
      </c>
      <c r="G326" s="2">
        <v>250</v>
      </c>
      <c r="H326" t="str">
        <f>"56 132"</f>
        <v>56 132</v>
      </c>
    </row>
    <row r="327" spans="1:8" x14ac:dyDescent="0.25">
      <c r="A327" t="s">
        <v>88</v>
      </c>
      <c r="B327">
        <v>80844</v>
      </c>
      <c r="C327" s="2">
        <v>15</v>
      </c>
      <c r="D327" s="1">
        <v>43507</v>
      </c>
      <c r="E327" t="str">
        <f>"423-6289"</f>
        <v>423-6289</v>
      </c>
      <c r="F327" t="str">
        <f>"CENTRAL ADOPTION REGISTRY FUND"</f>
        <v>CENTRAL ADOPTION REGISTRY FUND</v>
      </c>
      <c r="G327" s="2">
        <v>15</v>
      </c>
      <c r="H327" t="str">
        <f>"CENTRAL ADOPTION REGISTRY FUND"</f>
        <v>CENTRAL ADOPTION REGISTRY FUND</v>
      </c>
    </row>
    <row r="328" spans="1:8" x14ac:dyDescent="0.25">
      <c r="A328" t="s">
        <v>88</v>
      </c>
      <c r="B328">
        <v>81071</v>
      </c>
      <c r="C328" s="2">
        <v>15</v>
      </c>
      <c r="D328" s="1">
        <v>43522</v>
      </c>
      <c r="E328" t="str">
        <f>"423-6321"</f>
        <v>423-6321</v>
      </c>
      <c r="F328" t="str">
        <f>"CENTRAL ADOPTION REGISTRY FUND"</f>
        <v>CENTRAL ADOPTION REGISTRY FUND</v>
      </c>
      <c r="G328" s="2">
        <v>15</v>
      </c>
      <c r="H328" t="str">
        <f>"CENTRAL ADOPTION REGISTRY FUND"</f>
        <v>CENTRAL ADOPTION REGISTRY FUND</v>
      </c>
    </row>
    <row r="329" spans="1:8" x14ac:dyDescent="0.25">
      <c r="A329" t="s">
        <v>89</v>
      </c>
      <c r="B329">
        <v>80845</v>
      </c>
      <c r="C329" s="2">
        <v>169</v>
      </c>
      <c r="D329" s="1">
        <v>43507</v>
      </c>
      <c r="E329" t="str">
        <f>"201902067146"</f>
        <v>201902067146</v>
      </c>
      <c r="F329" t="str">
        <f>"TRAINING"</f>
        <v>TRAINING</v>
      </c>
      <c r="G329" s="2">
        <v>169</v>
      </c>
      <c r="H329" t="str">
        <f>"TRAINING"</f>
        <v>TRAINING</v>
      </c>
    </row>
    <row r="330" spans="1:8" x14ac:dyDescent="0.25">
      <c r="A330" t="s">
        <v>90</v>
      </c>
      <c r="B330">
        <v>81072</v>
      </c>
      <c r="C330" s="2">
        <v>805</v>
      </c>
      <c r="D330" s="1">
        <v>43522</v>
      </c>
      <c r="E330" t="str">
        <f>"0358793-IN"</f>
        <v>0358793-IN</v>
      </c>
      <c r="F330" t="str">
        <f>"leases"</f>
        <v>leases</v>
      </c>
      <c r="G330" s="2">
        <v>805</v>
      </c>
      <c r="H330" t="str">
        <f>"102-6-GR"</f>
        <v>102-6-GR</v>
      </c>
    </row>
    <row r="331" spans="1:8" x14ac:dyDescent="0.25">
      <c r="E331" t="str">
        <f>""</f>
        <v/>
      </c>
      <c r="F331" t="str">
        <f>""</f>
        <v/>
      </c>
      <c r="H331" t="str">
        <f>"FREIGHT"</f>
        <v>FREIGHT</v>
      </c>
    </row>
    <row r="332" spans="1:8" x14ac:dyDescent="0.25">
      <c r="A332" t="s">
        <v>91</v>
      </c>
      <c r="B332">
        <v>80846</v>
      </c>
      <c r="C332" s="2">
        <v>3300</v>
      </c>
      <c r="D332" s="1">
        <v>43507</v>
      </c>
      <c r="E332" t="str">
        <f>"CAMPO-19-057"</f>
        <v>CAMPO-19-057</v>
      </c>
      <c r="F332" t="str">
        <f>"PER BUDGET-2019"</f>
        <v>PER BUDGET-2019</v>
      </c>
      <c r="G332" s="2">
        <v>3300</v>
      </c>
      <c r="H332" t="str">
        <f>"PER BUDGET-2019"</f>
        <v>PER BUDGET-2019</v>
      </c>
    </row>
    <row r="333" spans="1:8" x14ac:dyDescent="0.25">
      <c r="A333" t="s">
        <v>92</v>
      </c>
      <c r="B333">
        <v>497</v>
      </c>
      <c r="C333" s="2">
        <v>130.71</v>
      </c>
      <c r="D333" s="1">
        <v>43523</v>
      </c>
      <c r="E333" t="str">
        <f>"1627588"</f>
        <v>1627588</v>
      </c>
      <c r="F333" t="str">
        <f>"ACCT#000690/ORD#01381085/PCT#2"</f>
        <v>ACCT#000690/ORD#01381085/PCT#2</v>
      </c>
      <c r="G333" s="2">
        <v>130.71</v>
      </c>
      <c r="H333" t="str">
        <f>"ACCT#000690/ORD#01381085/PCT#2"</f>
        <v>ACCT#000690/ORD#01381085/PCT#2</v>
      </c>
    </row>
    <row r="334" spans="1:8" x14ac:dyDescent="0.25">
      <c r="A334" t="s">
        <v>93</v>
      </c>
      <c r="B334">
        <v>80847</v>
      </c>
      <c r="C334" s="2">
        <v>670</v>
      </c>
      <c r="D334" s="1">
        <v>43507</v>
      </c>
      <c r="E334" t="str">
        <f>"16137"</f>
        <v>16137</v>
      </c>
      <c r="F334" t="str">
        <f>"1ST QTR MAINTENANCE/REPAIR THE"</f>
        <v>1ST QTR MAINTENANCE/REPAIR THE</v>
      </c>
      <c r="G334" s="2">
        <v>670</v>
      </c>
      <c r="H334" t="str">
        <f>"1ST QTR MAINTENANCE/REPAIR THE"</f>
        <v>1ST QTR MAINTENANCE/REPAIR THE</v>
      </c>
    </row>
    <row r="335" spans="1:8" x14ac:dyDescent="0.25">
      <c r="A335" t="s">
        <v>94</v>
      </c>
      <c r="B335">
        <v>63</v>
      </c>
      <c r="C335" s="2">
        <v>6471.8</v>
      </c>
      <c r="D335" s="1">
        <v>43507</v>
      </c>
      <c r="E335" t="str">
        <f>"201902017009"</f>
        <v>201902017009</v>
      </c>
      <c r="F335" t="str">
        <f>"Dec 22-Jan 22 2019"</f>
        <v>Dec 22-Jan 22 2019</v>
      </c>
      <c r="G335" s="2">
        <v>6471.8</v>
      </c>
      <c r="H335" t="str">
        <f>"Mediators"</f>
        <v>Mediators</v>
      </c>
    </row>
    <row r="336" spans="1:8" x14ac:dyDescent="0.25">
      <c r="E336" t="str">
        <f>""</f>
        <v/>
      </c>
      <c r="F336" t="str">
        <f>""</f>
        <v/>
      </c>
      <c r="H336" t="str">
        <f>"Mediators"</f>
        <v>Mediators</v>
      </c>
    </row>
    <row r="337" spans="1:8" x14ac:dyDescent="0.25">
      <c r="E337" t="str">
        <f>""</f>
        <v/>
      </c>
      <c r="F337" t="str">
        <f>""</f>
        <v/>
      </c>
      <c r="H337" t="str">
        <f>"UT"</f>
        <v>UT</v>
      </c>
    </row>
    <row r="338" spans="1:8" x14ac:dyDescent="0.25">
      <c r="E338" t="str">
        <f>""</f>
        <v/>
      </c>
      <c r="F338" t="str">
        <f>""</f>
        <v/>
      </c>
      <c r="H338" t="str">
        <f>"Google"</f>
        <v>Google</v>
      </c>
    </row>
    <row r="339" spans="1:8" x14ac:dyDescent="0.25">
      <c r="E339" t="str">
        <f>""</f>
        <v/>
      </c>
      <c r="F339" t="str">
        <f>""</f>
        <v/>
      </c>
      <c r="H339" t="str">
        <f>"DNS"</f>
        <v>DNS</v>
      </c>
    </row>
    <row r="340" spans="1:8" x14ac:dyDescent="0.25">
      <c r="E340" t="str">
        <f>""</f>
        <v/>
      </c>
      <c r="F340" t="str">
        <f>""</f>
        <v/>
      </c>
      <c r="H340" t="str">
        <f>"WebEx"</f>
        <v>WebEx</v>
      </c>
    </row>
    <row r="341" spans="1:8" x14ac:dyDescent="0.25">
      <c r="E341" t="str">
        <f>""</f>
        <v/>
      </c>
      <c r="F341" t="str">
        <f>""</f>
        <v/>
      </c>
      <c r="H341" t="str">
        <f>"Holiday In"</f>
        <v>Holiday In</v>
      </c>
    </row>
    <row r="342" spans="1:8" x14ac:dyDescent="0.25">
      <c r="E342" t="str">
        <f>""</f>
        <v/>
      </c>
      <c r="F342" t="str">
        <f>""</f>
        <v/>
      </c>
      <c r="H342" t="str">
        <f>"Erika DeJesus"</f>
        <v>Erika DeJesus</v>
      </c>
    </row>
    <row r="343" spans="1:8" x14ac:dyDescent="0.25">
      <c r="E343" t="str">
        <f>""</f>
        <v/>
      </c>
      <c r="F343" t="str">
        <f>""</f>
        <v/>
      </c>
      <c r="H343" t="str">
        <f>"transport"</f>
        <v>transport</v>
      </c>
    </row>
    <row r="344" spans="1:8" x14ac:dyDescent="0.25">
      <c r="E344" t="str">
        <f>""</f>
        <v/>
      </c>
      <c r="F344" t="str">
        <f>""</f>
        <v/>
      </c>
      <c r="H344" t="str">
        <f>"Robert Bennet"</f>
        <v>Robert Bennet</v>
      </c>
    </row>
    <row r="345" spans="1:8" x14ac:dyDescent="0.25">
      <c r="E345" t="str">
        <f>""</f>
        <v/>
      </c>
      <c r="F345" t="str">
        <f>""</f>
        <v/>
      </c>
      <c r="H345" t="str">
        <f>"Annette Murley"</f>
        <v>Annette Murley</v>
      </c>
    </row>
    <row r="346" spans="1:8" x14ac:dyDescent="0.25">
      <c r="E346" t="str">
        <f>""</f>
        <v/>
      </c>
      <c r="F346" t="str">
        <f>""</f>
        <v/>
      </c>
      <c r="H346" t="str">
        <f>"Texas"</f>
        <v>Texas</v>
      </c>
    </row>
    <row r="347" spans="1:8" x14ac:dyDescent="0.25">
      <c r="E347" t="str">
        <f>""</f>
        <v/>
      </c>
      <c r="F347" t="str">
        <f>""</f>
        <v/>
      </c>
      <c r="H347" t="str">
        <f>"Cox"</f>
        <v>Cox</v>
      </c>
    </row>
    <row r="348" spans="1:8" x14ac:dyDescent="0.25">
      <c r="E348" t="str">
        <f>""</f>
        <v/>
      </c>
      <c r="F348" t="str">
        <f>""</f>
        <v/>
      </c>
      <c r="H348" t="str">
        <f>"NNA"</f>
        <v>NNA</v>
      </c>
    </row>
    <row r="349" spans="1:8" x14ac:dyDescent="0.25">
      <c r="E349" t="str">
        <f>""</f>
        <v/>
      </c>
      <c r="F349" t="str">
        <f>""</f>
        <v/>
      </c>
      <c r="H349" t="str">
        <f>"NNA"</f>
        <v>NNA</v>
      </c>
    </row>
    <row r="350" spans="1:8" x14ac:dyDescent="0.25">
      <c r="E350" t="str">
        <f>""</f>
        <v/>
      </c>
      <c r="F350" t="str">
        <f>""</f>
        <v/>
      </c>
      <c r="H350" t="str">
        <f>"Banard"</f>
        <v>Banard</v>
      </c>
    </row>
    <row r="351" spans="1:8" x14ac:dyDescent="0.25">
      <c r="E351" t="str">
        <f>""</f>
        <v/>
      </c>
      <c r="F351" t="str">
        <f>""</f>
        <v/>
      </c>
      <c r="H351" t="str">
        <f>"RealPlace"</f>
        <v>RealPlace</v>
      </c>
    </row>
    <row r="352" spans="1:8" x14ac:dyDescent="0.25">
      <c r="A352" t="s">
        <v>94</v>
      </c>
      <c r="B352">
        <v>64</v>
      </c>
      <c r="C352" s="2">
        <v>263</v>
      </c>
      <c r="D352" s="1">
        <v>43507</v>
      </c>
      <c r="E352" t="str">
        <f>"201902067150"</f>
        <v>201902067150</v>
      </c>
      <c r="F352" t="str">
        <f>"STATEMENT 0574"</f>
        <v>STATEMENT 0574</v>
      </c>
      <c r="G352" s="2">
        <v>263</v>
      </c>
      <c r="H352" t="str">
        <f>"BAYMONT INN &amp; SUITES"</f>
        <v>BAYMONT INN &amp; SUITES</v>
      </c>
    </row>
    <row r="353" spans="1:8" x14ac:dyDescent="0.25">
      <c r="E353" t="str">
        <f>""</f>
        <v/>
      </c>
      <c r="F353" t="str">
        <f>""</f>
        <v/>
      </c>
      <c r="H353" t="str">
        <f>"INTEREST"</f>
        <v>INTEREST</v>
      </c>
    </row>
    <row r="354" spans="1:8" x14ac:dyDescent="0.25">
      <c r="A354" t="s">
        <v>95</v>
      </c>
      <c r="B354">
        <v>518</v>
      </c>
      <c r="C354" s="2">
        <v>43.23</v>
      </c>
      <c r="D354" s="1">
        <v>43523</v>
      </c>
      <c r="E354" t="str">
        <f>"QTV6996"</f>
        <v>QTV6996</v>
      </c>
      <c r="F354" t="str">
        <f>"Cables"</f>
        <v>Cables</v>
      </c>
      <c r="G354" s="2">
        <v>43.23</v>
      </c>
      <c r="H354" t="str">
        <f>"CDW Part:1429062"</f>
        <v>CDW Part:1429062</v>
      </c>
    </row>
    <row r="355" spans="1:8" x14ac:dyDescent="0.25">
      <c r="A355" t="s">
        <v>96</v>
      </c>
      <c r="B355">
        <v>439</v>
      </c>
      <c r="C355" s="2">
        <v>423</v>
      </c>
      <c r="D355" s="1">
        <v>43508</v>
      </c>
      <c r="E355" t="str">
        <f>"22930"</f>
        <v>22930</v>
      </c>
      <c r="F355" t="str">
        <f>"PARTS/PCT#3"</f>
        <v>PARTS/PCT#3</v>
      </c>
      <c r="G355" s="2">
        <v>73</v>
      </c>
      <c r="H355" t="str">
        <f>"PARTS/PCT#3"</f>
        <v>PARTS/PCT#3</v>
      </c>
    </row>
    <row r="356" spans="1:8" x14ac:dyDescent="0.25">
      <c r="E356" t="str">
        <f>"22934"</f>
        <v>22934</v>
      </c>
      <c r="F356" t="str">
        <f>"TOOL BOX/PCT#3"</f>
        <v>TOOL BOX/PCT#3</v>
      </c>
      <c r="G356" s="2">
        <v>350</v>
      </c>
      <c r="H356" t="str">
        <f>"TOOL BOX/PCT#3"</f>
        <v>TOOL BOX/PCT#3</v>
      </c>
    </row>
    <row r="357" spans="1:8" x14ac:dyDescent="0.25">
      <c r="A357" t="s">
        <v>97</v>
      </c>
      <c r="B357">
        <v>81213</v>
      </c>
      <c r="C357" s="2">
        <v>3066.94</v>
      </c>
      <c r="D357" s="1">
        <v>43523</v>
      </c>
      <c r="E357" t="str">
        <f>"201902277528"</f>
        <v>201902277528</v>
      </c>
      <c r="F357" t="str">
        <f>"ACCT#8000081165-5 / 02192019"</f>
        <v>ACCT#8000081165-5 / 02192019</v>
      </c>
      <c r="G357" s="2">
        <v>3066.94</v>
      </c>
      <c r="H357" t="str">
        <f>"ACCT#8000081165-5 / 02192019"</f>
        <v>ACCT#8000081165-5 / 02192019</v>
      </c>
    </row>
    <row r="358" spans="1:8" x14ac:dyDescent="0.25">
      <c r="E358" t="str">
        <f>""</f>
        <v/>
      </c>
      <c r="F358" t="str">
        <f>""</f>
        <v/>
      </c>
      <c r="H358" t="str">
        <f>"ACCT#8000081165-5 / 02192019"</f>
        <v>ACCT#8000081165-5 / 02192019</v>
      </c>
    </row>
    <row r="359" spans="1:8" x14ac:dyDescent="0.25">
      <c r="A359" t="s">
        <v>98</v>
      </c>
      <c r="B359">
        <v>80848</v>
      </c>
      <c r="C359" s="2">
        <v>195</v>
      </c>
      <c r="D359" s="1">
        <v>43507</v>
      </c>
      <c r="E359" t="str">
        <f>"BC2#019"</f>
        <v>BC2#019</v>
      </c>
      <c r="F359" t="str">
        <f>"RENTAL DATES JAN28-FEB28/PCT#2"</f>
        <v>RENTAL DATES JAN28-FEB28/PCT#2</v>
      </c>
      <c r="G359" s="2">
        <v>195</v>
      </c>
      <c r="H359" t="str">
        <f>"RENTAL DATES JAN28-FEB28/PCT#2"</f>
        <v>RENTAL DATES JAN28-FEB28/PCT#2</v>
      </c>
    </row>
    <row r="360" spans="1:8" x14ac:dyDescent="0.25">
      <c r="A360" t="s">
        <v>99</v>
      </c>
      <c r="B360">
        <v>80849</v>
      </c>
      <c r="C360" s="2">
        <v>2100</v>
      </c>
      <c r="D360" s="1">
        <v>43507</v>
      </c>
      <c r="E360" t="str">
        <f>"12620"</f>
        <v>12620</v>
      </c>
      <c r="F360" t="str">
        <f>"CTA 415-18 R. JEFFERSON"</f>
        <v>CTA 415-18 R. JEFFERSON</v>
      </c>
      <c r="G360" s="2">
        <v>2100</v>
      </c>
      <c r="H360" t="str">
        <f>"CTA 415-18 R. JEFFERSON"</f>
        <v>CTA 415-18 R. JEFFERSON</v>
      </c>
    </row>
    <row r="361" spans="1:8" x14ac:dyDescent="0.25">
      <c r="A361" t="s">
        <v>100</v>
      </c>
      <c r="B361">
        <v>81073</v>
      </c>
      <c r="C361" s="2">
        <v>475</v>
      </c>
      <c r="D361" s="1">
        <v>43522</v>
      </c>
      <c r="E361" t="str">
        <f>"2019-01"</f>
        <v>2019-01</v>
      </c>
      <c r="F361" t="str">
        <f>"2019 ANNUAL SPONSORSHIP DUES"</f>
        <v>2019 ANNUAL SPONSORSHIP DUES</v>
      </c>
      <c r="G361" s="2">
        <v>475</v>
      </c>
      <c r="H361" t="str">
        <f>"2019 ANNUAL SPONSORSHIP DUES"</f>
        <v>2019 ANNUAL SPONSORSHIP DUES</v>
      </c>
    </row>
    <row r="362" spans="1:8" x14ac:dyDescent="0.25">
      <c r="A362" t="s">
        <v>101</v>
      </c>
      <c r="B362">
        <v>80850</v>
      </c>
      <c r="C362" s="2">
        <v>705</v>
      </c>
      <c r="D362" s="1">
        <v>43507</v>
      </c>
      <c r="E362" t="str">
        <f>"201902016992"</f>
        <v>201902016992</v>
      </c>
      <c r="F362" t="str">
        <f>"17-18764"</f>
        <v>17-18764</v>
      </c>
      <c r="G362" s="2">
        <v>100</v>
      </c>
      <c r="H362" t="str">
        <f>"17-18764"</f>
        <v>17-18764</v>
      </c>
    </row>
    <row r="363" spans="1:8" x14ac:dyDescent="0.25">
      <c r="E363" t="str">
        <f>"201902016993"</f>
        <v>201902016993</v>
      </c>
      <c r="F363" t="str">
        <f>"18-19321"</f>
        <v>18-19321</v>
      </c>
      <c r="G363" s="2">
        <v>100</v>
      </c>
      <c r="H363" t="str">
        <f>"18-19321"</f>
        <v>18-19321</v>
      </c>
    </row>
    <row r="364" spans="1:8" x14ac:dyDescent="0.25">
      <c r="E364" t="str">
        <f>"201902016994"</f>
        <v>201902016994</v>
      </c>
      <c r="F364" t="str">
        <f>"18-18966"</f>
        <v>18-18966</v>
      </c>
      <c r="G364" s="2">
        <v>100</v>
      </c>
      <c r="H364" t="str">
        <f>"18-18966"</f>
        <v>18-18966</v>
      </c>
    </row>
    <row r="365" spans="1:8" x14ac:dyDescent="0.25">
      <c r="E365" t="str">
        <f>"201902016995"</f>
        <v>201902016995</v>
      </c>
      <c r="F365" t="str">
        <f>"17-18765"</f>
        <v>17-18765</v>
      </c>
      <c r="G365" s="2">
        <v>130</v>
      </c>
      <c r="H365" t="str">
        <f>"17-18765"</f>
        <v>17-18765</v>
      </c>
    </row>
    <row r="366" spans="1:8" x14ac:dyDescent="0.25">
      <c r="E366" t="str">
        <f>"201902016996"</f>
        <v>201902016996</v>
      </c>
      <c r="F366" t="str">
        <f>"18-18960"</f>
        <v>18-18960</v>
      </c>
      <c r="G366" s="2">
        <v>100</v>
      </c>
      <c r="H366" t="str">
        <f>"18-18960"</f>
        <v>18-18960</v>
      </c>
    </row>
    <row r="367" spans="1:8" x14ac:dyDescent="0.25">
      <c r="E367" t="str">
        <f>"201902016997"</f>
        <v>201902016997</v>
      </c>
      <c r="F367" t="str">
        <f>"19-19414"</f>
        <v>19-19414</v>
      </c>
      <c r="G367" s="2">
        <v>175</v>
      </c>
      <c r="H367" t="str">
        <f>"19-19414"</f>
        <v>19-19414</v>
      </c>
    </row>
    <row r="368" spans="1:8" x14ac:dyDescent="0.25">
      <c r="A368" t="s">
        <v>101</v>
      </c>
      <c r="B368">
        <v>81074</v>
      </c>
      <c r="C368" s="2">
        <v>625</v>
      </c>
      <c r="D368" s="1">
        <v>43522</v>
      </c>
      <c r="E368" t="str">
        <f>"201902127374"</f>
        <v>201902127374</v>
      </c>
      <c r="F368" t="str">
        <f>"56 337"</f>
        <v>56 337</v>
      </c>
      <c r="G368" s="2">
        <v>250</v>
      </c>
      <c r="H368" t="str">
        <f>"56 337"</f>
        <v>56 337</v>
      </c>
    </row>
    <row r="369" spans="1:8" x14ac:dyDescent="0.25">
      <c r="E369" t="str">
        <f>"201902127375"</f>
        <v>201902127375</v>
      </c>
      <c r="F369" t="str">
        <f>"56 340"</f>
        <v>56 340</v>
      </c>
      <c r="G369" s="2">
        <v>250</v>
      </c>
      <c r="H369" t="str">
        <f>"56 340"</f>
        <v>56 340</v>
      </c>
    </row>
    <row r="370" spans="1:8" x14ac:dyDescent="0.25">
      <c r="E370" t="str">
        <f>"201902127376"</f>
        <v>201902127376</v>
      </c>
      <c r="F370" t="str">
        <f>"56 440"</f>
        <v>56 440</v>
      </c>
      <c r="G370" s="2">
        <v>125</v>
      </c>
      <c r="H370" t="str">
        <f>"56 440"</f>
        <v>56 440</v>
      </c>
    </row>
    <row r="371" spans="1:8" x14ac:dyDescent="0.25">
      <c r="A371" t="s">
        <v>102</v>
      </c>
      <c r="B371">
        <v>80851</v>
      </c>
      <c r="C371" s="2">
        <v>265</v>
      </c>
      <c r="D371" s="1">
        <v>43507</v>
      </c>
      <c r="E371" t="str">
        <f>"201902067165"</f>
        <v>201902067165</v>
      </c>
      <c r="F371" t="str">
        <f>"FERAL HOGS"</f>
        <v>FERAL HOGS</v>
      </c>
      <c r="G371" s="2">
        <v>265</v>
      </c>
      <c r="H371" t="str">
        <f>"FERAL HOGS"</f>
        <v>FERAL HOGS</v>
      </c>
    </row>
    <row r="372" spans="1:8" x14ac:dyDescent="0.25">
      <c r="A372" t="s">
        <v>103</v>
      </c>
      <c r="B372">
        <v>511</v>
      </c>
      <c r="C372" s="2">
        <v>2445</v>
      </c>
      <c r="D372" s="1">
        <v>43523</v>
      </c>
      <c r="E372" t="str">
        <f>"0183611-IN"</f>
        <v>0183611-IN</v>
      </c>
      <c r="F372" t="str">
        <f>"INV 0183611-IN"</f>
        <v>INV 0183611-IN</v>
      </c>
      <c r="G372" s="2">
        <v>2445</v>
      </c>
      <c r="H372" t="str">
        <f>"INV 0183611-IN"</f>
        <v>INV 0183611-IN</v>
      </c>
    </row>
    <row r="373" spans="1:8" x14ac:dyDescent="0.25">
      <c r="A373" t="s">
        <v>104</v>
      </c>
      <c r="B373">
        <v>466</v>
      </c>
      <c r="C373" s="2">
        <v>1931.88</v>
      </c>
      <c r="D373" s="1">
        <v>43508</v>
      </c>
      <c r="E373" t="str">
        <f>"201901296836"</f>
        <v>201901296836</v>
      </c>
      <c r="F373" t="str">
        <f>"J-"</f>
        <v>J-</v>
      </c>
      <c r="G373" s="2">
        <v>100</v>
      </c>
      <c r="H373" t="str">
        <f>"J-"</f>
        <v>J-</v>
      </c>
    </row>
    <row r="374" spans="1:8" x14ac:dyDescent="0.25">
      <c r="E374" t="str">
        <f>"201901296842"</f>
        <v>201901296842</v>
      </c>
      <c r="F374" t="str">
        <f>"19-19418"</f>
        <v>19-19418</v>
      </c>
      <c r="G374" s="2">
        <v>100</v>
      </c>
      <c r="H374" t="str">
        <f>"19-19418"</f>
        <v>19-19418</v>
      </c>
    </row>
    <row r="375" spans="1:8" x14ac:dyDescent="0.25">
      <c r="E375" t="str">
        <f>"201901296843"</f>
        <v>201901296843</v>
      </c>
      <c r="F375" t="str">
        <f>"18-18995"</f>
        <v>18-18995</v>
      </c>
      <c r="G375" s="2">
        <v>100</v>
      </c>
      <c r="H375" t="str">
        <f>"18-18995"</f>
        <v>18-18995</v>
      </c>
    </row>
    <row r="376" spans="1:8" x14ac:dyDescent="0.25">
      <c r="E376" t="str">
        <f>"201901296844"</f>
        <v>201901296844</v>
      </c>
      <c r="F376" t="str">
        <f>"18-18996"</f>
        <v>18-18996</v>
      </c>
      <c r="G376" s="2">
        <v>100</v>
      </c>
      <c r="H376" t="str">
        <f>"18-18996"</f>
        <v>18-18996</v>
      </c>
    </row>
    <row r="377" spans="1:8" x14ac:dyDescent="0.25">
      <c r="E377" t="str">
        <f>"201901296845"</f>
        <v>201901296845</v>
      </c>
      <c r="F377" t="str">
        <f>"17-18764"</f>
        <v>17-18764</v>
      </c>
      <c r="G377" s="2">
        <v>100</v>
      </c>
      <c r="H377" t="str">
        <f>"17-18764"</f>
        <v>17-18764</v>
      </c>
    </row>
    <row r="378" spans="1:8" x14ac:dyDescent="0.25">
      <c r="E378" t="str">
        <f>"201901306915"</f>
        <v>201901306915</v>
      </c>
      <c r="F378" t="str">
        <f>"16 360"</f>
        <v>16 360</v>
      </c>
      <c r="G378" s="2">
        <v>400</v>
      </c>
      <c r="H378" t="str">
        <f>"16 360"</f>
        <v>16 360</v>
      </c>
    </row>
    <row r="379" spans="1:8" x14ac:dyDescent="0.25">
      <c r="E379" t="str">
        <f>"201901316961"</f>
        <v>201901316961</v>
      </c>
      <c r="F379" t="str">
        <f>"15 785  16 304"</f>
        <v>15 785  16 304</v>
      </c>
      <c r="G379" s="2">
        <v>600</v>
      </c>
      <c r="H379" t="str">
        <f>"15 785  16 304"</f>
        <v>15 785  16 304</v>
      </c>
    </row>
    <row r="380" spans="1:8" x14ac:dyDescent="0.25">
      <c r="E380" t="str">
        <f>"201902057141"</f>
        <v>201902057141</v>
      </c>
      <c r="F380" t="str">
        <f>"REIMBURSE-OUT OF POCKET EXPENS"</f>
        <v>REIMBURSE-OUT OF POCKET EXPENS</v>
      </c>
      <c r="G380" s="2">
        <v>431.88</v>
      </c>
      <c r="H380" t="str">
        <f>"REIMBURSE-OUT OF POCKET EXPENS"</f>
        <v>REIMBURSE-OUT OF POCKET EXPENS</v>
      </c>
    </row>
    <row r="381" spans="1:8" x14ac:dyDescent="0.25">
      <c r="A381" t="s">
        <v>104</v>
      </c>
      <c r="B381">
        <v>524</v>
      </c>
      <c r="C381" s="2">
        <v>4150</v>
      </c>
      <c r="D381" s="1">
        <v>43523</v>
      </c>
      <c r="E381" t="str">
        <f>"201902127360"</f>
        <v>201902127360</v>
      </c>
      <c r="F381" t="str">
        <f>"16 448  16 449"</f>
        <v>16 448  16 449</v>
      </c>
      <c r="G381" s="2">
        <v>3700</v>
      </c>
      <c r="H381" t="str">
        <f>"16 448  16 449"</f>
        <v>16 448  16 449</v>
      </c>
    </row>
    <row r="382" spans="1:8" x14ac:dyDescent="0.25">
      <c r="E382" t="str">
        <f>"201902127387"</f>
        <v>201902127387</v>
      </c>
      <c r="F382" t="str">
        <f>"56 161"</f>
        <v>56 161</v>
      </c>
      <c r="G382" s="2">
        <v>250</v>
      </c>
      <c r="H382" t="str">
        <f>"56 161"</f>
        <v>56 161</v>
      </c>
    </row>
    <row r="383" spans="1:8" x14ac:dyDescent="0.25">
      <c r="E383" t="str">
        <f>"201902127402"</f>
        <v>201902127402</v>
      </c>
      <c r="F383" t="str">
        <f>"18-19365"</f>
        <v>18-19365</v>
      </c>
      <c r="G383" s="2">
        <v>100</v>
      </c>
      <c r="H383" t="str">
        <f>"18-19365"</f>
        <v>18-19365</v>
      </c>
    </row>
    <row r="384" spans="1:8" x14ac:dyDescent="0.25">
      <c r="E384" t="str">
        <f>"201902127403"</f>
        <v>201902127403</v>
      </c>
      <c r="F384" t="str">
        <f>"18-19305"</f>
        <v>18-19305</v>
      </c>
      <c r="G384" s="2">
        <v>100</v>
      </c>
      <c r="H384" t="str">
        <f>"18-19305"</f>
        <v>18-19305</v>
      </c>
    </row>
    <row r="385" spans="1:9" x14ac:dyDescent="0.25">
      <c r="A385" t="s">
        <v>105</v>
      </c>
      <c r="B385">
        <v>81075</v>
      </c>
      <c r="C385" s="2">
        <v>117.16</v>
      </c>
      <c r="D385" s="1">
        <v>43522</v>
      </c>
      <c r="E385" t="str">
        <f>"5012864899"</f>
        <v>5012864899</v>
      </c>
      <c r="F385" t="str">
        <f>"CUST#0011167190/PCT#1"</f>
        <v>CUST#0011167190/PCT#1</v>
      </c>
      <c r="G385" s="2">
        <v>117.16</v>
      </c>
      <c r="H385" t="str">
        <f>"CUST#0011167190/PCT#1"</f>
        <v>CUST#0011167190/PCT#1</v>
      </c>
    </row>
    <row r="386" spans="1:9" x14ac:dyDescent="0.25">
      <c r="A386" t="s">
        <v>106</v>
      </c>
      <c r="B386">
        <v>80852</v>
      </c>
      <c r="C386" s="2">
        <v>337.8</v>
      </c>
      <c r="D386" s="1">
        <v>43507</v>
      </c>
      <c r="E386" t="str">
        <f>"8403995583"</f>
        <v>8403995583</v>
      </c>
      <c r="F386" t="str">
        <f>"CUST#10377368/PCT#3"</f>
        <v>CUST#10377368/PCT#3</v>
      </c>
      <c r="G386" s="2">
        <v>337.8</v>
      </c>
      <c r="H386" t="str">
        <f>"CUST#10377368/PCT#3"</f>
        <v>CUST#10377368/PCT#3</v>
      </c>
    </row>
    <row r="387" spans="1:9" x14ac:dyDescent="0.25">
      <c r="A387" t="s">
        <v>107</v>
      </c>
      <c r="B387">
        <v>80853</v>
      </c>
      <c r="C387" s="2">
        <v>183.28</v>
      </c>
      <c r="D387" s="1">
        <v>43507</v>
      </c>
      <c r="E387" t="str">
        <f>"201902057138"</f>
        <v>201902057138</v>
      </c>
      <c r="F387" t="str">
        <f>"PAYER#14108463/ANIMAL SHELTER"</f>
        <v>PAYER#14108463/ANIMAL SHELTER</v>
      </c>
      <c r="G387" s="2">
        <v>183.28</v>
      </c>
      <c r="H387" t="str">
        <f>"PAYER#14108463/ANIMAL SHELTER"</f>
        <v>PAYER#14108463/ANIMAL SHELTER</v>
      </c>
    </row>
    <row r="388" spans="1:9" x14ac:dyDescent="0.25">
      <c r="A388" t="s">
        <v>107</v>
      </c>
      <c r="B388">
        <v>81076</v>
      </c>
      <c r="C388" s="2">
        <v>4528.46</v>
      </c>
      <c r="D388" s="1">
        <v>43522</v>
      </c>
      <c r="E388" t="str">
        <f>"201902137415"</f>
        <v>201902137415</v>
      </c>
      <c r="F388" t="str">
        <f>"PAYER#14108375/GEN SVCS"</f>
        <v>PAYER#14108375/GEN SVCS</v>
      </c>
      <c r="G388" s="2">
        <v>802.5</v>
      </c>
      <c r="H388" t="str">
        <f>"PAYER#14108375/GEN SVCS"</f>
        <v>PAYER#14108375/GEN SVCS</v>
      </c>
    </row>
    <row r="389" spans="1:9" x14ac:dyDescent="0.25">
      <c r="E389" t="str">
        <f>"201902137416"</f>
        <v>201902137416</v>
      </c>
      <c r="F389" t="str">
        <f>"PAYER#13229945/GEN SVCS"</f>
        <v>PAYER#13229945/GEN SVCS</v>
      </c>
      <c r="G389" s="2">
        <v>655.92</v>
      </c>
      <c r="H389" t="str">
        <f>"PAYER#13229945/GEN SVCS"</f>
        <v>PAYER#13229945/GEN SVCS</v>
      </c>
    </row>
    <row r="390" spans="1:9" x14ac:dyDescent="0.25">
      <c r="E390" t="str">
        <f>"201902137422"</f>
        <v>201902137422</v>
      </c>
      <c r="F390" t="str">
        <f>"PAYER#14108431"</f>
        <v>PAYER#14108431</v>
      </c>
      <c r="G390" s="2">
        <v>48.68</v>
      </c>
      <c r="H390" t="str">
        <f>"PAYER#14108431"</f>
        <v>PAYER#14108431</v>
      </c>
    </row>
    <row r="391" spans="1:9" x14ac:dyDescent="0.25">
      <c r="E391" t="str">
        <f>"201902137426"</f>
        <v>201902137426</v>
      </c>
      <c r="F391" t="str">
        <f>"PAYER#14108431/PCT#1"</f>
        <v>PAYER#14108431/PCT#1</v>
      </c>
      <c r="G391" s="2">
        <v>602.59</v>
      </c>
      <c r="H391" t="str">
        <f>"PAYER#14108431/PCT#1"</f>
        <v>PAYER#14108431/PCT#1</v>
      </c>
    </row>
    <row r="392" spans="1:9" x14ac:dyDescent="0.25">
      <c r="E392" t="str">
        <f>"201902137428"</f>
        <v>201902137428</v>
      </c>
      <c r="F392" t="str">
        <f>"PAYER#14108367/PCT#2"</f>
        <v>PAYER#14108367/PCT#2</v>
      </c>
      <c r="G392" s="2">
        <v>879.55</v>
      </c>
      <c r="H392" t="str">
        <f>"PAYER#14108367/PCT#2"</f>
        <v>PAYER#14108367/PCT#2</v>
      </c>
    </row>
    <row r="393" spans="1:9" x14ac:dyDescent="0.25">
      <c r="E393" t="str">
        <f>"201902137432"</f>
        <v>201902137432</v>
      </c>
      <c r="F393" t="str">
        <f>"PAYER#14108430/PCT#4"</f>
        <v>PAYER#14108430/PCT#4</v>
      </c>
      <c r="G393" s="2">
        <v>1539.22</v>
      </c>
      <c r="H393" t="str">
        <f>"PAYER#14108430/PCT#4"</f>
        <v>PAYER#14108430/PCT#4</v>
      </c>
    </row>
    <row r="394" spans="1:9" x14ac:dyDescent="0.25">
      <c r="A394" t="s">
        <v>108</v>
      </c>
      <c r="B394">
        <v>80806</v>
      </c>
      <c r="C394" s="2">
        <v>36336.97</v>
      </c>
      <c r="D394" s="1">
        <v>43502</v>
      </c>
      <c r="E394" t="str">
        <f>"201902067209"</f>
        <v>201902067209</v>
      </c>
      <c r="F394" t="str">
        <f>"ACCT#02-2083-04 / 01292019"</f>
        <v>ACCT#02-2083-04 / 01292019</v>
      </c>
      <c r="G394" s="2">
        <v>544.19000000000005</v>
      </c>
      <c r="H394" t="str">
        <f>"ACCT#02-2083-04 / 01292019"</f>
        <v>ACCT#02-2083-04 / 01292019</v>
      </c>
    </row>
    <row r="395" spans="1:9" x14ac:dyDescent="0.25">
      <c r="E395" t="str">
        <f>"201902067210"</f>
        <v>201902067210</v>
      </c>
      <c r="F395" t="str">
        <f>"CTY DEV CTR - 01292019"</f>
        <v>CTY DEV CTR - 01292019</v>
      </c>
      <c r="G395" s="2">
        <v>1866.27</v>
      </c>
      <c r="H395" t="str">
        <f>"CTY DEV CTR - 01292019"</f>
        <v>CTY DEV CTR - 01292019</v>
      </c>
    </row>
    <row r="396" spans="1:9" x14ac:dyDescent="0.25">
      <c r="E396" t="str">
        <f>"201902067211"</f>
        <v>201902067211</v>
      </c>
      <c r="F396" t="str">
        <f>"LAW CENTER - 01292019"</f>
        <v>LAW CENTER - 01292019</v>
      </c>
      <c r="G396" s="2">
        <v>20359.63</v>
      </c>
      <c r="H396" t="str">
        <f>"LAW CENTER - 01292019"</f>
        <v>LAW CENTER - 01292019</v>
      </c>
    </row>
    <row r="397" spans="1:9" x14ac:dyDescent="0.25">
      <c r="E397" t="str">
        <f>"201902067212"</f>
        <v>201902067212</v>
      </c>
      <c r="F397" t="str">
        <f>"COUNTY COURTHOUSE - 01292018"</f>
        <v>COUNTY COURTHOUSE - 01292018</v>
      </c>
      <c r="G397" s="2">
        <v>13566.88</v>
      </c>
      <c r="H397" t="str">
        <f>"COUNTY COURTHOUSE - 01292018"</f>
        <v>COUNTY COURTHOUSE - 01292018</v>
      </c>
    </row>
    <row r="398" spans="1:9" x14ac:dyDescent="0.25">
      <c r="A398" t="s">
        <v>108</v>
      </c>
      <c r="B398">
        <v>81077</v>
      </c>
      <c r="C398" s="2">
        <v>800</v>
      </c>
      <c r="D398" s="1">
        <v>43522</v>
      </c>
      <c r="E398" t="s">
        <v>109</v>
      </c>
      <c r="F398" t="s">
        <v>110</v>
      </c>
      <c r="G398" s="2" t="str">
        <f>"RESTITUTION-A.M. LAWRENCE"</f>
        <v>RESTITUTION-A.M. LAWRENCE</v>
      </c>
      <c r="H398" t="str">
        <f>"210-0000"</f>
        <v>210-0000</v>
      </c>
      <c r="I398" t="str">
        <f>""</f>
        <v/>
      </c>
    </row>
    <row r="399" spans="1:9" x14ac:dyDescent="0.25">
      <c r="E399" t="str">
        <f>"201902137412"</f>
        <v>201902137412</v>
      </c>
      <c r="F399" t="str">
        <f>"RENTAL-PARKING LOT"</f>
        <v>RENTAL-PARKING LOT</v>
      </c>
      <c r="G399" s="2">
        <v>750</v>
      </c>
      <c r="H399" t="str">
        <f>"RENTAL-PARKING LOT"</f>
        <v>RENTAL-PARKING LOT</v>
      </c>
    </row>
    <row r="400" spans="1:9" x14ac:dyDescent="0.25">
      <c r="A400" t="s">
        <v>111</v>
      </c>
      <c r="B400">
        <v>80854</v>
      </c>
      <c r="C400" s="2">
        <v>85</v>
      </c>
      <c r="D400" s="1">
        <v>43507</v>
      </c>
      <c r="E400" t="str">
        <f>"201902067166"</f>
        <v>201902067166</v>
      </c>
      <c r="F400" t="str">
        <f>"FERAL HOGS"</f>
        <v>FERAL HOGS</v>
      </c>
      <c r="G400" s="2">
        <v>85</v>
      </c>
      <c r="H400" t="str">
        <f>"FERAL HOGS"</f>
        <v>FERAL HOGS</v>
      </c>
    </row>
    <row r="401" spans="1:8" x14ac:dyDescent="0.25">
      <c r="A401" t="s">
        <v>112</v>
      </c>
      <c r="B401">
        <v>80855</v>
      </c>
      <c r="C401" s="2">
        <v>25</v>
      </c>
      <c r="D401" s="1">
        <v>43507</v>
      </c>
      <c r="E401" t="str">
        <f>"201902067167"</f>
        <v>201902067167</v>
      </c>
      <c r="F401" t="str">
        <f>"FERAL HOGS"</f>
        <v>FERAL HOGS</v>
      </c>
      <c r="G401" s="2">
        <v>25</v>
      </c>
      <c r="H401" t="str">
        <f>"FERAL HOGS"</f>
        <v>FERAL HOGS</v>
      </c>
    </row>
    <row r="402" spans="1:8" x14ac:dyDescent="0.25">
      <c r="A402" t="s">
        <v>113</v>
      </c>
      <c r="B402">
        <v>438</v>
      </c>
      <c r="C402" s="2">
        <v>274.52</v>
      </c>
      <c r="D402" s="1">
        <v>43508</v>
      </c>
      <c r="E402" t="str">
        <f>"201902057102"</f>
        <v>201902057102</v>
      </c>
      <c r="F402" t="str">
        <f>"INDIGENT HEALTH"</f>
        <v>INDIGENT HEALTH</v>
      </c>
      <c r="G402" s="2">
        <v>274.52</v>
      </c>
      <c r="H402" t="str">
        <f>"INDIGENT HEALTH"</f>
        <v>INDIGENT HEALTH</v>
      </c>
    </row>
    <row r="403" spans="1:8" x14ac:dyDescent="0.25">
      <c r="E403" t="str">
        <f>""</f>
        <v/>
      </c>
      <c r="F403" t="str">
        <f>""</f>
        <v/>
      </c>
      <c r="H403" t="str">
        <f>"INDIGENT HEALTH"</f>
        <v>INDIGENT HEALTH</v>
      </c>
    </row>
    <row r="404" spans="1:8" x14ac:dyDescent="0.25">
      <c r="A404" t="s">
        <v>113</v>
      </c>
      <c r="B404">
        <v>499</v>
      </c>
      <c r="C404" s="2">
        <v>143.61000000000001</v>
      </c>
      <c r="D404" s="1">
        <v>43523</v>
      </c>
      <c r="E404" t="str">
        <f>"201901-0"</f>
        <v>201901-0</v>
      </c>
      <c r="F404" t="str">
        <f>"INV 201901-0"</f>
        <v>INV 201901-0</v>
      </c>
      <c r="G404" s="2">
        <v>143.61000000000001</v>
      </c>
      <c r="H404" t="str">
        <f>"INV 201901-0"</f>
        <v>INV 201901-0</v>
      </c>
    </row>
    <row r="405" spans="1:8" x14ac:dyDescent="0.25">
      <c r="E405" t="str">
        <f>""</f>
        <v/>
      </c>
      <c r="F405" t="str">
        <f>""</f>
        <v/>
      </c>
      <c r="H405" t="str">
        <f>"INV 201901-0"</f>
        <v>INV 201901-0</v>
      </c>
    </row>
    <row r="406" spans="1:8" x14ac:dyDescent="0.25">
      <c r="A406" t="s">
        <v>114</v>
      </c>
      <c r="B406">
        <v>81078</v>
      </c>
      <c r="C406" s="2">
        <v>29.67</v>
      </c>
      <c r="D406" s="1">
        <v>43522</v>
      </c>
      <c r="E406" t="str">
        <f>"201902157453"</f>
        <v>201902157453</v>
      </c>
      <c r="F406" t="str">
        <f>"INDIGENT HEALTH"</f>
        <v>INDIGENT HEALTH</v>
      </c>
      <c r="G406" s="2">
        <v>29.67</v>
      </c>
      <c r="H406" t="str">
        <f>"INDIGENT HEALTH"</f>
        <v>INDIGENT HEALTH</v>
      </c>
    </row>
    <row r="407" spans="1:8" x14ac:dyDescent="0.25">
      <c r="A407" t="s">
        <v>115</v>
      </c>
      <c r="B407">
        <v>80856</v>
      </c>
      <c r="C407" s="2">
        <v>75</v>
      </c>
      <c r="D407" s="1">
        <v>43507</v>
      </c>
      <c r="E407" t="str">
        <f>"12701"</f>
        <v>12701</v>
      </c>
      <c r="F407" t="str">
        <f>"SERVICE"</f>
        <v>SERVICE</v>
      </c>
      <c r="G407" s="2">
        <v>75</v>
      </c>
      <c r="H407" t="str">
        <f>"SERVICE"</f>
        <v>SERVICE</v>
      </c>
    </row>
    <row r="408" spans="1:8" x14ac:dyDescent="0.25">
      <c r="A408" t="s">
        <v>116</v>
      </c>
      <c r="B408">
        <v>80857</v>
      </c>
      <c r="C408" s="2">
        <v>500</v>
      </c>
      <c r="D408" s="1">
        <v>43507</v>
      </c>
      <c r="E408" t="str">
        <f>"BSD20190111"</f>
        <v>BSD20190111</v>
      </c>
      <c r="F408" t="str">
        <f>"BSD20190111"</f>
        <v>BSD20190111</v>
      </c>
      <c r="G408" s="2">
        <v>500</v>
      </c>
      <c r="H408" t="str">
        <f>"BSD20190111"</f>
        <v>BSD20190111</v>
      </c>
    </row>
    <row r="409" spans="1:8" x14ac:dyDescent="0.25">
      <c r="A409" t="s">
        <v>117</v>
      </c>
      <c r="B409">
        <v>81079</v>
      </c>
      <c r="C409" s="2">
        <v>124.53</v>
      </c>
      <c r="D409" s="1">
        <v>43522</v>
      </c>
      <c r="E409" t="str">
        <f>"201902227497"</f>
        <v>201902227497</v>
      </c>
      <c r="F409" t="str">
        <f>"MILEAGE REIMBURSEMENT"</f>
        <v>MILEAGE REIMBURSEMENT</v>
      </c>
      <c r="G409" s="2">
        <v>124.53</v>
      </c>
    </row>
    <row r="410" spans="1:8" x14ac:dyDescent="0.25">
      <c r="A410" t="s">
        <v>118</v>
      </c>
      <c r="B410">
        <v>80858</v>
      </c>
      <c r="C410" s="2">
        <v>961.97</v>
      </c>
      <c r="D410" s="1">
        <v>43507</v>
      </c>
      <c r="E410" t="str">
        <f>"17897127"</f>
        <v>17897127</v>
      </c>
      <c r="F410" t="str">
        <f>"ACCT#434304/PCT#4"</f>
        <v>ACCT#434304/PCT#4</v>
      </c>
      <c r="G410" s="2">
        <v>961.97</v>
      </c>
      <c r="H410" t="str">
        <f>"ACCT#434304/PCT#4"</f>
        <v>ACCT#434304/PCT#4</v>
      </c>
    </row>
    <row r="411" spans="1:8" x14ac:dyDescent="0.25">
      <c r="A411" t="s">
        <v>118</v>
      </c>
      <c r="B411">
        <v>81080</v>
      </c>
      <c r="C411" s="2">
        <v>1987.2</v>
      </c>
      <c r="D411" s="1">
        <v>43522</v>
      </c>
      <c r="E411" t="str">
        <f>"17970031"</f>
        <v>17970031</v>
      </c>
      <c r="F411" t="str">
        <f>"ACCT#434304/PCT#4"</f>
        <v>ACCT#434304/PCT#4</v>
      </c>
      <c r="G411" s="2">
        <v>1987.2</v>
      </c>
      <c r="H411" t="str">
        <f>"ACCT#434304/PCT#4"</f>
        <v>ACCT#434304/PCT#4</v>
      </c>
    </row>
    <row r="412" spans="1:8" x14ac:dyDescent="0.25">
      <c r="A412" t="s">
        <v>119</v>
      </c>
      <c r="B412">
        <v>498</v>
      </c>
      <c r="C412" s="2">
        <v>19099.349999999999</v>
      </c>
      <c r="D412" s="1">
        <v>43523</v>
      </c>
      <c r="E412" t="str">
        <f>"201902157446"</f>
        <v>201902157446</v>
      </c>
      <c r="F412" t="str">
        <f>"COOPER EQUIPMENT CO."</f>
        <v>COOPER EQUIPMENT CO.</v>
      </c>
      <c r="G412" s="2">
        <v>18877.73</v>
      </c>
      <c r="H412" t="str">
        <f>"SHREDDER REPAIR"</f>
        <v>SHREDDER REPAIR</v>
      </c>
    </row>
    <row r="413" spans="1:8" x14ac:dyDescent="0.25">
      <c r="E413" t="str">
        <f>"WS19047"</f>
        <v>WS19047</v>
      </c>
      <c r="F413" t="str">
        <f>"ACCT#353/PCT#3"</f>
        <v>ACCT#353/PCT#3</v>
      </c>
      <c r="G413" s="2">
        <v>221.62</v>
      </c>
      <c r="H413" t="str">
        <f>"ACCT#353/PCT#3"</f>
        <v>ACCT#353/PCT#3</v>
      </c>
    </row>
    <row r="414" spans="1:8" x14ac:dyDescent="0.25">
      <c r="A414" t="s">
        <v>120</v>
      </c>
      <c r="B414">
        <v>80839</v>
      </c>
      <c r="C414" s="2">
        <v>225</v>
      </c>
      <c r="D414" s="1">
        <v>43507</v>
      </c>
      <c r="E414" t="str">
        <f>"12749"</f>
        <v>12749</v>
      </c>
      <c r="F414" t="str">
        <f>"SERVICE"</f>
        <v>SERVICE</v>
      </c>
      <c r="G414" s="2">
        <v>150</v>
      </c>
      <c r="H414" t="str">
        <f>"SERVICE"</f>
        <v>SERVICE</v>
      </c>
    </row>
    <row r="415" spans="1:8" x14ac:dyDescent="0.25">
      <c r="E415" t="str">
        <f>"13106"</f>
        <v>13106</v>
      </c>
      <c r="F415" t="str">
        <f>"SERVICE"</f>
        <v>SERVICE</v>
      </c>
      <c r="G415" s="2">
        <v>75</v>
      </c>
      <c r="H415" t="str">
        <f>"SERVICE"</f>
        <v>SERVICE</v>
      </c>
    </row>
    <row r="416" spans="1:8" x14ac:dyDescent="0.25">
      <c r="A416" t="s">
        <v>121</v>
      </c>
      <c r="B416">
        <v>81081</v>
      </c>
      <c r="C416" s="2">
        <v>500</v>
      </c>
      <c r="D416" s="1">
        <v>43522</v>
      </c>
      <c r="E416" t="str">
        <f>"201902227519"</f>
        <v>201902227519</v>
      </c>
      <c r="F416" t="str">
        <f>"FEBRUARY INVOICE"</f>
        <v>FEBRUARY INVOICE</v>
      </c>
      <c r="G416" s="2">
        <v>500</v>
      </c>
      <c r="H416" t="str">
        <f>"FEBRUARY INVOICE"</f>
        <v>FEBRUARY INVOICE</v>
      </c>
    </row>
    <row r="417" spans="1:8" x14ac:dyDescent="0.25">
      <c r="A417" t="s">
        <v>122</v>
      </c>
      <c r="B417">
        <v>80859</v>
      </c>
      <c r="C417" s="2">
        <v>540</v>
      </c>
      <c r="D417" s="1">
        <v>43507</v>
      </c>
      <c r="E417" t="str">
        <f>"161000055-1"</f>
        <v>161000055-1</v>
      </c>
      <c r="F417" t="str">
        <f>"INV 161000055-1"</f>
        <v>INV 161000055-1</v>
      </c>
      <c r="G417" s="2">
        <v>540</v>
      </c>
    </row>
    <row r="418" spans="1:8" x14ac:dyDescent="0.25">
      <c r="A418" t="s">
        <v>123</v>
      </c>
      <c r="B418">
        <v>80860</v>
      </c>
      <c r="C418" s="2">
        <v>508</v>
      </c>
      <c r="D418" s="1">
        <v>43507</v>
      </c>
      <c r="E418" t="str">
        <f>"1333447"</f>
        <v>1333447</v>
      </c>
      <c r="F418" t="str">
        <f>"CUST#23813/CONTRACT#20598219"</f>
        <v>CUST#23813/CONTRACT#20598219</v>
      </c>
      <c r="G418" s="2">
        <v>508</v>
      </c>
      <c r="H418" t="str">
        <f>"CUST#23813/CONTRACT#20598219"</f>
        <v>CUST#23813/CONTRACT#20598219</v>
      </c>
    </row>
    <row r="419" spans="1:8" x14ac:dyDescent="0.25">
      <c r="A419" t="s">
        <v>124</v>
      </c>
      <c r="B419">
        <v>81082</v>
      </c>
      <c r="C419" s="2">
        <v>1500</v>
      </c>
      <c r="D419" s="1">
        <v>43522</v>
      </c>
      <c r="E419" t="str">
        <f>"201902227501"</f>
        <v>201902227501</v>
      </c>
      <c r="F419" t="str">
        <f>"REMOVE OLD CONCRETE&amp;DEBRIS/P2"</f>
        <v>REMOVE OLD CONCRETE&amp;DEBRIS/P2</v>
      </c>
      <c r="G419" s="2">
        <v>1500</v>
      </c>
      <c r="H419" t="str">
        <f>"REMOVE OLD CONCRETE&amp;DEBRIS/P2"</f>
        <v>REMOVE OLD CONCRETE&amp;DEBRIS/P2</v>
      </c>
    </row>
    <row r="420" spans="1:8" x14ac:dyDescent="0.25">
      <c r="A420" t="s">
        <v>125</v>
      </c>
      <c r="B420">
        <v>81083</v>
      </c>
      <c r="C420" s="2">
        <v>355.58</v>
      </c>
      <c r="D420" s="1">
        <v>43522</v>
      </c>
      <c r="E420" t="str">
        <f>"314791"</f>
        <v>314791</v>
      </c>
      <c r="F420" t="str">
        <f>"50-4 X4  Yellow delineato"</f>
        <v>50-4 X4  Yellow delineato</v>
      </c>
      <c r="G420" s="2">
        <v>355.58</v>
      </c>
      <c r="H420" t="str">
        <f>"BA0803YE0404D"</f>
        <v>BA0803YE0404D</v>
      </c>
    </row>
    <row r="421" spans="1:8" x14ac:dyDescent="0.25">
      <c r="E421" t="str">
        <f>""</f>
        <v/>
      </c>
      <c r="F421" t="str">
        <f>""</f>
        <v/>
      </c>
      <c r="H421" t="str">
        <f>"RPOCP071"</f>
        <v>RPOCP071</v>
      </c>
    </row>
    <row r="422" spans="1:8" x14ac:dyDescent="0.25">
      <c r="E422" t="str">
        <f>""</f>
        <v/>
      </c>
      <c r="F422" t="str">
        <f>""</f>
        <v/>
      </c>
      <c r="H422" t="str">
        <f>"Q1KFR"</f>
        <v>Q1KFR</v>
      </c>
    </row>
    <row r="423" spans="1:8" x14ac:dyDescent="0.25">
      <c r="A423" t="s">
        <v>126</v>
      </c>
      <c r="B423">
        <v>80861</v>
      </c>
      <c r="C423" s="2">
        <v>115</v>
      </c>
      <c r="D423" s="1">
        <v>43507</v>
      </c>
      <c r="E423" t="str">
        <f>"201902067168"</f>
        <v>201902067168</v>
      </c>
      <c r="F423" t="str">
        <f>"FERAL HOGS"</f>
        <v>FERAL HOGS</v>
      </c>
      <c r="G423" s="2">
        <v>100</v>
      </c>
      <c r="H423" t="str">
        <f>"FERAL HOGS"</f>
        <v>FERAL HOGS</v>
      </c>
    </row>
    <row r="424" spans="1:8" x14ac:dyDescent="0.25">
      <c r="E424" t="str">
        <f>"201902067169"</f>
        <v>201902067169</v>
      </c>
      <c r="F424" t="str">
        <f>"FERAL HOGS"</f>
        <v>FERAL HOGS</v>
      </c>
      <c r="G424" s="2">
        <v>15</v>
      </c>
      <c r="H424" t="str">
        <f>"FERAL HOGS"</f>
        <v>FERAL HOGS</v>
      </c>
    </row>
    <row r="425" spans="1:8" x14ac:dyDescent="0.25">
      <c r="A425" t="s">
        <v>127</v>
      </c>
      <c r="B425">
        <v>80862</v>
      </c>
      <c r="C425" s="2">
        <v>982.24</v>
      </c>
      <c r="D425" s="1">
        <v>43507</v>
      </c>
      <c r="E425" t="str">
        <f>"IN1906234"</f>
        <v>IN1906234</v>
      </c>
      <c r="F425" t="str">
        <f>"ACCT#BC113:40R756/CONT#CN11583"</f>
        <v>ACCT#BC113:40R756/CONT#CN11583</v>
      </c>
      <c r="G425" s="2">
        <v>982.24</v>
      </c>
      <c r="H425" t="str">
        <f>"ACCT#BC113:40R756/CONT#CN11583"</f>
        <v>ACCT#BC113:40R756/CONT#CN11583</v>
      </c>
    </row>
    <row r="426" spans="1:8" x14ac:dyDescent="0.25">
      <c r="A426" t="s">
        <v>128</v>
      </c>
      <c r="B426">
        <v>80863</v>
      </c>
      <c r="C426" s="2">
        <v>80</v>
      </c>
      <c r="D426" s="1">
        <v>43507</v>
      </c>
      <c r="E426" t="str">
        <f>"12721"</f>
        <v>12721</v>
      </c>
      <c r="F426" t="str">
        <f>"SERVICE"</f>
        <v>SERVICE</v>
      </c>
      <c r="G426" s="2">
        <v>80</v>
      </c>
      <c r="H426" t="str">
        <f>"SERVICE"</f>
        <v>SERVICE</v>
      </c>
    </row>
    <row r="427" spans="1:8" x14ac:dyDescent="0.25">
      <c r="A427" t="s">
        <v>128</v>
      </c>
      <c r="B427">
        <v>81084</v>
      </c>
      <c r="C427" s="2">
        <v>160</v>
      </c>
      <c r="D427" s="1">
        <v>43522</v>
      </c>
      <c r="E427" t="str">
        <f>"13072"</f>
        <v>13072</v>
      </c>
      <c r="F427" t="str">
        <f>"SERVICE"</f>
        <v>SERVICE</v>
      </c>
      <c r="G427" s="2">
        <v>160</v>
      </c>
      <c r="H427" t="str">
        <f>"SERVICE"</f>
        <v>SERVICE</v>
      </c>
    </row>
    <row r="428" spans="1:8" x14ac:dyDescent="0.25">
      <c r="A428" t="s">
        <v>129</v>
      </c>
      <c r="B428">
        <v>80864</v>
      </c>
      <c r="C428" s="2">
        <v>9.1</v>
      </c>
      <c r="D428" s="1">
        <v>43507</v>
      </c>
      <c r="E428" t="str">
        <f>"201901316956"</f>
        <v>201901316956</v>
      </c>
      <c r="F428" t="str">
        <f>"MILEAGE REIMBURSEMENT CORRECTI"</f>
        <v>MILEAGE REIMBURSEMENT CORRECTI</v>
      </c>
      <c r="G428" s="2">
        <v>9.1</v>
      </c>
      <c r="H428" t="str">
        <f>"MILEAGE REIMBURSEMENT CORRECTI"</f>
        <v>MILEAGE REIMBURSEMENT CORRECTI</v>
      </c>
    </row>
    <row r="429" spans="1:8" x14ac:dyDescent="0.25">
      <c r="A429" t="s">
        <v>130</v>
      </c>
      <c r="B429">
        <v>81085</v>
      </c>
      <c r="C429" s="2">
        <v>266.99</v>
      </c>
      <c r="D429" s="1">
        <v>43522</v>
      </c>
      <c r="E429" t="str">
        <f>"557660"</f>
        <v>557660</v>
      </c>
      <c r="F429" t="str">
        <f>"CUST#BASTROPCO"</f>
        <v>CUST#BASTROPCO</v>
      </c>
      <c r="G429" s="2">
        <v>266.99</v>
      </c>
      <c r="H429" t="str">
        <f>"CUST#BASTROPCO"</f>
        <v>CUST#BASTROPCO</v>
      </c>
    </row>
    <row r="430" spans="1:8" x14ac:dyDescent="0.25">
      <c r="A430" t="s">
        <v>131</v>
      </c>
      <c r="B430">
        <v>80865</v>
      </c>
      <c r="C430" s="2">
        <v>50</v>
      </c>
      <c r="D430" s="1">
        <v>43507</v>
      </c>
      <c r="E430" t="str">
        <f>"201902067156"</f>
        <v>201902067156</v>
      </c>
      <c r="F430" t="str">
        <f>"REFUND"</f>
        <v>REFUND</v>
      </c>
      <c r="G430" s="2">
        <v>50</v>
      </c>
      <c r="H430" t="str">
        <f>"REFUND"</f>
        <v>REFUND</v>
      </c>
    </row>
    <row r="431" spans="1:8" x14ac:dyDescent="0.25">
      <c r="A431" t="s">
        <v>132</v>
      </c>
      <c r="B431">
        <v>80866</v>
      </c>
      <c r="C431" s="2">
        <v>100</v>
      </c>
      <c r="D431" s="1">
        <v>43507</v>
      </c>
      <c r="E431" t="str">
        <f>"201902057078"</f>
        <v>201902057078</v>
      </c>
      <c r="F431" t="str">
        <f>"LEGAL CONSULT SVCS-JAN 2019"</f>
        <v>LEGAL CONSULT SVCS-JAN 2019</v>
      </c>
      <c r="G431" s="2">
        <v>100</v>
      </c>
      <c r="H431" t="str">
        <f>"LEGAL CONSULT SVCS-JAN 2019"</f>
        <v>LEGAL CONSULT SVCS-JAN 2019</v>
      </c>
    </row>
    <row r="432" spans="1:8" x14ac:dyDescent="0.25">
      <c r="A432" t="s">
        <v>133</v>
      </c>
      <c r="B432">
        <v>80867</v>
      </c>
      <c r="C432" s="2">
        <v>112.5</v>
      </c>
      <c r="D432" s="1">
        <v>43507</v>
      </c>
      <c r="E432" t="str">
        <f>"201902057103"</f>
        <v>201902057103</v>
      </c>
      <c r="F432" t="str">
        <f>"INDIGENT HEALTH"</f>
        <v>INDIGENT HEALTH</v>
      </c>
      <c r="G432" s="2">
        <v>112.5</v>
      </c>
      <c r="H432" t="str">
        <f>"INDIGENT HEALTH"</f>
        <v>INDIGENT HEALTH</v>
      </c>
    </row>
    <row r="433" spans="1:8" x14ac:dyDescent="0.25">
      <c r="A433" t="s">
        <v>134</v>
      </c>
      <c r="B433">
        <v>80868</v>
      </c>
      <c r="C433" s="2">
        <v>15</v>
      </c>
      <c r="D433" s="1">
        <v>43507</v>
      </c>
      <c r="E433" t="str">
        <f>"201902067170"</f>
        <v>201902067170</v>
      </c>
      <c r="F433" t="str">
        <f>"FERAL HOGS"</f>
        <v>FERAL HOGS</v>
      </c>
      <c r="G433" s="2">
        <v>5</v>
      </c>
      <c r="H433" t="str">
        <f>"FERAL HOGS"</f>
        <v>FERAL HOGS</v>
      </c>
    </row>
    <row r="434" spans="1:8" x14ac:dyDescent="0.25">
      <c r="E434" t="str">
        <f>"201902067171"</f>
        <v>201902067171</v>
      </c>
      <c r="F434" t="str">
        <f>"FERAL HOGS"</f>
        <v>FERAL HOGS</v>
      </c>
      <c r="G434" s="2">
        <v>5</v>
      </c>
      <c r="H434" t="str">
        <f>"FERAL HOGS"</f>
        <v>FERAL HOGS</v>
      </c>
    </row>
    <row r="435" spans="1:8" x14ac:dyDescent="0.25">
      <c r="E435" t="str">
        <f>"201902067172"</f>
        <v>201902067172</v>
      </c>
      <c r="F435" t="str">
        <f>"FERAL HOGS"</f>
        <v>FERAL HOGS</v>
      </c>
      <c r="G435" s="2">
        <v>5</v>
      </c>
      <c r="H435" t="str">
        <f>"FERAL HOGS"</f>
        <v>FERAL HOGS</v>
      </c>
    </row>
    <row r="436" spans="1:8" x14ac:dyDescent="0.25">
      <c r="A436" t="s">
        <v>135</v>
      </c>
      <c r="B436">
        <v>81086</v>
      </c>
      <c r="C436" s="2">
        <v>465.1</v>
      </c>
      <c r="D436" s="1">
        <v>43522</v>
      </c>
      <c r="E436" t="str">
        <f>"201902227495"</f>
        <v>201902227495</v>
      </c>
      <c r="F436" t="str">
        <f>"MILEAGE REIMBURSEMENT"</f>
        <v>MILEAGE REIMBURSEMENT</v>
      </c>
      <c r="G436" s="2">
        <v>127.6</v>
      </c>
      <c r="H436" t="str">
        <f>"MILEAGE REIMBURSEMENT"</f>
        <v>MILEAGE REIMBURSEMENT</v>
      </c>
    </row>
    <row r="437" spans="1:8" x14ac:dyDescent="0.25">
      <c r="E437" t="str">
        <f>"201902227496"</f>
        <v>201902227496</v>
      </c>
      <c r="F437" t="str">
        <f>"REIMBURSE HOTEL"</f>
        <v>REIMBURSE HOTEL</v>
      </c>
      <c r="G437" s="2">
        <v>337.5</v>
      </c>
      <c r="H437" t="str">
        <f>"REIMBURSE HOTEL"</f>
        <v>REIMBURSE HOTEL</v>
      </c>
    </row>
    <row r="438" spans="1:8" x14ac:dyDescent="0.25">
      <c r="A438" t="s">
        <v>136</v>
      </c>
      <c r="B438">
        <v>482</v>
      </c>
      <c r="C438" s="2">
        <v>810</v>
      </c>
      <c r="D438" s="1">
        <v>43523</v>
      </c>
      <c r="E438" t="str">
        <f>"201902127407"</f>
        <v>201902127407</v>
      </c>
      <c r="F438" t="str">
        <f>"18-18990"</f>
        <v>18-18990</v>
      </c>
      <c r="G438" s="2">
        <v>205</v>
      </c>
      <c r="H438" t="str">
        <f>"18-18990"</f>
        <v>18-18990</v>
      </c>
    </row>
    <row r="439" spans="1:8" x14ac:dyDescent="0.25">
      <c r="E439" t="str">
        <f>"201902127408"</f>
        <v>201902127408</v>
      </c>
      <c r="F439" t="str">
        <f>"17-18754"</f>
        <v>17-18754</v>
      </c>
      <c r="G439" s="2">
        <v>235</v>
      </c>
      <c r="H439" t="str">
        <f>"17-18754"</f>
        <v>17-18754</v>
      </c>
    </row>
    <row r="440" spans="1:8" x14ac:dyDescent="0.25">
      <c r="E440" t="str">
        <f>"201902127409"</f>
        <v>201902127409</v>
      </c>
      <c r="F440" t="str">
        <f>"18-19392"</f>
        <v>18-19392</v>
      </c>
      <c r="G440" s="2">
        <v>370</v>
      </c>
      <c r="H440" t="str">
        <f>"18-19392"</f>
        <v>18-19392</v>
      </c>
    </row>
    <row r="441" spans="1:8" x14ac:dyDescent="0.25">
      <c r="A441" t="s">
        <v>137</v>
      </c>
      <c r="B441">
        <v>81087</v>
      </c>
      <c r="C441" s="2">
        <v>561</v>
      </c>
      <c r="D441" s="1">
        <v>43522</v>
      </c>
      <c r="E441" t="str">
        <f>"134672"</f>
        <v>134672</v>
      </c>
      <c r="F441" t="str">
        <f>"INV 134672"</f>
        <v>INV 134672</v>
      </c>
      <c r="G441" s="2">
        <v>561</v>
      </c>
      <c r="H441" t="str">
        <f>"INV 134672 /LE"</f>
        <v>INV 134672 /LE</v>
      </c>
    </row>
    <row r="442" spans="1:8" x14ac:dyDescent="0.25">
      <c r="E442" t="str">
        <f>""</f>
        <v/>
      </c>
      <c r="F442" t="str">
        <f>""</f>
        <v/>
      </c>
      <c r="H442" t="str">
        <f>"INV 134672 / JAIL"</f>
        <v>INV 134672 / JAIL</v>
      </c>
    </row>
    <row r="443" spans="1:8" x14ac:dyDescent="0.25">
      <c r="A443" t="s">
        <v>138</v>
      </c>
      <c r="B443">
        <v>80869</v>
      </c>
      <c r="C443" s="2">
        <v>2827.36</v>
      </c>
      <c r="D443" s="1">
        <v>43507</v>
      </c>
      <c r="E443" t="str">
        <f>"10295291758"</f>
        <v>10295291758</v>
      </c>
      <c r="F443" t="str">
        <f>"Computers for Medical"</f>
        <v>Computers for Medical</v>
      </c>
      <c r="G443" s="2">
        <v>2827.36</v>
      </c>
      <c r="H443" t="str">
        <f>"Latitude 14 Rug 5414"</f>
        <v>Latitude 14 Rug 5414</v>
      </c>
    </row>
    <row r="444" spans="1:8" x14ac:dyDescent="0.25">
      <c r="E444" t="str">
        <f>""</f>
        <v/>
      </c>
      <c r="F444" t="str">
        <f>""</f>
        <v/>
      </c>
      <c r="H444" t="str">
        <f>"Wireless Keyboard an"</f>
        <v>Wireless Keyboard an</v>
      </c>
    </row>
    <row r="445" spans="1:8" x14ac:dyDescent="0.25">
      <c r="E445" t="str">
        <f>""</f>
        <v/>
      </c>
      <c r="F445" t="str">
        <f>""</f>
        <v/>
      </c>
      <c r="H445" t="str">
        <f>"Dock - WD15"</f>
        <v>Dock - WD15</v>
      </c>
    </row>
    <row r="446" spans="1:8" x14ac:dyDescent="0.25">
      <c r="E446" t="str">
        <f>""</f>
        <v/>
      </c>
      <c r="F446" t="str">
        <f>""</f>
        <v/>
      </c>
      <c r="H446" t="str">
        <f>"SoundBar - AC511"</f>
        <v>SoundBar - AC511</v>
      </c>
    </row>
    <row r="447" spans="1:8" x14ac:dyDescent="0.25">
      <c r="E447" t="str">
        <f>""</f>
        <v/>
      </c>
      <c r="F447" t="str">
        <f>""</f>
        <v/>
      </c>
      <c r="H447" t="str">
        <f>"Power Adapter - 90 W"</f>
        <v>Power Adapter - 90 W</v>
      </c>
    </row>
    <row r="448" spans="1:8" x14ac:dyDescent="0.25">
      <c r="E448" t="str">
        <f>""</f>
        <v/>
      </c>
      <c r="F448" t="str">
        <f>""</f>
        <v/>
      </c>
      <c r="H448" t="str">
        <f>"Power Adapter - 90 W"</f>
        <v>Power Adapter - 90 W</v>
      </c>
    </row>
    <row r="449" spans="1:9" x14ac:dyDescent="0.25">
      <c r="A449" t="s">
        <v>138</v>
      </c>
      <c r="B449">
        <v>81088</v>
      </c>
      <c r="C449" s="2">
        <v>973.82</v>
      </c>
      <c r="D449" s="1">
        <v>43522</v>
      </c>
      <c r="E449" t="str">
        <f>"10297974853"</f>
        <v>10297974853</v>
      </c>
      <c r="F449" t="str">
        <f>"Dell 2.0 Speaker System"</f>
        <v>Dell 2.0 Speaker System</v>
      </c>
      <c r="G449" s="2">
        <v>38.47</v>
      </c>
      <c r="H449" t="str">
        <f>"Dell Part# 520-AAJs"</f>
        <v>Dell Part# 520-AAJs</v>
      </c>
    </row>
    <row r="450" spans="1:9" x14ac:dyDescent="0.25">
      <c r="E450" t="str">
        <f>""</f>
        <v/>
      </c>
      <c r="F450" t="str">
        <f>""</f>
        <v/>
      </c>
      <c r="H450" t="str">
        <f>"Discount"</f>
        <v>Discount</v>
      </c>
    </row>
    <row r="451" spans="1:9" x14ac:dyDescent="0.25">
      <c r="E451" t="str">
        <f>"10298429767"</f>
        <v>10298429767</v>
      </c>
      <c r="F451" t="str">
        <f>"Notebook Battery for Aden"</f>
        <v>Notebook Battery for Aden</v>
      </c>
      <c r="G451" s="2">
        <v>74.989999999999995</v>
      </c>
      <c r="H451" t="str">
        <f>"Part# : KWFFN"</f>
        <v>Part# : KWFFN</v>
      </c>
    </row>
    <row r="452" spans="1:9" x14ac:dyDescent="0.25">
      <c r="E452" t="str">
        <f>"10299338913"</f>
        <v>10299338913</v>
      </c>
      <c r="F452" t="str">
        <f>"Dell Warranty Support Ren"</f>
        <v>Dell Warranty Support Ren</v>
      </c>
      <c r="G452" s="2">
        <v>860.36</v>
      </c>
      <c r="H452" t="str">
        <f>"HNKW482"</f>
        <v>HNKW482</v>
      </c>
    </row>
    <row r="453" spans="1:9" x14ac:dyDescent="0.25">
      <c r="E453" t="str">
        <f>""</f>
        <v/>
      </c>
      <c r="F453" t="str">
        <f>""</f>
        <v/>
      </c>
      <c r="H453" t="str">
        <f>"HNLM482"</f>
        <v>HNLM482</v>
      </c>
    </row>
    <row r="454" spans="1:9" x14ac:dyDescent="0.25">
      <c r="A454" t="s">
        <v>139</v>
      </c>
      <c r="B454">
        <v>80870</v>
      </c>
      <c r="C454" s="2">
        <v>226</v>
      </c>
      <c r="D454" s="1">
        <v>43507</v>
      </c>
      <c r="E454" t="str">
        <f>"201902067157"</f>
        <v>201902067157</v>
      </c>
      <c r="F454" t="str">
        <f>"SANE EXAM ACCT#A00490851/00011"</f>
        <v>SANE EXAM ACCT#A00490851/00011</v>
      </c>
      <c r="G454" s="2">
        <v>14</v>
      </c>
      <c r="H454" t="str">
        <f>"SANE EXAM ACCT#A00490851/00011"</f>
        <v>SANE EXAM ACCT#A00490851/00011</v>
      </c>
    </row>
    <row r="455" spans="1:9" x14ac:dyDescent="0.25">
      <c r="E455" t="str">
        <f>"201902067158"</f>
        <v>201902067158</v>
      </c>
      <c r="F455" t="str">
        <f>"SANE EXAM ACCT#A00499860/00011"</f>
        <v>SANE EXAM ACCT#A00499860/00011</v>
      </c>
      <c r="G455" s="2">
        <v>212</v>
      </c>
      <c r="H455" t="str">
        <f>"SANE EXAM ACCT#A00499860/00011"</f>
        <v>SANE EXAM ACCT#A00499860/00011</v>
      </c>
    </row>
    <row r="456" spans="1:9" x14ac:dyDescent="0.25">
      <c r="A456" t="s">
        <v>140</v>
      </c>
      <c r="B456">
        <v>81089</v>
      </c>
      <c r="C456" s="2">
        <v>50</v>
      </c>
      <c r="D456" s="1">
        <v>43522</v>
      </c>
      <c r="E456" t="s">
        <v>81</v>
      </c>
      <c r="F456" t="s">
        <v>141</v>
      </c>
      <c r="G456" s="2" t="str">
        <f>"RESTITUTION-JESUS GUZMAN"</f>
        <v>RESTITUTION-JESUS GUZMAN</v>
      </c>
      <c r="H456" t="str">
        <f>"210-0000"</f>
        <v>210-0000</v>
      </c>
      <c r="I456" t="str">
        <f>""</f>
        <v/>
      </c>
    </row>
    <row r="457" spans="1:9" x14ac:dyDescent="0.25">
      <c r="A457" t="s">
        <v>142</v>
      </c>
      <c r="B457">
        <v>500</v>
      </c>
      <c r="C457" s="2">
        <v>1775</v>
      </c>
      <c r="D457" s="1">
        <v>43523</v>
      </c>
      <c r="E457" t="str">
        <f>"BATX015917"</f>
        <v>BATX015917</v>
      </c>
      <c r="F457" t="str">
        <f>"INV BATX015917"</f>
        <v>INV BATX015917</v>
      </c>
      <c r="G457" s="2">
        <v>1775</v>
      </c>
      <c r="H457" t="str">
        <f>"INV BATX015917"</f>
        <v>INV BATX015917</v>
      </c>
    </row>
    <row r="458" spans="1:9" x14ac:dyDescent="0.25">
      <c r="A458" t="s">
        <v>143</v>
      </c>
      <c r="B458">
        <v>80871</v>
      </c>
      <c r="C458" s="2">
        <v>200</v>
      </c>
      <c r="D458" s="1">
        <v>43507</v>
      </c>
      <c r="E458" t="str">
        <f>"012819"</f>
        <v>012819</v>
      </c>
      <c r="F458" t="str">
        <f>"ON SITE INTERPRETER"</f>
        <v>ON SITE INTERPRETER</v>
      </c>
      <c r="G458" s="2">
        <v>200</v>
      </c>
      <c r="H458" t="str">
        <f>"ON SITE INTERPRETER"</f>
        <v>ON SITE INTERPRETER</v>
      </c>
    </row>
    <row r="459" spans="1:9" x14ac:dyDescent="0.25">
      <c r="A459" t="s">
        <v>144</v>
      </c>
      <c r="B459">
        <v>80872</v>
      </c>
      <c r="C459" s="2">
        <v>177.3</v>
      </c>
      <c r="D459" s="1">
        <v>43507</v>
      </c>
      <c r="E459" t="str">
        <f>"25188"</f>
        <v>25188</v>
      </c>
      <c r="F459" t="str">
        <f>"DUPLICATE KEYS/PCT#1"</f>
        <v>DUPLICATE KEYS/PCT#1</v>
      </c>
      <c r="G459" s="2">
        <v>14.95</v>
      </c>
      <c r="H459" t="str">
        <f>"DUPLICATE KEYS/PCT#1"</f>
        <v>DUPLICATE KEYS/PCT#1</v>
      </c>
    </row>
    <row r="460" spans="1:9" x14ac:dyDescent="0.25">
      <c r="E460" t="str">
        <f>"25191"</f>
        <v>25191</v>
      </c>
      <c r="F460" t="str">
        <f>"DUPLICATE KEYS/GEN SVCS"</f>
        <v>DUPLICATE KEYS/GEN SVCS</v>
      </c>
      <c r="G460" s="2">
        <v>15</v>
      </c>
      <c r="H460" t="str">
        <f>"DUPLICATE KEYS/GEN SVCS"</f>
        <v>DUPLICATE KEYS/GEN SVCS</v>
      </c>
    </row>
    <row r="461" spans="1:9" x14ac:dyDescent="0.25">
      <c r="E461" t="str">
        <f>"25209"</f>
        <v>25209</v>
      </c>
      <c r="F461" t="str">
        <f>"DUPLICATE KEY/RING"</f>
        <v>DUPLICATE KEY/RING</v>
      </c>
      <c r="G461" s="2">
        <v>10.6</v>
      </c>
      <c r="H461" t="str">
        <f>"DUPLICATE KEY/RING"</f>
        <v>DUPLICATE KEY/RING</v>
      </c>
    </row>
    <row r="462" spans="1:9" x14ac:dyDescent="0.25">
      <c r="E462" t="str">
        <f>"25223"</f>
        <v>25223</v>
      </c>
      <c r="F462" t="str">
        <f>"DUPLICATE KEYS/RING/GEN SVCS"</f>
        <v>DUPLICATE KEYS/RING/GEN SVCS</v>
      </c>
      <c r="G462" s="2">
        <v>136.75</v>
      </c>
      <c r="H462" t="str">
        <f>"DUPLICATE KEYS/RING/GEN SVCS"</f>
        <v>DUPLICATE KEYS/RING/GEN SVCS</v>
      </c>
    </row>
    <row r="463" spans="1:9" x14ac:dyDescent="0.25">
      <c r="A463" t="s">
        <v>144</v>
      </c>
      <c r="B463">
        <v>81090</v>
      </c>
      <c r="C463" s="2">
        <v>924.22</v>
      </c>
      <c r="D463" s="1">
        <v>43522</v>
      </c>
      <c r="E463" t="str">
        <f>"25118"</f>
        <v>25118</v>
      </c>
      <c r="F463" t="str">
        <f>"KEY RING/KEY TAGS/GEN SVCS"</f>
        <v>KEY RING/KEY TAGS/GEN SVCS</v>
      </c>
      <c r="G463" s="2">
        <v>139.66</v>
      </c>
      <c r="H463" t="str">
        <f>"KEY RING/KEY TAGS/GEN SVCS"</f>
        <v>KEY RING/KEY TAGS/GEN SVCS</v>
      </c>
    </row>
    <row r="464" spans="1:9" x14ac:dyDescent="0.25">
      <c r="E464" t="str">
        <f>"25120"</f>
        <v>25120</v>
      </c>
      <c r="F464" t="str">
        <f>"KEY RINGS/KEY TAGS/GEN SVCS"</f>
        <v>KEY RINGS/KEY TAGS/GEN SVCS</v>
      </c>
      <c r="G464" s="2">
        <v>311.76</v>
      </c>
      <c r="H464" t="str">
        <f>"KEY RINGS/KEY TAGS/GEN SVCS"</f>
        <v>KEY RINGS/KEY TAGS/GEN SVCS</v>
      </c>
    </row>
    <row r="465" spans="1:8" x14ac:dyDescent="0.25">
      <c r="E465" t="str">
        <f>"25121"</f>
        <v>25121</v>
      </c>
      <c r="F465" t="str">
        <f>"MASTER KEYS/GEN SVCS"</f>
        <v>MASTER KEYS/GEN SVCS</v>
      </c>
      <c r="G465" s="2">
        <v>127.8</v>
      </c>
      <c r="H465" t="str">
        <f>"MASTER KEYS/GEN SVCS"</f>
        <v>MASTER KEYS/GEN SVCS</v>
      </c>
    </row>
    <row r="466" spans="1:8" x14ac:dyDescent="0.25">
      <c r="E466" t="str">
        <f>"25151"</f>
        <v>25151</v>
      </c>
      <c r="F466" t="str">
        <f>"INV 25151"</f>
        <v>INV 25151</v>
      </c>
      <c r="G466" s="2">
        <v>5</v>
      </c>
      <c r="H466" t="str">
        <f>"INV 25151"</f>
        <v>INV 25151</v>
      </c>
    </row>
    <row r="467" spans="1:8" x14ac:dyDescent="0.25">
      <c r="E467" t="str">
        <f>"25157"</f>
        <v>25157</v>
      </c>
      <c r="F467" t="str">
        <f>"INV 25157"</f>
        <v>INV 25157</v>
      </c>
      <c r="G467" s="2">
        <v>125</v>
      </c>
      <c r="H467" t="str">
        <f>"INV 25157"</f>
        <v>INV 25157</v>
      </c>
    </row>
    <row r="468" spans="1:8" x14ac:dyDescent="0.25">
      <c r="E468" t="str">
        <f>"25232"</f>
        <v>25232</v>
      </c>
      <c r="F468" t="str">
        <f>"SERVICE CALL"</f>
        <v>SERVICE CALL</v>
      </c>
      <c r="G468" s="2">
        <v>215</v>
      </c>
      <c r="H468" t="str">
        <f>"SERVICE CALL"</f>
        <v>SERVICE CALL</v>
      </c>
    </row>
    <row r="469" spans="1:8" x14ac:dyDescent="0.25">
      <c r="A469" t="s">
        <v>145</v>
      </c>
      <c r="B469">
        <v>80873</v>
      </c>
      <c r="C469" s="2">
        <v>45.85</v>
      </c>
      <c r="D469" s="1">
        <v>43507</v>
      </c>
      <c r="E469" t="str">
        <f>"1007"</f>
        <v>1007</v>
      </c>
      <c r="F469" t="str">
        <f>"PIPE/CUTTING CHRG/PCT#3"</f>
        <v>PIPE/CUTTING CHRG/PCT#3</v>
      </c>
      <c r="G469" s="2">
        <v>36.86</v>
      </c>
      <c r="H469" t="str">
        <f>"PIPE/CUTTING CHRG/PCT#3"</f>
        <v>PIPE/CUTTING CHRG/PCT#3</v>
      </c>
    </row>
    <row r="470" spans="1:8" x14ac:dyDescent="0.25">
      <c r="E470" t="str">
        <f>"146"</f>
        <v>146</v>
      </c>
      <c r="F470" t="str">
        <f>"6  roller"</f>
        <v>6  roller</v>
      </c>
      <c r="G470" s="2">
        <v>8.99</v>
      </c>
      <c r="H470" t="str">
        <f>"6  roller"</f>
        <v>6  roller</v>
      </c>
    </row>
    <row r="471" spans="1:8" x14ac:dyDescent="0.25">
      <c r="A471" t="s">
        <v>145</v>
      </c>
      <c r="B471">
        <v>81091</v>
      </c>
      <c r="C471" s="2">
        <v>2121.4</v>
      </c>
      <c r="D471" s="1">
        <v>43522</v>
      </c>
      <c r="E471" t="str">
        <f>"1590"</f>
        <v>1590</v>
      </c>
      <c r="F471" t="str">
        <f>"Liftmaster SL24 Gate Open"</f>
        <v>Liftmaster SL24 Gate Open</v>
      </c>
      <c r="G471" s="2">
        <v>2092</v>
      </c>
      <c r="H471" t="str">
        <f>"inv# 172"</f>
        <v>inv# 172</v>
      </c>
    </row>
    <row r="472" spans="1:8" x14ac:dyDescent="0.25">
      <c r="E472" t="str">
        <f>"969"</f>
        <v>969</v>
      </c>
      <c r="F472" t="str">
        <f>"SPECIAL TRIM"</f>
        <v>SPECIAL TRIM</v>
      </c>
      <c r="G472" s="2">
        <v>29.4</v>
      </c>
      <c r="H472" t="str">
        <f>"SPECIAL TRIM"</f>
        <v>SPECIAL TRIM</v>
      </c>
    </row>
    <row r="473" spans="1:8" x14ac:dyDescent="0.25">
      <c r="A473" t="s">
        <v>146</v>
      </c>
      <c r="B473">
        <v>80874</v>
      </c>
      <c r="C473" s="2">
        <v>100</v>
      </c>
      <c r="D473" s="1">
        <v>43507</v>
      </c>
      <c r="E473" t="str">
        <f>"201902067173"</f>
        <v>201902067173</v>
      </c>
      <c r="F473" t="str">
        <f>"FERAL HOGS"</f>
        <v>FERAL HOGS</v>
      </c>
      <c r="G473" s="2">
        <v>100</v>
      </c>
      <c r="H473" t="str">
        <f>"FERAL HOGS"</f>
        <v>FERAL HOGS</v>
      </c>
    </row>
    <row r="474" spans="1:8" x14ac:dyDescent="0.25">
      <c r="A474" t="s">
        <v>147</v>
      </c>
      <c r="B474">
        <v>81214</v>
      </c>
      <c r="C474" s="2">
        <v>749.4</v>
      </c>
      <c r="D474" s="1">
        <v>43523</v>
      </c>
      <c r="E474" t="str">
        <f>"201902277529"</f>
        <v>201902277529</v>
      </c>
      <c r="F474" t="str">
        <f>"ACCT#405900029213/03012019"</f>
        <v>ACCT#405900029213/03012019</v>
      </c>
      <c r="G474" s="2">
        <v>374.7</v>
      </c>
      <c r="H474" t="str">
        <f>"ACCT#405900029213/03012019"</f>
        <v>ACCT#405900029213/03012019</v>
      </c>
    </row>
    <row r="475" spans="1:8" x14ac:dyDescent="0.25">
      <c r="E475" t="str">
        <f>"201902277530"</f>
        <v>201902277530</v>
      </c>
      <c r="F475" t="str">
        <f>"ACCT#405900029225/03012019"</f>
        <v>ACCT#405900029225/03012019</v>
      </c>
      <c r="G475" s="2">
        <v>187.35</v>
      </c>
      <c r="H475" t="str">
        <f>"ACCT#405900029225/03012019"</f>
        <v>ACCT#405900029225/03012019</v>
      </c>
    </row>
    <row r="476" spans="1:8" x14ac:dyDescent="0.25">
      <c r="E476" t="str">
        <f>"201902277531"</f>
        <v>201902277531</v>
      </c>
      <c r="F476" t="str">
        <f>"ACCT#405900028789/03012019"</f>
        <v>ACCT#405900028789/03012019</v>
      </c>
      <c r="G476" s="2">
        <v>187.35</v>
      </c>
      <c r="H476" t="str">
        <f>"ACCT#405900028789/03012019"</f>
        <v>ACCT#405900028789/03012019</v>
      </c>
    </row>
    <row r="477" spans="1:8" x14ac:dyDescent="0.25">
      <c r="A477" t="s">
        <v>148</v>
      </c>
      <c r="B477">
        <v>80875</v>
      </c>
      <c r="C477" s="2">
        <v>1879</v>
      </c>
      <c r="D477" s="1">
        <v>43507</v>
      </c>
      <c r="E477" t="str">
        <f>"28783A"</f>
        <v>28783A</v>
      </c>
      <c r="F477" t="str">
        <f>"INV 28783A"</f>
        <v>INV 28783A</v>
      </c>
      <c r="G477" s="2">
        <v>1879</v>
      </c>
      <c r="H477" t="str">
        <f>"INV 28783A"</f>
        <v>INV 28783A</v>
      </c>
    </row>
    <row r="478" spans="1:8" x14ac:dyDescent="0.25">
      <c r="A478" t="s">
        <v>148</v>
      </c>
      <c r="B478">
        <v>81092</v>
      </c>
      <c r="C478" s="2">
        <v>1306</v>
      </c>
      <c r="D478" s="1">
        <v>43522</v>
      </c>
      <c r="E478" t="str">
        <f>"28827A"</f>
        <v>28827A</v>
      </c>
      <c r="F478" t="str">
        <f>"INV 28827A"</f>
        <v>INV 28827A</v>
      </c>
      <c r="G478" s="2">
        <v>1306</v>
      </c>
      <c r="H478" t="str">
        <f>"INV 28827A"</f>
        <v>INV 28827A</v>
      </c>
    </row>
    <row r="479" spans="1:8" x14ac:dyDescent="0.25">
      <c r="A479" t="s">
        <v>149</v>
      </c>
      <c r="B479">
        <v>81093</v>
      </c>
      <c r="C479" s="2">
        <v>358</v>
      </c>
      <c r="D479" s="1">
        <v>43522</v>
      </c>
      <c r="E479" t="str">
        <f>"34025"</f>
        <v>34025</v>
      </c>
      <c r="F479" t="str">
        <f>"MOTOR/BEARING/BOLT/PCT#2"</f>
        <v>MOTOR/BEARING/BOLT/PCT#2</v>
      </c>
      <c r="G479" s="2">
        <v>358</v>
      </c>
      <c r="H479" t="str">
        <f>"MOTOR/BEARING/BOLT/PCT#2"</f>
        <v>MOTOR/BEARING/BOLT/PCT#2</v>
      </c>
    </row>
    <row r="480" spans="1:8" x14ac:dyDescent="0.25">
      <c r="A480" t="s">
        <v>150</v>
      </c>
      <c r="B480">
        <v>467</v>
      </c>
      <c r="C480" s="2">
        <v>4325</v>
      </c>
      <c r="D480" s="1">
        <v>43508</v>
      </c>
      <c r="E480" t="str">
        <f>"201901296828"</f>
        <v>201901296828</v>
      </c>
      <c r="F480" t="str">
        <f>"306032018C"</f>
        <v>306032018C</v>
      </c>
      <c r="G480" s="2">
        <v>400</v>
      </c>
      <c r="H480" t="str">
        <f>"306032018C"</f>
        <v>306032018C</v>
      </c>
    </row>
    <row r="481" spans="1:8" x14ac:dyDescent="0.25">
      <c r="E481" t="str">
        <f>"201901296829"</f>
        <v>201901296829</v>
      </c>
      <c r="F481" t="str">
        <f>"16531  AC20180209WI"</f>
        <v>16531  AC20180209WI</v>
      </c>
      <c r="G481" s="2">
        <v>1250</v>
      </c>
      <c r="H481" t="str">
        <f>"16531  AC20180209WI"</f>
        <v>16531  AC20180209WI</v>
      </c>
    </row>
    <row r="482" spans="1:8" x14ac:dyDescent="0.25">
      <c r="E482" t="str">
        <f>"201901296856"</f>
        <v>201901296856</v>
      </c>
      <c r="F482" t="str">
        <f>"AC-2018-1222  WRIT NO.19-19448"</f>
        <v>AC-2018-1222  WRIT NO.19-19448</v>
      </c>
      <c r="G482" s="2">
        <v>100</v>
      </c>
      <c r="H482" t="str">
        <f>"AC-2018-1222  WRIT NO.19-19448"</f>
        <v>AC-2018-1222  WRIT NO.19-19448</v>
      </c>
    </row>
    <row r="483" spans="1:8" x14ac:dyDescent="0.25">
      <c r="E483" t="str">
        <f>"201901296883"</f>
        <v>201901296883</v>
      </c>
      <c r="F483" t="str">
        <f>"55583"</f>
        <v>55583</v>
      </c>
      <c r="G483" s="2">
        <v>250</v>
      </c>
      <c r="H483" t="str">
        <f>"55583"</f>
        <v>55583</v>
      </c>
    </row>
    <row r="484" spans="1:8" x14ac:dyDescent="0.25">
      <c r="E484" t="str">
        <f>"201901296891"</f>
        <v>201901296891</v>
      </c>
      <c r="F484" t="str">
        <f>"AC20181210WK"</f>
        <v>AC20181210WK</v>
      </c>
      <c r="G484" s="2">
        <v>250</v>
      </c>
      <c r="H484" t="str">
        <f>"AC20181210WK"</f>
        <v>AC20181210WK</v>
      </c>
    </row>
    <row r="485" spans="1:8" x14ac:dyDescent="0.25">
      <c r="E485" t="str">
        <f>"201901316962"</f>
        <v>201901316962</v>
      </c>
      <c r="F485" t="str">
        <f>"14400"</f>
        <v>14400</v>
      </c>
      <c r="G485" s="2">
        <v>400</v>
      </c>
      <c r="H485" t="str">
        <f>"14400"</f>
        <v>14400</v>
      </c>
    </row>
    <row r="486" spans="1:8" x14ac:dyDescent="0.25">
      <c r="E486" t="str">
        <f>"201902016977"</f>
        <v>201902016977</v>
      </c>
      <c r="F486" t="str">
        <f>"CC20181028  WRIT NO423-6294"</f>
        <v>CC20181028  WRIT NO423-6294</v>
      </c>
      <c r="G486" s="2">
        <v>100</v>
      </c>
      <c r="H486" t="str">
        <f>"CC20181028  WRIT NO423-6294"</f>
        <v>CC20181028  WRIT NO423-6294</v>
      </c>
    </row>
    <row r="487" spans="1:8" x14ac:dyDescent="0.25">
      <c r="E487" t="str">
        <f>"201902057050"</f>
        <v>201902057050</v>
      </c>
      <c r="F487" t="str">
        <f>"17-18617"</f>
        <v>17-18617</v>
      </c>
      <c r="G487" s="2">
        <v>325</v>
      </c>
      <c r="H487" t="str">
        <f>"17-18617"</f>
        <v>17-18617</v>
      </c>
    </row>
    <row r="488" spans="1:8" x14ac:dyDescent="0.25">
      <c r="E488" t="str">
        <f>"201902057051"</f>
        <v>201902057051</v>
      </c>
      <c r="F488" t="str">
        <f>"17-18764"</f>
        <v>17-18764</v>
      </c>
      <c r="G488" s="2">
        <v>212.5</v>
      </c>
      <c r="H488" t="str">
        <f>"17-18764"</f>
        <v>17-18764</v>
      </c>
    </row>
    <row r="489" spans="1:8" x14ac:dyDescent="0.25">
      <c r="E489" t="str">
        <f>"201902057057"</f>
        <v>201902057057</v>
      </c>
      <c r="F489" t="str">
        <f>"303092018D"</f>
        <v>303092018D</v>
      </c>
      <c r="G489" s="2">
        <v>250</v>
      </c>
      <c r="H489" t="str">
        <f>"303092018D"</f>
        <v>303092018D</v>
      </c>
    </row>
    <row r="490" spans="1:8" x14ac:dyDescent="0.25">
      <c r="E490" t="str">
        <f>"201902057058"</f>
        <v>201902057058</v>
      </c>
      <c r="F490" t="str">
        <f>"306032018D"</f>
        <v>306032018D</v>
      </c>
      <c r="G490" s="2">
        <v>250</v>
      </c>
      <c r="H490" t="str">
        <f>"306032018D"</f>
        <v>306032018D</v>
      </c>
    </row>
    <row r="491" spans="1:8" x14ac:dyDescent="0.25">
      <c r="E491" t="str">
        <f>"201902057066"</f>
        <v>201902057066</v>
      </c>
      <c r="F491" t="str">
        <f>"56622"</f>
        <v>56622</v>
      </c>
      <c r="G491" s="2">
        <v>250</v>
      </c>
      <c r="H491" t="str">
        <f>"56622"</f>
        <v>56622</v>
      </c>
    </row>
    <row r="492" spans="1:8" x14ac:dyDescent="0.25">
      <c r="E492" t="str">
        <f>"201902057120"</f>
        <v>201902057120</v>
      </c>
      <c r="F492" t="str">
        <f>"18-18924"</f>
        <v>18-18924</v>
      </c>
      <c r="G492" s="2">
        <v>287.5</v>
      </c>
      <c r="H492" t="str">
        <f>"18-18924"</f>
        <v>18-18924</v>
      </c>
    </row>
    <row r="493" spans="1:8" x14ac:dyDescent="0.25">
      <c r="A493" t="s">
        <v>150</v>
      </c>
      <c r="B493">
        <v>525</v>
      </c>
      <c r="C493" s="2">
        <v>3712.5</v>
      </c>
      <c r="D493" s="1">
        <v>43523</v>
      </c>
      <c r="E493" t="str">
        <f>"201902127359"</f>
        <v>201902127359</v>
      </c>
      <c r="F493" t="str">
        <f>"9789"</f>
        <v>9789</v>
      </c>
      <c r="G493" s="2">
        <v>400</v>
      </c>
      <c r="H493" t="str">
        <f>"9789"</f>
        <v>9789</v>
      </c>
    </row>
    <row r="494" spans="1:8" x14ac:dyDescent="0.25">
      <c r="E494" t="str">
        <f>"201902127368"</f>
        <v>201902127368</v>
      </c>
      <c r="F494" t="str">
        <f>"423767"</f>
        <v>423767</v>
      </c>
      <c r="G494" s="2">
        <v>175</v>
      </c>
      <c r="H494" t="str">
        <f>"423767"</f>
        <v>423767</v>
      </c>
    </row>
    <row r="495" spans="1:8" x14ac:dyDescent="0.25">
      <c r="E495" t="str">
        <f>"201902127369"</f>
        <v>201902127369</v>
      </c>
      <c r="F495" t="str">
        <f>"423-1262"</f>
        <v>423-1262</v>
      </c>
      <c r="G495" s="2">
        <v>212.5</v>
      </c>
      <c r="H495" t="str">
        <f>"423-1262"</f>
        <v>423-1262</v>
      </c>
    </row>
    <row r="496" spans="1:8" x14ac:dyDescent="0.25">
      <c r="E496" t="str">
        <f>"201902157440"</f>
        <v>201902157440</v>
      </c>
      <c r="F496" t="str">
        <f>"16056"</f>
        <v>16056</v>
      </c>
      <c r="G496" s="2">
        <v>1500</v>
      </c>
      <c r="H496" t="str">
        <f>"16056"</f>
        <v>16056</v>
      </c>
    </row>
    <row r="497" spans="1:8" x14ac:dyDescent="0.25">
      <c r="E497" t="str">
        <f>"201902227474"</f>
        <v>201902227474</v>
      </c>
      <c r="F497" t="str">
        <f>"18-19291"</f>
        <v>18-19291</v>
      </c>
      <c r="G497" s="2">
        <v>512.5</v>
      </c>
      <c r="H497" t="str">
        <f>"18-19291"</f>
        <v>18-19291</v>
      </c>
    </row>
    <row r="498" spans="1:8" x14ac:dyDescent="0.25">
      <c r="E498" t="str">
        <f>"201902227475"</f>
        <v>201902227475</v>
      </c>
      <c r="F498" t="str">
        <f>"18-18960"</f>
        <v>18-18960</v>
      </c>
      <c r="G498" s="2">
        <v>512.5</v>
      </c>
      <c r="H498" t="str">
        <f>"18-18960"</f>
        <v>18-18960</v>
      </c>
    </row>
    <row r="499" spans="1:8" x14ac:dyDescent="0.25">
      <c r="E499" t="str">
        <f>"201902227481"</f>
        <v>201902227481</v>
      </c>
      <c r="F499" t="str">
        <f>"16761"</f>
        <v>16761</v>
      </c>
      <c r="G499" s="2">
        <v>400</v>
      </c>
      <c r="H499" t="str">
        <f>"16761"</f>
        <v>16761</v>
      </c>
    </row>
    <row r="500" spans="1:8" x14ac:dyDescent="0.25">
      <c r="A500" t="s">
        <v>151</v>
      </c>
      <c r="B500">
        <v>440</v>
      </c>
      <c r="C500" s="2">
        <v>2111.23</v>
      </c>
      <c r="D500" s="1">
        <v>43508</v>
      </c>
      <c r="E500" t="str">
        <f>"2207305"</f>
        <v>2207305</v>
      </c>
      <c r="F500" t="str">
        <f>"INV 2207305"</f>
        <v>INV 2207305</v>
      </c>
      <c r="G500" s="2">
        <v>867.73</v>
      </c>
      <c r="H500" t="str">
        <f>"INV 2207305"</f>
        <v>INV 2207305</v>
      </c>
    </row>
    <row r="501" spans="1:8" x14ac:dyDescent="0.25">
      <c r="E501" t="str">
        <f>"2355738"</f>
        <v>2355738</v>
      </c>
      <c r="F501" t="str">
        <f>"INV 2355738"</f>
        <v>INV 2355738</v>
      </c>
      <c r="G501" s="2">
        <v>1243.5</v>
      </c>
      <c r="H501" t="str">
        <f>"INV 2355738"</f>
        <v>INV 2355738</v>
      </c>
    </row>
    <row r="502" spans="1:8" x14ac:dyDescent="0.25">
      <c r="A502" t="s">
        <v>151</v>
      </c>
      <c r="B502">
        <v>501</v>
      </c>
      <c r="C502" s="2">
        <v>88.21</v>
      </c>
      <c r="D502" s="1">
        <v>43523</v>
      </c>
      <c r="E502" t="str">
        <f>"2355739"</f>
        <v>2355739</v>
      </c>
      <c r="F502" t="str">
        <f>"INV 2355739"</f>
        <v>INV 2355739</v>
      </c>
      <c r="G502" s="2">
        <v>88.21</v>
      </c>
      <c r="H502" t="str">
        <f>"INV 2355739"</f>
        <v>INV 2355739</v>
      </c>
    </row>
    <row r="503" spans="1:8" x14ac:dyDescent="0.25">
      <c r="A503" t="s">
        <v>152</v>
      </c>
      <c r="B503">
        <v>80877</v>
      </c>
      <c r="C503" s="2">
        <v>16.579999999999998</v>
      </c>
      <c r="D503" s="1">
        <v>43507</v>
      </c>
      <c r="E503" t="str">
        <f>"201901296896"</f>
        <v>201901296896</v>
      </c>
      <c r="F503" t="str">
        <f>"ARREST FEES 10/01-12/31"</f>
        <v>ARREST FEES 10/01-12/31</v>
      </c>
      <c r="G503" s="2">
        <v>16.579999999999998</v>
      </c>
      <c r="H503" t="str">
        <f>"ARREST FEES 10/01-12/31"</f>
        <v>ARREST FEES 10/01-12/31</v>
      </c>
    </row>
    <row r="504" spans="1:8" x14ac:dyDescent="0.25">
      <c r="A504" t="s">
        <v>153</v>
      </c>
      <c r="B504">
        <v>80807</v>
      </c>
      <c r="C504" s="2">
        <v>1320.53</v>
      </c>
      <c r="D504" s="1">
        <v>43502</v>
      </c>
      <c r="E504" t="str">
        <f>"201902067202"</f>
        <v>201902067202</v>
      </c>
      <c r="F504" t="str">
        <f>"ACCT#007-0008410-002/01312019"</f>
        <v>ACCT#007-0008410-002/01312019</v>
      </c>
      <c r="G504" s="2">
        <v>522.48</v>
      </c>
      <c r="H504" t="str">
        <f>"ACCT#007-0008410-002/01312019"</f>
        <v>ACCT#007-0008410-002/01312019</v>
      </c>
    </row>
    <row r="505" spans="1:8" x14ac:dyDescent="0.25">
      <c r="E505" t="str">
        <f>"201902067203"</f>
        <v>201902067203</v>
      </c>
      <c r="F505" t="str">
        <f>"ACCT#007-0011501-000/01312019"</f>
        <v>ACCT#007-0011501-000/01312019</v>
      </c>
      <c r="G505" s="2">
        <v>84.88</v>
      </c>
      <c r="H505" t="str">
        <f>"ACCT#007-0011501-000/01312019"</f>
        <v>ACCT#007-0011501-000/01312019</v>
      </c>
    </row>
    <row r="506" spans="1:8" x14ac:dyDescent="0.25">
      <c r="E506" t="str">
        <f>"201902067204"</f>
        <v>201902067204</v>
      </c>
      <c r="F506" t="str">
        <f>"ACCT#007-0011510-000/01312019"</f>
        <v>ACCT#007-0011510-000/01312019</v>
      </c>
      <c r="G506" s="2">
        <v>235.91</v>
      </c>
      <c r="H506" t="str">
        <f>"ACCT#007-0011510-000/01312019"</f>
        <v>ACCT#007-0011510-000/01312019</v>
      </c>
    </row>
    <row r="507" spans="1:8" x14ac:dyDescent="0.25">
      <c r="E507" t="str">
        <f>"201902067205"</f>
        <v>201902067205</v>
      </c>
      <c r="F507" t="str">
        <f>"ACCT#007-0011530-000/01312019"</f>
        <v>ACCT#007-0011530-000/01312019</v>
      </c>
      <c r="G507" s="2">
        <v>97.4</v>
      </c>
      <c r="H507" t="str">
        <f>"ACCT#007-0011530-000/01312019"</f>
        <v>ACCT#007-0011530-000/01312019</v>
      </c>
    </row>
    <row r="508" spans="1:8" x14ac:dyDescent="0.25">
      <c r="E508" t="str">
        <f>"201902067206"</f>
        <v>201902067206</v>
      </c>
      <c r="F508" t="str">
        <f>"ACCT#007-0011534-001/01312019"</f>
        <v>ACCT#007-0011534-001/01312019</v>
      </c>
      <c r="G508" s="2">
        <v>156.88</v>
      </c>
      <c r="H508" t="str">
        <f>"ACCT#007-0011534-001/01312019"</f>
        <v>ACCT#007-0011534-001/01312019</v>
      </c>
    </row>
    <row r="509" spans="1:8" x14ac:dyDescent="0.25">
      <c r="E509" t="str">
        <f>"201902067207"</f>
        <v>201902067207</v>
      </c>
      <c r="F509" t="str">
        <f>"ACCT#007-0011535-000/01312019"</f>
        <v>ACCT#007-0011535-000/01312019</v>
      </c>
      <c r="G509" s="2">
        <v>111.49</v>
      </c>
      <c r="H509" t="str">
        <f>"ACCT#007-0011535-000/01312019"</f>
        <v>ACCT#007-0011535-000/01312019</v>
      </c>
    </row>
    <row r="510" spans="1:8" x14ac:dyDescent="0.25">
      <c r="E510" t="str">
        <f>"201902067208"</f>
        <v>201902067208</v>
      </c>
      <c r="F510" t="str">
        <f>"ACCT#007-0011544-001/01312019"</f>
        <v>ACCT#007-0011544-001/01312019</v>
      </c>
      <c r="G510" s="2">
        <v>111.49</v>
      </c>
      <c r="H510" t="str">
        <f>"ACCT#007-0011544-001/01312019"</f>
        <v>ACCT#007-0011544-001/01312019</v>
      </c>
    </row>
    <row r="511" spans="1:8" x14ac:dyDescent="0.25">
      <c r="A511" t="s">
        <v>154</v>
      </c>
      <c r="B511">
        <v>80878</v>
      </c>
      <c r="C511" s="2">
        <v>1735.3</v>
      </c>
      <c r="D511" s="1">
        <v>43507</v>
      </c>
      <c r="E511" t="str">
        <f>"201901306926"</f>
        <v>201901306926</v>
      </c>
      <c r="F511" t="str">
        <f>"CUST ID#0888336"</f>
        <v>CUST ID#0888336</v>
      </c>
      <c r="G511" s="2">
        <v>1735.3</v>
      </c>
      <c r="H511" t="str">
        <f>"CUST ID#0888336"</f>
        <v>CUST ID#0888336</v>
      </c>
    </row>
    <row r="512" spans="1:8" x14ac:dyDescent="0.25">
      <c r="A512" t="s">
        <v>154</v>
      </c>
      <c r="B512">
        <v>81094</v>
      </c>
      <c r="C512" s="2">
        <v>571.6</v>
      </c>
      <c r="D512" s="1">
        <v>43522</v>
      </c>
      <c r="E512" t="str">
        <f>"145-25038-01"</f>
        <v>145-25038-01</v>
      </c>
      <c r="F512" t="str">
        <f>"CUST#0888336"</f>
        <v>CUST#0888336</v>
      </c>
      <c r="G512" s="2">
        <v>362.5</v>
      </c>
      <c r="H512" t="str">
        <f>"CUST#0888336"</f>
        <v>CUST#0888336</v>
      </c>
    </row>
    <row r="513" spans="1:8" x14ac:dyDescent="0.25">
      <c r="E513" t="str">
        <f>"145-25121-02"</f>
        <v>145-25121-02</v>
      </c>
      <c r="F513" t="str">
        <f>"CUST#0888336/COURTHOUSE"</f>
        <v>CUST#0888336/COURTHOUSE</v>
      </c>
      <c r="G513" s="2">
        <v>80</v>
      </c>
      <c r="H513" t="str">
        <f>"CUST#0888336/COURTHOUSE"</f>
        <v>CUST#0888336/COURTHOUSE</v>
      </c>
    </row>
    <row r="514" spans="1:8" x14ac:dyDescent="0.25">
      <c r="E514" t="str">
        <f>"145-25578-01"</f>
        <v>145-25578-01</v>
      </c>
      <c r="F514" t="str">
        <f>"INV 145-25578-01"</f>
        <v>INV 145-25578-01</v>
      </c>
      <c r="G514" s="2">
        <v>129.1</v>
      </c>
      <c r="H514" t="str">
        <f>"INV 145-25578-01"</f>
        <v>INV 145-25578-01</v>
      </c>
    </row>
    <row r="515" spans="1:8" x14ac:dyDescent="0.25">
      <c r="A515" t="s">
        <v>155</v>
      </c>
      <c r="B515">
        <v>80876</v>
      </c>
      <c r="C515" s="2">
        <v>395</v>
      </c>
      <c r="D515" s="1">
        <v>43507</v>
      </c>
      <c r="E515" t="str">
        <f>"201902067174"</f>
        <v>201902067174</v>
      </c>
      <c r="F515" t="str">
        <f>"FERAL HOGS"</f>
        <v>FERAL HOGS</v>
      </c>
      <c r="G515" s="2">
        <v>395</v>
      </c>
      <c r="H515" t="str">
        <f>"FERAL HOGS"</f>
        <v>FERAL HOGS</v>
      </c>
    </row>
    <row r="516" spans="1:8" x14ac:dyDescent="0.25">
      <c r="A516" t="s">
        <v>156</v>
      </c>
      <c r="B516">
        <v>80879</v>
      </c>
      <c r="C516" s="2">
        <v>10</v>
      </c>
      <c r="D516" s="1">
        <v>43507</v>
      </c>
      <c r="E516" t="str">
        <f>"201902067175"</f>
        <v>201902067175</v>
      </c>
      <c r="F516" t="str">
        <f>"FERAL HOGS"</f>
        <v>FERAL HOGS</v>
      </c>
      <c r="G516" s="2">
        <v>10</v>
      </c>
      <c r="H516" t="str">
        <f>"FERAL HOGS"</f>
        <v>FERAL HOGS</v>
      </c>
    </row>
    <row r="517" spans="1:8" x14ac:dyDescent="0.25">
      <c r="A517" t="s">
        <v>157</v>
      </c>
      <c r="B517">
        <v>81095</v>
      </c>
      <c r="C517" s="2">
        <v>588.96</v>
      </c>
      <c r="D517" s="1">
        <v>43522</v>
      </c>
      <c r="E517" t="str">
        <f>"6872993"</f>
        <v>6872993</v>
      </c>
      <c r="F517" t="str">
        <f>"CUST#39808/ORD#9350834A"</f>
        <v>CUST#39808/ORD#9350834A</v>
      </c>
      <c r="G517" s="2">
        <v>588.96</v>
      </c>
      <c r="H517" t="str">
        <f>"CUST#39808/ORD#9350834A"</f>
        <v>CUST#39808/ORD#9350834A</v>
      </c>
    </row>
    <row r="518" spans="1:8" x14ac:dyDescent="0.25">
      <c r="A518" t="s">
        <v>158</v>
      </c>
      <c r="B518">
        <v>81096</v>
      </c>
      <c r="C518" s="2">
        <v>978</v>
      </c>
      <c r="D518" s="1">
        <v>43522</v>
      </c>
      <c r="E518" t="str">
        <f>"201902227511"</f>
        <v>201902227511</v>
      </c>
      <c r="F518" t="str">
        <f>"SANE EXAM - 19-S-00534"</f>
        <v>SANE EXAM - 19-S-00534</v>
      </c>
      <c r="G518" s="2">
        <v>489</v>
      </c>
      <c r="H518" t="str">
        <f>"SANE EXAM - 19-S-00534"</f>
        <v>SANE EXAM - 19-S-00534</v>
      </c>
    </row>
    <row r="519" spans="1:8" x14ac:dyDescent="0.25">
      <c r="E519" t="str">
        <f>"201902227512"</f>
        <v>201902227512</v>
      </c>
      <c r="F519" t="str">
        <f>"SANE EXAM - 19-S-00299"</f>
        <v>SANE EXAM - 19-S-00299</v>
      </c>
      <c r="G519" s="2">
        <v>489</v>
      </c>
      <c r="H519" t="str">
        <f>"SANE EXAM - 19-S-00299"</f>
        <v>SANE EXAM - 19-S-00299</v>
      </c>
    </row>
    <row r="520" spans="1:8" x14ac:dyDescent="0.25">
      <c r="A520" t="s">
        <v>159</v>
      </c>
      <c r="B520">
        <v>81097</v>
      </c>
      <c r="C520" s="2">
        <v>112.42</v>
      </c>
      <c r="D520" s="1">
        <v>43522</v>
      </c>
      <c r="E520" t="str">
        <f>"201902157454"</f>
        <v>201902157454</v>
      </c>
      <c r="F520" t="str">
        <f>"INDIGENT HEALTH"</f>
        <v>INDIGENT HEALTH</v>
      </c>
      <c r="G520" s="2">
        <v>112.42</v>
      </c>
      <c r="H520" t="str">
        <f>"INDIGENT HEALTH"</f>
        <v>INDIGENT HEALTH</v>
      </c>
    </row>
    <row r="521" spans="1:8" x14ac:dyDescent="0.25">
      <c r="E521" t="str">
        <f>""</f>
        <v/>
      </c>
      <c r="F521" t="str">
        <f>""</f>
        <v/>
      </c>
      <c r="H521" t="str">
        <f>"INDIGENT HEALTH"</f>
        <v>INDIGENT HEALTH</v>
      </c>
    </row>
    <row r="522" spans="1:8" x14ac:dyDescent="0.25">
      <c r="A522" t="s">
        <v>160</v>
      </c>
      <c r="B522">
        <v>80880</v>
      </c>
      <c r="C522" s="2">
        <v>108.81</v>
      </c>
      <c r="D522" s="1">
        <v>43507</v>
      </c>
      <c r="E522" t="str">
        <f>"6-384-38610"</f>
        <v>6-384-38610</v>
      </c>
      <c r="F522" t="str">
        <f>"ACCT#4702-9210-5/AUDITOR"</f>
        <v>ACCT#4702-9210-5/AUDITOR</v>
      </c>
      <c r="G522" s="2">
        <v>83.43</v>
      </c>
      <c r="H522" t="str">
        <f>"ACCT#4702-9210-5/AUDITOR"</f>
        <v>ACCT#4702-9210-5/AUDITOR</v>
      </c>
    </row>
    <row r="523" spans="1:8" x14ac:dyDescent="0.25">
      <c r="E523" t="str">
        <f>"6-446-22128"</f>
        <v>6-446-22128</v>
      </c>
      <c r="F523" t="str">
        <f>"ACCT#1305-8295-8/D.A.'S"</f>
        <v>ACCT#1305-8295-8/D.A.'S</v>
      </c>
      <c r="G523" s="2">
        <v>25.38</v>
      </c>
      <c r="H523" t="str">
        <f>"ACCT#1305-8295-8/D.A.'S"</f>
        <v>ACCT#1305-8295-8/D.A.'S</v>
      </c>
    </row>
    <row r="524" spans="1:8" x14ac:dyDescent="0.25">
      <c r="A524" t="s">
        <v>160</v>
      </c>
      <c r="B524">
        <v>81098</v>
      </c>
      <c r="C524" s="2">
        <v>34.979999999999997</v>
      </c>
      <c r="D524" s="1">
        <v>43522</v>
      </c>
      <c r="E524" t="str">
        <f>"6-461-12432"</f>
        <v>6-461-12432</v>
      </c>
      <c r="F524" t="str">
        <f>"ACCT#1305-8295-8/DIST ATTY"</f>
        <v>ACCT#1305-8295-8/DIST ATTY</v>
      </c>
      <c r="G524" s="2">
        <v>34.979999999999997</v>
      </c>
      <c r="H524" t="str">
        <f>"ACCT#1305-8295-8/DIST ATTY"</f>
        <v>ACCT#1305-8295-8/DIST ATTY</v>
      </c>
    </row>
    <row r="525" spans="1:8" x14ac:dyDescent="0.25">
      <c r="A525" t="s">
        <v>161</v>
      </c>
      <c r="B525">
        <v>80881</v>
      </c>
      <c r="C525" s="2">
        <v>227.34</v>
      </c>
      <c r="D525" s="1">
        <v>43507</v>
      </c>
      <c r="E525" t="str">
        <f>"19260753"</f>
        <v>19260753</v>
      </c>
      <c r="F525" t="str">
        <f>"ACCT#80975-001/PCT#3"</f>
        <v>ACCT#80975-001/PCT#3</v>
      </c>
      <c r="G525" s="2">
        <v>227.34</v>
      </c>
      <c r="H525" t="str">
        <f>"ACCT#80975-001/PCT#3"</f>
        <v>ACCT#80975-001/PCT#3</v>
      </c>
    </row>
    <row r="526" spans="1:8" x14ac:dyDescent="0.25">
      <c r="A526" t="s">
        <v>161</v>
      </c>
      <c r="B526">
        <v>81099</v>
      </c>
      <c r="C526" s="2">
        <v>921.69</v>
      </c>
      <c r="D526" s="1">
        <v>43522</v>
      </c>
      <c r="E526" t="str">
        <f>"19357400"</f>
        <v>19357400</v>
      </c>
      <c r="F526" t="str">
        <f>"ACCT#80975-001/PCT#3"</f>
        <v>ACCT#80975-001/PCT#3</v>
      </c>
      <c r="G526" s="2">
        <v>334.56</v>
      </c>
      <c r="H526" t="str">
        <f>"ACCT#80975-001/PCT#3"</f>
        <v>ACCT#80975-001/PCT#3</v>
      </c>
    </row>
    <row r="527" spans="1:8" x14ac:dyDescent="0.25">
      <c r="E527" t="str">
        <f>"19619314"</f>
        <v>19619314</v>
      </c>
      <c r="F527" t="str">
        <f>"ACCT#80975-002/CARTRIDGE/P4"</f>
        <v>ACCT#80975-002/CARTRIDGE/P4</v>
      </c>
      <c r="G527" s="2">
        <v>210.61</v>
      </c>
      <c r="H527" t="str">
        <f>"ACCT#80975-002/CARTRIDGE/P4"</f>
        <v>ACCT#80975-002/CARTRIDGE/P4</v>
      </c>
    </row>
    <row r="528" spans="1:8" x14ac:dyDescent="0.25">
      <c r="E528" t="str">
        <f>"20034675"</f>
        <v>20034675</v>
      </c>
      <c r="F528" t="str">
        <f>"ACCT#80975-001/PCT#3"</f>
        <v>ACCT#80975-001/PCT#3</v>
      </c>
      <c r="G528" s="2">
        <v>61.62</v>
      </c>
      <c r="H528" t="str">
        <f>"ACCT#80975-001/PCT#3"</f>
        <v>ACCT#80975-001/PCT#3</v>
      </c>
    </row>
    <row r="529" spans="1:9" x14ac:dyDescent="0.25">
      <c r="E529" t="str">
        <f>"20302625"</f>
        <v>20302625</v>
      </c>
      <c r="F529" t="str">
        <f>"ACCT#80975-001/PCT#3"</f>
        <v>ACCT#80975-001/PCT#3</v>
      </c>
      <c r="G529" s="2">
        <v>314.89999999999998</v>
      </c>
      <c r="H529" t="str">
        <f>"ACCT#80975-001/PCT#3"</f>
        <v>ACCT#80975-001/PCT#3</v>
      </c>
    </row>
    <row r="530" spans="1:9" x14ac:dyDescent="0.25">
      <c r="A530" t="s">
        <v>162</v>
      </c>
      <c r="B530">
        <v>474</v>
      </c>
      <c r="C530" s="2">
        <v>45</v>
      </c>
      <c r="D530" s="1">
        <v>43523</v>
      </c>
      <c r="E530" t="str">
        <f>"201902227509"</f>
        <v>201902227509</v>
      </c>
      <c r="F530" t="str">
        <f>"REFUND BAIL BOND COUPONS"</f>
        <v>REFUND BAIL BOND COUPONS</v>
      </c>
      <c r="G530" s="2">
        <v>45</v>
      </c>
      <c r="H530" t="str">
        <f>"REFUND BAIL BOND COUPONS"</f>
        <v>REFUND BAIL BOND COUPONS</v>
      </c>
    </row>
    <row r="531" spans="1:9" x14ac:dyDescent="0.25">
      <c r="A531" t="s">
        <v>163</v>
      </c>
      <c r="B531">
        <v>81100</v>
      </c>
      <c r="C531" s="2">
        <v>120</v>
      </c>
      <c r="D531" s="1">
        <v>43522</v>
      </c>
      <c r="E531" t="s">
        <v>81</v>
      </c>
      <c r="F531" t="s">
        <v>164</v>
      </c>
      <c r="G531" s="2" t="str">
        <f>"RESTITUTION-DONALD CORKILL"</f>
        <v>RESTITUTION-DONALD CORKILL</v>
      </c>
      <c r="H531" t="str">
        <f>"210-0000"</f>
        <v>210-0000</v>
      </c>
      <c r="I531" t="str">
        <f>""</f>
        <v/>
      </c>
    </row>
    <row r="532" spans="1:9" x14ac:dyDescent="0.25">
      <c r="A532" t="s">
        <v>165</v>
      </c>
      <c r="B532">
        <v>81101</v>
      </c>
      <c r="C532" s="2">
        <v>3097.5</v>
      </c>
      <c r="D532" s="1">
        <v>43522</v>
      </c>
      <c r="E532" t="str">
        <f>"70650"</f>
        <v>70650</v>
      </c>
      <c r="F532" t="str">
        <f>"CASE REVIEW"</f>
        <v>CASE REVIEW</v>
      </c>
      <c r="G532" s="2">
        <v>3097.5</v>
      </c>
      <c r="H532" t="str">
        <f>"CASE REVIEW"</f>
        <v>CASE REVIEW</v>
      </c>
    </row>
    <row r="533" spans="1:9" x14ac:dyDescent="0.25">
      <c r="A533" t="s">
        <v>166</v>
      </c>
      <c r="B533">
        <v>441</v>
      </c>
      <c r="C533" s="2">
        <v>1150</v>
      </c>
      <c r="D533" s="1">
        <v>43508</v>
      </c>
      <c r="E533" t="str">
        <f>"201901296880"</f>
        <v>201901296880</v>
      </c>
      <c r="F533" t="str">
        <f>"54 559"</f>
        <v>54 559</v>
      </c>
      <c r="G533" s="2">
        <v>250</v>
      </c>
      <c r="H533" t="str">
        <f>"54 559"</f>
        <v>54 559</v>
      </c>
    </row>
    <row r="534" spans="1:9" x14ac:dyDescent="0.25">
      <c r="E534" t="str">
        <f>"201901306916"</f>
        <v>201901306916</v>
      </c>
      <c r="F534" t="str">
        <f>"16 582"</f>
        <v>16 582</v>
      </c>
      <c r="G534" s="2">
        <v>400</v>
      </c>
      <c r="H534" t="str">
        <f>"16 582"</f>
        <v>16 582</v>
      </c>
    </row>
    <row r="535" spans="1:9" x14ac:dyDescent="0.25">
      <c r="E535" t="str">
        <f>"201902016985"</f>
        <v>201902016985</v>
      </c>
      <c r="F535" t="str">
        <f>"56 324"</f>
        <v>56 324</v>
      </c>
      <c r="G535" s="2">
        <v>250</v>
      </c>
      <c r="H535" t="str">
        <f>"56 324"</f>
        <v>56 324</v>
      </c>
    </row>
    <row r="536" spans="1:9" x14ac:dyDescent="0.25">
      <c r="E536" t="str">
        <f>"201902057075"</f>
        <v>201902057075</v>
      </c>
      <c r="F536" t="str">
        <f>"CH-20170916C"</f>
        <v>CH-20170916C</v>
      </c>
      <c r="G536" s="2">
        <v>250</v>
      </c>
      <c r="H536" t="str">
        <f>"CH-20170916C"</f>
        <v>CH-20170916C</v>
      </c>
    </row>
    <row r="537" spans="1:9" x14ac:dyDescent="0.25">
      <c r="A537" t="s">
        <v>166</v>
      </c>
      <c r="B537">
        <v>502</v>
      </c>
      <c r="C537" s="2">
        <v>650</v>
      </c>
      <c r="D537" s="1">
        <v>43523</v>
      </c>
      <c r="E537" t="str">
        <f>"201902127357"</f>
        <v>201902127357</v>
      </c>
      <c r="F537" t="str">
        <f>"15 967"</f>
        <v>15 967</v>
      </c>
      <c r="G537" s="2">
        <v>400</v>
      </c>
      <c r="H537" t="str">
        <f>"15 967"</f>
        <v>15 967</v>
      </c>
    </row>
    <row r="538" spans="1:9" x14ac:dyDescent="0.25">
      <c r="E538" t="str">
        <f>"201902127394"</f>
        <v>201902127394</v>
      </c>
      <c r="F538" t="str">
        <f>"J-3163"</f>
        <v>J-3163</v>
      </c>
      <c r="G538" s="2">
        <v>250</v>
      </c>
      <c r="H538" t="str">
        <f>"J-3163"</f>
        <v>J-3163</v>
      </c>
    </row>
    <row r="539" spans="1:9" x14ac:dyDescent="0.25">
      <c r="A539" t="s">
        <v>167</v>
      </c>
      <c r="B539">
        <v>80882</v>
      </c>
      <c r="C539" s="2">
        <v>80</v>
      </c>
      <c r="D539" s="1">
        <v>43507</v>
      </c>
      <c r="E539" t="str">
        <f>"12749"</f>
        <v>12749</v>
      </c>
      <c r="F539" t="str">
        <f>"SERVICE"</f>
        <v>SERVICE</v>
      </c>
      <c r="G539" s="2">
        <v>80</v>
      </c>
    </row>
    <row r="540" spans="1:9" x14ac:dyDescent="0.25">
      <c r="A540" t="s">
        <v>167</v>
      </c>
      <c r="B540">
        <v>80882</v>
      </c>
      <c r="C540" s="2">
        <v>80</v>
      </c>
      <c r="D540" s="1">
        <v>43518</v>
      </c>
      <c r="E540" t="str">
        <f>"CHECK"</f>
        <v>CHECK</v>
      </c>
      <c r="F540" t="str">
        <f>""</f>
        <v/>
      </c>
      <c r="G540" s="2">
        <v>80</v>
      </c>
    </row>
    <row r="541" spans="1:9" x14ac:dyDescent="0.25">
      <c r="A541" t="s">
        <v>168</v>
      </c>
      <c r="B541">
        <v>81032</v>
      </c>
      <c r="C541" s="2">
        <v>80</v>
      </c>
      <c r="D541" s="1">
        <v>43518</v>
      </c>
      <c r="E541" t="str">
        <f>"12749"</f>
        <v>12749</v>
      </c>
      <c r="F541" t="str">
        <f>"SERVICE CAUSE NO. 12749"</f>
        <v>SERVICE CAUSE NO. 12749</v>
      </c>
      <c r="G541" s="2">
        <v>80</v>
      </c>
      <c r="H541" t="str">
        <f>"SERVICE CAUSE NO. 12749"</f>
        <v>SERVICE CAUSE NO. 12749</v>
      </c>
    </row>
    <row r="542" spans="1:9" x14ac:dyDescent="0.25">
      <c r="A542" t="s">
        <v>169</v>
      </c>
      <c r="B542">
        <v>495</v>
      </c>
      <c r="C542" s="2">
        <v>255</v>
      </c>
      <c r="D542" s="1">
        <v>43523</v>
      </c>
      <c r="E542" t="str">
        <f>"201902227462"</f>
        <v>201902227462</v>
      </c>
      <c r="F542" t="str">
        <f>"PER DIEM  03/10-03/13"</f>
        <v>PER DIEM  03/10-03/13</v>
      </c>
      <c r="G542" s="2">
        <v>45</v>
      </c>
      <c r="H542" t="str">
        <f>"PER DIEM"</f>
        <v>PER DIEM</v>
      </c>
    </row>
    <row r="543" spans="1:9" x14ac:dyDescent="0.25">
      <c r="E543" t="str">
        <f>"201902227463"</f>
        <v>201902227463</v>
      </c>
      <c r="F543" t="str">
        <f>"PER DIEM  03/04-03/07"</f>
        <v>PER DIEM  03/04-03/07</v>
      </c>
      <c r="G543" s="2">
        <v>135</v>
      </c>
      <c r="H543" t="str">
        <f>"PER DIEM"</f>
        <v>PER DIEM</v>
      </c>
    </row>
    <row r="544" spans="1:9" x14ac:dyDescent="0.25">
      <c r="E544" t="str">
        <f>"201902227464"</f>
        <v>201902227464</v>
      </c>
      <c r="F544" t="str">
        <f>"PER DIEM  02/16"</f>
        <v>PER DIEM  02/16</v>
      </c>
      <c r="G544" s="2">
        <v>35</v>
      </c>
      <c r="H544" t="str">
        <f>"PER DIEM"</f>
        <v>PER DIEM</v>
      </c>
    </row>
    <row r="545" spans="1:8" x14ac:dyDescent="0.25">
      <c r="E545" t="str">
        <f>"201902227465"</f>
        <v>201902227465</v>
      </c>
      <c r="F545" t="str">
        <f>"PER DIEM  02/05-02/06"</f>
        <v>PER DIEM  02/05-02/06</v>
      </c>
      <c r="G545" s="2">
        <v>40</v>
      </c>
      <c r="H545" t="str">
        <f>"PER DIEM"</f>
        <v>PER DIEM</v>
      </c>
    </row>
    <row r="546" spans="1:8" x14ac:dyDescent="0.25">
      <c r="A546" t="s">
        <v>169</v>
      </c>
      <c r="B546">
        <v>80883</v>
      </c>
      <c r="C546" s="2">
        <v>832.15</v>
      </c>
      <c r="D546" s="1">
        <v>43507</v>
      </c>
      <c r="E546" t="str">
        <f>"201902047031"</f>
        <v>201902047031</v>
      </c>
      <c r="F546" t="str">
        <f>"REIMBURSE TRAVEL EXPENSES"</f>
        <v>REIMBURSE TRAVEL EXPENSES</v>
      </c>
      <c r="G546" s="2">
        <v>141.5</v>
      </c>
      <c r="H546" t="str">
        <f>"REIMBURSE TRAVEL EXPENSES"</f>
        <v>REIMBURSE TRAVEL EXPENSES</v>
      </c>
    </row>
    <row r="547" spans="1:8" x14ac:dyDescent="0.25">
      <c r="E547" t="str">
        <f>"201902047032"</f>
        <v>201902047032</v>
      </c>
      <c r="F547" t="str">
        <f>"REIMBURSE PARKING"</f>
        <v>REIMBURSE PARKING</v>
      </c>
      <c r="G547" s="2">
        <v>48</v>
      </c>
      <c r="H547" t="str">
        <f>"REIMBURSE PARKING"</f>
        <v>REIMBURSE PARKING</v>
      </c>
    </row>
    <row r="548" spans="1:8" x14ac:dyDescent="0.25">
      <c r="E548" t="str">
        <f>"201902047033"</f>
        <v>201902047033</v>
      </c>
      <c r="F548" t="str">
        <f>"REIMBURSE MILEAGE"</f>
        <v>REIMBURSE MILEAGE</v>
      </c>
      <c r="G548" s="2">
        <v>354.96</v>
      </c>
      <c r="H548" t="str">
        <f>"REIMBURSE MILEAGE"</f>
        <v>REIMBURSE MILEAGE</v>
      </c>
    </row>
    <row r="549" spans="1:8" x14ac:dyDescent="0.25">
      <c r="E549" t="str">
        <f>"201902047034"</f>
        <v>201902047034</v>
      </c>
      <c r="F549" t="str">
        <f>"REIMBURSE MILEAGE"</f>
        <v>REIMBURSE MILEAGE</v>
      </c>
      <c r="G549" s="2">
        <v>287.69</v>
      </c>
      <c r="H549" t="str">
        <f>"REIMBURSE MILEAGE"</f>
        <v>REIMBURSE MILEAGE</v>
      </c>
    </row>
    <row r="550" spans="1:8" x14ac:dyDescent="0.25">
      <c r="A550" t="s">
        <v>170</v>
      </c>
      <c r="B550">
        <v>436</v>
      </c>
      <c r="C550" s="2">
        <v>344.88</v>
      </c>
      <c r="D550" s="1">
        <v>43508</v>
      </c>
      <c r="E550" t="str">
        <f>"AP391076"</f>
        <v>AP391076</v>
      </c>
      <c r="F550" t="str">
        <f>"ACCT#3326/BRAKES/PCT#4"</f>
        <v>ACCT#3326/BRAKES/PCT#4</v>
      </c>
      <c r="G550" s="2">
        <v>-211.82</v>
      </c>
      <c r="H550" t="str">
        <f>"ACCT#3326/BRAKES/PCT#4"</f>
        <v>ACCT#3326/BRAKES/PCT#4</v>
      </c>
    </row>
    <row r="551" spans="1:8" x14ac:dyDescent="0.25">
      <c r="E551" t="str">
        <f>"AP390492"</f>
        <v>AP390492</v>
      </c>
      <c r="F551" t="str">
        <f>"ACCT#3326/BRAKE SHOE/FILTER/P4"</f>
        <v>ACCT#3326/BRAKE SHOE/FILTER/P4</v>
      </c>
      <c r="G551" s="2">
        <v>451.31</v>
      </c>
      <c r="H551" t="str">
        <f>"ACCT#3326/BRAKE SHOE/FILTER/P4"</f>
        <v>ACCT#3326/BRAKE SHOE/FILTER/P4</v>
      </c>
    </row>
    <row r="552" spans="1:8" x14ac:dyDescent="0.25">
      <c r="E552" t="str">
        <f>"AP390973"</f>
        <v>AP390973</v>
      </c>
      <c r="F552" t="str">
        <f>"ACCT#3326/AIR BAG/PISTON/PCT#4"</f>
        <v>ACCT#3326/AIR BAG/PISTON/PCT#4</v>
      </c>
      <c r="G552" s="2">
        <v>105.39</v>
      </c>
      <c r="H552" t="str">
        <f>"ACCT#3326/AIR BAG/PISTON/PCT#4"</f>
        <v>ACCT#3326/AIR BAG/PISTON/PCT#4</v>
      </c>
    </row>
    <row r="553" spans="1:8" x14ac:dyDescent="0.25">
      <c r="A553" t="s">
        <v>170</v>
      </c>
      <c r="B553">
        <v>496</v>
      </c>
      <c r="C553" s="2">
        <v>2527.69</v>
      </c>
      <c r="D553" s="1">
        <v>43523</v>
      </c>
      <c r="E553" t="str">
        <f>"AP391757"</f>
        <v>AP391757</v>
      </c>
      <c r="F553" t="str">
        <f>"ACCT#3324/PCT#4"</f>
        <v>ACCT#3324/PCT#4</v>
      </c>
      <c r="G553" s="2">
        <v>824.97</v>
      </c>
      <c r="H553" t="str">
        <f>"ACCT#3324/PCT#4"</f>
        <v>ACCT#3324/PCT#4</v>
      </c>
    </row>
    <row r="554" spans="1:8" x14ac:dyDescent="0.25">
      <c r="E554" t="str">
        <f>"AP392085"</f>
        <v>AP392085</v>
      </c>
      <c r="F554" t="str">
        <f>"ACCT#3325/PCT#2"</f>
        <v>ACCT#3325/PCT#2</v>
      </c>
      <c r="G554" s="2">
        <v>250.82</v>
      </c>
      <c r="H554" t="str">
        <f>"ACCT#3325/PCT#2"</f>
        <v>ACCT#3325/PCT#2</v>
      </c>
    </row>
    <row r="555" spans="1:8" x14ac:dyDescent="0.25">
      <c r="E555" t="str">
        <f>"AP392560"</f>
        <v>AP392560</v>
      </c>
      <c r="F555" t="str">
        <f>"ACCT#3325/PCT#2"</f>
        <v>ACCT#3325/PCT#2</v>
      </c>
      <c r="G555" s="2">
        <v>941.31</v>
      </c>
      <c r="H555" t="str">
        <f>"ACCT#3325/PCT#2"</f>
        <v>ACCT#3325/PCT#2</v>
      </c>
    </row>
    <row r="556" spans="1:8" x14ac:dyDescent="0.25">
      <c r="E556" t="str">
        <f>"AP392595"</f>
        <v>AP392595</v>
      </c>
      <c r="F556" t="str">
        <f>"ACCT#3325/PCT#2"</f>
        <v>ACCT#3325/PCT#2</v>
      </c>
      <c r="G556" s="2">
        <v>198.63</v>
      </c>
      <c r="H556" t="str">
        <f>"ACCT#3325/PCT#2"</f>
        <v>ACCT#3325/PCT#2</v>
      </c>
    </row>
    <row r="557" spans="1:8" x14ac:dyDescent="0.25">
      <c r="E557" t="str">
        <f>"AP392651"</f>
        <v>AP392651</v>
      </c>
      <c r="F557" t="str">
        <f>"ACCT#3325/AIR FILTER/PCT#2"</f>
        <v>ACCT#3325/AIR FILTER/PCT#2</v>
      </c>
      <c r="G557" s="2">
        <v>311.95999999999998</v>
      </c>
      <c r="H557" t="str">
        <f>"ACCT#3325/AIR FILTER/PCT#2"</f>
        <v>ACCT#3325/AIR FILTER/PCT#2</v>
      </c>
    </row>
    <row r="558" spans="1:8" x14ac:dyDescent="0.25">
      <c r="A558" t="s">
        <v>171</v>
      </c>
      <c r="B558">
        <v>442</v>
      </c>
      <c r="C558" s="2">
        <v>1755.48</v>
      </c>
      <c r="D558" s="1">
        <v>43508</v>
      </c>
      <c r="E558" t="str">
        <f>"107600"</f>
        <v>107600</v>
      </c>
      <c r="F558" t="str">
        <f>"INV GC 107600"</f>
        <v>INV GC 107600</v>
      </c>
      <c r="G558" s="2">
        <v>122.88</v>
      </c>
      <c r="H558" t="str">
        <f>"INV GC 107600"</f>
        <v>INV GC 107600</v>
      </c>
    </row>
    <row r="559" spans="1:8" x14ac:dyDescent="0.25">
      <c r="E559" t="str">
        <f>"107641"</f>
        <v>107641</v>
      </c>
      <c r="F559" t="str">
        <f>"BUSINESS CARDS/PCT#4"</f>
        <v>BUSINESS CARDS/PCT#4</v>
      </c>
      <c r="G559" s="2">
        <v>59.5</v>
      </c>
      <c r="H559" t="str">
        <f>"BUSINESS CARDS/PCT#4"</f>
        <v>BUSINESS CARDS/PCT#4</v>
      </c>
    </row>
    <row r="560" spans="1:8" x14ac:dyDescent="0.25">
      <c r="E560" t="str">
        <f>"107657"</f>
        <v>107657</v>
      </c>
      <c r="F560" t="str">
        <f>"MAGNET CALENDAR"</f>
        <v>MAGNET CALENDAR</v>
      </c>
      <c r="G560" s="2">
        <v>1389.45</v>
      </c>
      <c r="H560" t="str">
        <f>"MAGNET CALENDAR"</f>
        <v>MAGNET CALENDAR</v>
      </c>
    </row>
    <row r="561" spans="1:8" x14ac:dyDescent="0.25">
      <c r="E561" t="str">
        <f>"107663"</f>
        <v>107663</v>
      </c>
      <c r="F561" t="str">
        <f>"NOTICE OF VIOLATION/DEV SVCS"</f>
        <v>NOTICE OF VIOLATION/DEV SVCS</v>
      </c>
      <c r="G561" s="2">
        <v>183.65</v>
      </c>
      <c r="H561" t="str">
        <f>"NOTICE OF VIOLATION/DEV SVCS"</f>
        <v>NOTICE OF VIOLATION/DEV SVCS</v>
      </c>
    </row>
    <row r="562" spans="1:8" x14ac:dyDescent="0.25">
      <c r="A562" t="s">
        <v>171</v>
      </c>
      <c r="B562">
        <v>503</v>
      </c>
      <c r="C562" s="2">
        <v>2567.86</v>
      </c>
      <c r="D562" s="1">
        <v>43523</v>
      </c>
      <c r="E562" t="str">
        <f>"107776"</f>
        <v>107776</v>
      </c>
      <c r="F562" t="str">
        <f>"REGULAR/WINDOW ENVELOPES-JP1"</f>
        <v>REGULAR/WINDOW ENVELOPES-JP1</v>
      </c>
      <c r="G562" s="2">
        <v>520.23</v>
      </c>
      <c r="H562" t="str">
        <f>"REGULAR/WINDOW ENVELOPES-JP1"</f>
        <v>REGULAR/WINDOW ENVELOPES-JP1</v>
      </c>
    </row>
    <row r="563" spans="1:8" x14ac:dyDescent="0.25">
      <c r="E563" t="str">
        <f>"107784"</f>
        <v>107784</v>
      </c>
      <c r="F563" t="str">
        <f>"BUSINESS CARDS-JP#1"</f>
        <v>BUSINESS CARDS-JP#1</v>
      </c>
      <c r="G563" s="2">
        <v>146.25</v>
      </c>
      <c r="H563" t="str">
        <f>"BUSINESS CARDS-JP#1"</f>
        <v>BUSINESS CARDS-JP#1</v>
      </c>
    </row>
    <row r="564" spans="1:8" x14ac:dyDescent="0.25">
      <c r="E564" t="str">
        <f>"GC 107812"</f>
        <v>GC 107812</v>
      </c>
      <c r="F564" t="str">
        <f>"INV GC 107812"</f>
        <v>INV GC 107812</v>
      </c>
      <c r="G564" s="2">
        <v>1901.38</v>
      </c>
      <c r="H564" t="str">
        <f>"INV GC 107812"</f>
        <v>INV GC 107812</v>
      </c>
    </row>
    <row r="565" spans="1:8" x14ac:dyDescent="0.25">
      <c r="A565" t="s">
        <v>172</v>
      </c>
      <c r="B565">
        <v>81102</v>
      </c>
      <c r="C565" s="2">
        <v>919.9</v>
      </c>
      <c r="D565" s="1">
        <v>43522</v>
      </c>
      <c r="E565" t="str">
        <f>"1-T1005639"</f>
        <v>1-T1005639</v>
      </c>
      <c r="F565" t="str">
        <f>"G4 SPATIAL TECHNOLOGIES"</f>
        <v>G4 SPATIAL TECHNOLOGIES</v>
      </c>
      <c r="G565" s="2">
        <v>919.9</v>
      </c>
      <c r="H565" t="str">
        <f>"Lazer Level"</f>
        <v>Lazer Level</v>
      </c>
    </row>
    <row r="566" spans="1:8" x14ac:dyDescent="0.25">
      <c r="E566" t="str">
        <f>""</f>
        <v/>
      </c>
      <c r="F566" t="str">
        <f>""</f>
        <v/>
      </c>
      <c r="H566" t="str">
        <f>"Wood Tripod"</f>
        <v>Wood Tripod</v>
      </c>
    </row>
    <row r="567" spans="1:8" x14ac:dyDescent="0.25">
      <c r="E567" t="str">
        <f>""</f>
        <v/>
      </c>
      <c r="F567" t="str">
        <f>""</f>
        <v/>
      </c>
      <c r="H567" t="str">
        <f>"Scale"</f>
        <v>Scale</v>
      </c>
    </row>
    <row r="568" spans="1:8" x14ac:dyDescent="0.25">
      <c r="A568" t="s">
        <v>173</v>
      </c>
      <c r="B568">
        <v>80884</v>
      </c>
      <c r="C568" s="2">
        <v>728.5</v>
      </c>
      <c r="D568" s="1">
        <v>43507</v>
      </c>
      <c r="E568" t="str">
        <f>"011736053"</f>
        <v>011736053</v>
      </c>
      <c r="F568" t="str">
        <f>"INV 011736053"</f>
        <v>INV 011736053</v>
      </c>
      <c r="G568" s="2">
        <v>259.5</v>
      </c>
      <c r="H568" t="str">
        <f>"INV 011736053"</f>
        <v>INV 011736053</v>
      </c>
    </row>
    <row r="569" spans="1:8" x14ac:dyDescent="0.25">
      <c r="E569" t="str">
        <f>"011837451"</f>
        <v>011837451</v>
      </c>
      <c r="F569" t="str">
        <f>"INV 011837451"</f>
        <v>INV 011837451</v>
      </c>
      <c r="G569" s="2">
        <v>39</v>
      </c>
      <c r="H569" t="str">
        <f>"INV 011837451"</f>
        <v>INV 011837451</v>
      </c>
    </row>
    <row r="570" spans="1:8" x14ac:dyDescent="0.25">
      <c r="E570" t="str">
        <f>"011838475 01183849"</f>
        <v>011838475 01183849</v>
      </c>
      <c r="F570" t="str">
        <f>"INV 011838475"</f>
        <v>INV 011838475</v>
      </c>
      <c r="G570" s="2">
        <v>417</v>
      </c>
      <c r="H570" t="str">
        <f>"INV 011838475"</f>
        <v>INV 011838475</v>
      </c>
    </row>
    <row r="571" spans="1:8" x14ac:dyDescent="0.25">
      <c r="E571" t="str">
        <f>""</f>
        <v/>
      </c>
      <c r="F571" t="str">
        <f>""</f>
        <v/>
      </c>
      <c r="H571" t="str">
        <f>"INV 011838494"</f>
        <v>INV 011838494</v>
      </c>
    </row>
    <row r="572" spans="1:8" x14ac:dyDescent="0.25">
      <c r="E572" t="str">
        <f>"011848920"</f>
        <v>011848920</v>
      </c>
      <c r="F572" t="str">
        <f>"011848920"</f>
        <v>011848920</v>
      </c>
      <c r="G572" s="2">
        <v>13</v>
      </c>
      <c r="H572" t="str">
        <f>"011848920"</f>
        <v>011848920</v>
      </c>
    </row>
    <row r="573" spans="1:8" x14ac:dyDescent="0.25">
      <c r="A573" t="s">
        <v>173</v>
      </c>
      <c r="B573">
        <v>81103</v>
      </c>
      <c r="C573" s="2">
        <v>52.3</v>
      </c>
      <c r="D573" s="1">
        <v>43522</v>
      </c>
      <c r="E573" t="str">
        <f>"011807832"</f>
        <v>011807832</v>
      </c>
      <c r="F573" t="str">
        <f>"INV 011807832"</f>
        <v>INV 011807832</v>
      </c>
      <c r="G573" s="2">
        <v>52.3</v>
      </c>
      <c r="H573" t="str">
        <f>"INV 011807832"</f>
        <v>INV 011807832</v>
      </c>
    </row>
    <row r="574" spans="1:8" x14ac:dyDescent="0.25">
      <c r="A574" t="s">
        <v>174</v>
      </c>
      <c r="B574">
        <v>460</v>
      </c>
      <c r="C574" s="2">
        <v>327.60000000000002</v>
      </c>
      <c r="D574" s="1">
        <v>43508</v>
      </c>
      <c r="E574" t="str">
        <f>"N56164"</f>
        <v>N56164</v>
      </c>
      <c r="F574" t="str">
        <f>"Order# S48432- hats"</f>
        <v>Order# S48432- hats</v>
      </c>
      <c r="G574" s="2">
        <v>327.60000000000002</v>
      </c>
      <c r="H574" t="str">
        <f>"N56164"</f>
        <v>N56164</v>
      </c>
    </row>
    <row r="575" spans="1:8" x14ac:dyDescent="0.25">
      <c r="A575" t="s">
        <v>174</v>
      </c>
      <c r="B575">
        <v>519</v>
      </c>
      <c r="C575" s="2">
        <v>797.01</v>
      </c>
      <c r="D575" s="1">
        <v>43523</v>
      </c>
      <c r="E575" t="str">
        <f>"N56712"</f>
        <v>N56712</v>
      </c>
      <c r="F575" t="str">
        <f>"Inv# N56712"</f>
        <v>Inv# N56712</v>
      </c>
      <c r="G575" s="2">
        <v>112.32</v>
      </c>
      <c r="H575" t="str">
        <f>"Inv# N56712"</f>
        <v>Inv# N56712</v>
      </c>
    </row>
    <row r="576" spans="1:8" x14ac:dyDescent="0.25">
      <c r="E576" t="str">
        <f>"N56714"</f>
        <v>N56714</v>
      </c>
      <c r="F576" t="str">
        <f>"Bomber Jackets"</f>
        <v>Bomber Jackets</v>
      </c>
      <c r="G576" s="2">
        <v>684.69</v>
      </c>
      <c r="H576" t="str">
        <f>"MXMAX605SYB- XL"</f>
        <v>MXMAX605SYB- XL</v>
      </c>
    </row>
    <row r="577" spans="1:8" x14ac:dyDescent="0.25">
      <c r="E577" t="str">
        <f>""</f>
        <v/>
      </c>
      <c r="F577" t="str">
        <f>""</f>
        <v/>
      </c>
      <c r="H577" t="str">
        <f>"MXMAX605SYB-2XL"</f>
        <v>MXMAX605SYB-2XL</v>
      </c>
    </row>
    <row r="578" spans="1:8" x14ac:dyDescent="0.25">
      <c r="E578" t="str">
        <f>""</f>
        <v/>
      </c>
      <c r="F578" t="str">
        <f>""</f>
        <v/>
      </c>
      <c r="H578" t="str">
        <f>"MXMAX605SYBT-LT"</f>
        <v>MXMAX605SYBT-LT</v>
      </c>
    </row>
    <row r="579" spans="1:8" x14ac:dyDescent="0.25">
      <c r="E579" t="str">
        <f>""</f>
        <v/>
      </c>
      <c r="F579" t="str">
        <f>""</f>
        <v/>
      </c>
      <c r="H579" t="str">
        <f>"MXMAX605SYBT-XLT"</f>
        <v>MXMAX605SYBT-XLT</v>
      </c>
    </row>
    <row r="580" spans="1:8" x14ac:dyDescent="0.25">
      <c r="E580" t="str">
        <f>""</f>
        <v/>
      </c>
      <c r="F580" t="str">
        <f>""</f>
        <v/>
      </c>
      <c r="H580" t="str">
        <f>"MXMAX605SYBT--3XLT"</f>
        <v>MXMAX605SYBT--3XLT</v>
      </c>
    </row>
    <row r="581" spans="1:8" x14ac:dyDescent="0.25">
      <c r="E581" t="str">
        <f>""</f>
        <v/>
      </c>
      <c r="F581" t="str">
        <f>""</f>
        <v/>
      </c>
      <c r="H581" t="str">
        <f>"MXMAX605SYBT-4XLT"</f>
        <v>MXMAX605SYBT-4XLT</v>
      </c>
    </row>
    <row r="582" spans="1:8" x14ac:dyDescent="0.25">
      <c r="A582" t="s">
        <v>175</v>
      </c>
      <c r="B582">
        <v>80885</v>
      </c>
      <c r="C582" s="2">
        <v>425</v>
      </c>
      <c r="D582" s="1">
        <v>43507</v>
      </c>
      <c r="E582" t="str">
        <f>"1046"</f>
        <v>1046</v>
      </c>
      <c r="F582" t="str">
        <f>"TRANSPORT-M. MORGAN"</f>
        <v>TRANSPORT-M. MORGAN</v>
      </c>
      <c r="G582" s="2">
        <v>425</v>
      </c>
      <c r="H582" t="str">
        <f>"TRANSPORT-M. MORGAN"</f>
        <v>TRANSPORT-M. MORGAN</v>
      </c>
    </row>
    <row r="583" spans="1:8" x14ac:dyDescent="0.25">
      <c r="A583" t="s">
        <v>176</v>
      </c>
      <c r="B583">
        <v>81104</v>
      </c>
      <c r="C583" s="2">
        <v>17237.5</v>
      </c>
      <c r="D583" s="1">
        <v>43522</v>
      </c>
      <c r="E583" t="str">
        <f>"4"</f>
        <v>4</v>
      </c>
      <c r="F583" t="str">
        <f>"EXPERT SVCS 01/01-01/31"</f>
        <v>EXPERT SVCS 01/01-01/31</v>
      </c>
      <c r="G583" s="2">
        <v>17237.5</v>
      </c>
      <c r="H583" t="str">
        <f>"EXPERT SVCS 01/01-01/31"</f>
        <v>EXPERT SVCS 01/01-01/31</v>
      </c>
    </row>
    <row r="584" spans="1:8" x14ac:dyDescent="0.25">
      <c r="A584" t="s">
        <v>177</v>
      </c>
      <c r="B584">
        <v>80886</v>
      </c>
      <c r="C584" s="2">
        <v>2500</v>
      </c>
      <c r="D584" s="1">
        <v>43507</v>
      </c>
      <c r="E584" t="str">
        <f>"444575"</f>
        <v>444575</v>
      </c>
      <c r="F584" t="str">
        <f>"PROJECT#3366-003/OPEB VALUATIO"</f>
        <v>PROJECT#3366-003/OPEB VALUATIO</v>
      </c>
      <c r="G584" s="2">
        <v>2500</v>
      </c>
      <c r="H584" t="str">
        <f>"PROJECT#3366-003/OPEB VALUATIO"</f>
        <v>PROJECT#3366-003/OPEB VALUATIO</v>
      </c>
    </row>
    <row r="585" spans="1:8" x14ac:dyDescent="0.25">
      <c r="A585" t="s">
        <v>178</v>
      </c>
      <c r="B585">
        <v>443</v>
      </c>
      <c r="C585" s="2">
        <v>245.28</v>
      </c>
      <c r="D585" s="1">
        <v>43508</v>
      </c>
      <c r="E585" t="str">
        <f>"INV0693525"</f>
        <v>INV0693525</v>
      </c>
      <c r="F585" t="str">
        <f>"INV0693525"</f>
        <v>INV0693525</v>
      </c>
      <c r="G585" s="2">
        <v>102.58</v>
      </c>
      <c r="H585" t="str">
        <f>"INV0693525"</f>
        <v>INV0693525</v>
      </c>
    </row>
    <row r="586" spans="1:8" x14ac:dyDescent="0.25">
      <c r="E586" t="str">
        <f>"INV0693737/1640"</f>
        <v>INV0693737/1640</v>
      </c>
      <c r="F586" t="str">
        <f>"INV0693737"</f>
        <v>INV0693737</v>
      </c>
      <c r="G586" s="2">
        <v>142.69999999999999</v>
      </c>
      <c r="H586" t="str">
        <f>"INV0693737"</f>
        <v>INV0693737</v>
      </c>
    </row>
    <row r="587" spans="1:8" x14ac:dyDescent="0.25">
      <c r="E587" t="str">
        <f>""</f>
        <v/>
      </c>
      <c r="F587" t="str">
        <f>""</f>
        <v/>
      </c>
      <c r="H587" t="str">
        <f>"INV0691640"</f>
        <v>INV0691640</v>
      </c>
    </row>
    <row r="588" spans="1:8" x14ac:dyDescent="0.25">
      <c r="A588" t="s">
        <v>178</v>
      </c>
      <c r="B588">
        <v>504</v>
      </c>
      <c r="C588" s="2">
        <v>1249.75</v>
      </c>
      <c r="D588" s="1">
        <v>43523</v>
      </c>
      <c r="E588" t="str">
        <f>"0696501"</f>
        <v>0696501</v>
      </c>
      <c r="F588" t="str">
        <f>"INV 0696501"</f>
        <v>INV 0696501</v>
      </c>
      <c r="G588" s="2">
        <v>1249.75</v>
      </c>
      <c r="H588" t="str">
        <f>"INV 0696501"</f>
        <v>INV 0696501</v>
      </c>
    </row>
    <row r="589" spans="1:8" x14ac:dyDescent="0.25">
      <c r="A589" t="s">
        <v>179</v>
      </c>
      <c r="B589">
        <v>458</v>
      </c>
      <c r="C589" s="2">
        <v>1347.4</v>
      </c>
      <c r="D589" s="1">
        <v>43508</v>
      </c>
      <c r="E589" t="str">
        <f>"1612616  1623029"</f>
        <v>1612616  1623029</v>
      </c>
      <c r="F589" t="str">
        <f>"INv# 12616  16224  23029"</f>
        <v>INv# 12616  16224  23029</v>
      </c>
      <c r="G589" s="2">
        <v>664.36</v>
      </c>
      <c r="H589" t="str">
        <f>"INv# 1612616"</f>
        <v>INv# 1612616</v>
      </c>
    </row>
    <row r="590" spans="1:8" x14ac:dyDescent="0.25">
      <c r="E590" t="str">
        <f>""</f>
        <v/>
      </c>
      <c r="F590" t="str">
        <f>""</f>
        <v/>
      </c>
      <c r="H590" t="str">
        <f>"Inv# 1623029"</f>
        <v>Inv# 1623029</v>
      </c>
    </row>
    <row r="591" spans="1:8" x14ac:dyDescent="0.25">
      <c r="E591" t="str">
        <f>"1619571 1623030"</f>
        <v>1619571 1623030</v>
      </c>
      <c r="F591" t="str">
        <f>"inv# 1619571 &amp; 1623030"</f>
        <v>inv# 1619571 &amp; 1623030</v>
      </c>
      <c r="G591" s="2">
        <v>683.04</v>
      </c>
      <c r="H591" t="str">
        <f>"inv# 1619571"</f>
        <v>inv# 1619571</v>
      </c>
    </row>
    <row r="592" spans="1:8" x14ac:dyDescent="0.25">
      <c r="E592" t="str">
        <f>""</f>
        <v/>
      </c>
      <c r="F592" t="str">
        <f>""</f>
        <v/>
      </c>
      <c r="H592" t="str">
        <f>"inv# 1623030"</f>
        <v>inv# 1623030</v>
      </c>
    </row>
    <row r="593" spans="1:8" x14ac:dyDescent="0.25">
      <c r="A593" t="s">
        <v>179</v>
      </c>
      <c r="B593">
        <v>517</v>
      </c>
      <c r="C593" s="2">
        <v>3216.91</v>
      </c>
      <c r="D593" s="1">
        <v>43523</v>
      </c>
      <c r="E593" t="str">
        <f>"1630251"</f>
        <v>1630251</v>
      </c>
      <c r="F593" t="str">
        <f>"CUST#0007014928/GEN SVCS"</f>
        <v>CUST#0007014928/GEN SVCS</v>
      </c>
      <c r="G593" s="2">
        <v>240</v>
      </c>
      <c r="H593" t="str">
        <f>"CUST#0007014928/GEN SVCS"</f>
        <v>CUST#0007014928/GEN SVCS</v>
      </c>
    </row>
    <row r="594" spans="1:8" x14ac:dyDescent="0.25">
      <c r="E594" t="str">
        <f>"1630252"</f>
        <v>1630252</v>
      </c>
      <c r="F594" t="str">
        <f>"INV 1630252"</f>
        <v>INV 1630252</v>
      </c>
      <c r="G594" s="2">
        <v>2528.0500000000002</v>
      </c>
      <c r="H594" t="str">
        <f>"INV 1630252"</f>
        <v>INV 1630252</v>
      </c>
    </row>
    <row r="595" spans="1:8" x14ac:dyDescent="0.25">
      <c r="E595" t="str">
        <f>"1630255"</f>
        <v>1630255</v>
      </c>
      <c r="F595" t="str">
        <f>"INV 1630255"</f>
        <v>INV 1630255</v>
      </c>
      <c r="G595" s="2">
        <v>183.3</v>
      </c>
      <c r="H595" t="str">
        <f>"INV 1630255"</f>
        <v>INV 1630255</v>
      </c>
    </row>
    <row r="596" spans="1:8" x14ac:dyDescent="0.25">
      <c r="E596" t="str">
        <f>"1630262"</f>
        <v>1630262</v>
      </c>
      <c r="F596" t="str">
        <f>"INV 1630262"</f>
        <v>INV 1630262</v>
      </c>
      <c r="G596" s="2">
        <v>265.56</v>
      </c>
      <c r="H596" t="str">
        <f>"INV 1630262"</f>
        <v>INV 1630262</v>
      </c>
    </row>
    <row r="597" spans="1:8" x14ac:dyDescent="0.25">
      <c r="A597" t="s">
        <v>180</v>
      </c>
      <c r="B597">
        <v>455</v>
      </c>
      <c r="C597" s="2">
        <v>170</v>
      </c>
      <c r="D597" s="1">
        <v>43508</v>
      </c>
      <c r="E597" t="str">
        <f>"829850"</f>
        <v>829850</v>
      </c>
      <c r="F597" t="str">
        <f>"ORD#621222/OIL FILTER/PCT#3"</f>
        <v>ORD#621222/OIL FILTER/PCT#3</v>
      </c>
      <c r="G597" s="2">
        <v>170</v>
      </c>
      <c r="H597" t="str">
        <f>"ORD#621222/OIL FILTER/PCT#3"</f>
        <v>ORD#621222/OIL FILTER/PCT#3</v>
      </c>
    </row>
    <row r="598" spans="1:8" x14ac:dyDescent="0.25">
      <c r="A598" t="s">
        <v>181</v>
      </c>
      <c r="B598">
        <v>81105</v>
      </c>
      <c r="C598" s="2">
        <v>32513.87</v>
      </c>
      <c r="D598" s="1">
        <v>43522</v>
      </c>
      <c r="E598" t="str">
        <f>"00020812"</f>
        <v>00020812</v>
      </c>
      <c r="F598" t="str">
        <f>"PROJ#033387.005/PCT#3"</f>
        <v>PROJ#033387.005/PCT#3</v>
      </c>
      <c r="G598" s="2">
        <v>1340</v>
      </c>
      <c r="H598" t="str">
        <f>"PROJ#033387.005/PCT#3"</f>
        <v>PROJ#033387.005/PCT#3</v>
      </c>
    </row>
    <row r="599" spans="1:8" x14ac:dyDescent="0.25">
      <c r="E599" t="str">
        <f>"00020813"</f>
        <v>00020813</v>
      </c>
      <c r="F599" t="str">
        <f>"PROF SVCS/PCT#2"</f>
        <v>PROF SVCS/PCT#2</v>
      </c>
      <c r="G599" s="2">
        <v>1150</v>
      </c>
      <c r="H599" t="str">
        <f>"PROF SVCS/PCT#2"</f>
        <v>PROF SVCS/PCT#2</v>
      </c>
    </row>
    <row r="600" spans="1:8" x14ac:dyDescent="0.25">
      <c r="E600" t="str">
        <f>"00020814"</f>
        <v>00020814</v>
      </c>
      <c r="F600" t="str">
        <f>"PROJ#033387.007/PCT#3"</f>
        <v>PROJ#033387.007/PCT#3</v>
      </c>
      <c r="G600" s="2">
        <v>1165</v>
      </c>
      <c r="H600" t="str">
        <f>"PROJ#033387.007/PCT#3"</f>
        <v>PROJ#033387.007/PCT#3</v>
      </c>
    </row>
    <row r="601" spans="1:8" x14ac:dyDescent="0.25">
      <c r="E601" t="str">
        <f>"00020949"</f>
        <v>00020949</v>
      </c>
      <c r="F601" t="str">
        <f>"PROJ#032285.004"</f>
        <v>PROJ#032285.004</v>
      </c>
      <c r="G601" s="2">
        <v>12393.37</v>
      </c>
      <c r="H601" t="str">
        <f>"PROJ#032285.004"</f>
        <v>PROJ#032285.004</v>
      </c>
    </row>
    <row r="602" spans="1:8" x14ac:dyDescent="0.25">
      <c r="E602" t="str">
        <f>"00020950"</f>
        <v>00020950</v>
      </c>
      <c r="F602" t="str">
        <f>"PROJ#032285.005"</f>
        <v>PROJ#032285.005</v>
      </c>
      <c r="G602" s="2">
        <v>16465.5</v>
      </c>
      <c r="H602" t="str">
        <f>"PROJ#032285.005"</f>
        <v>PROJ#032285.005</v>
      </c>
    </row>
    <row r="603" spans="1:8" x14ac:dyDescent="0.25">
      <c r="A603" t="s">
        <v>182</v>
      </c>
      <c r="B603">
        <v>80887</v>
      </c>
      <c r="C603" s="2">
        <v>975</v>
      </c>
      <c r="D603" s="1">
        <v>43507</v>
      </c>
      <c r="E603" t="str">
        <f>"12151"</f>
        <v>12151</v>
      </c>
      <c r="F603" t="str">
        <f>"SERVICE"</f>
        <v>SERVICE</v>
      </c>
      <c r="G603" s="2">
        <v>450</v>
      </c>
      <c r="H603" t="str">
        <f>"SERVICE"</f>
        <v>SERVICE</v>
      </c>
    </row>
    <row r="604" spans="1:8" x14ac:dyDescent="0.25">
      <c r="E604" t="str">
        <f>"12678"</f>
        <v>12678</v>
      </c>
      <c r="F604" t="str">
        <f>"SERVICE"</f>
        <v>SERVICE</v>
      </c>
      <c r="G604" s="2">
        <v>450</v>
      </c>
      <c r="H604" t="str">
        <f>"SERVICE"</f>
        <v>SERVICE</v>
      </c>
    </row>
    <row r="605" spans="1:8" x14ac:dyDescent="0.25">
      <c r="E605" t="str">
        <f>"12820"</f>
        <v>12820</v>
      </c>
      <c r="F605" t="str">
        <f>"SERVICE"</f>
        <v>SERVICE</v>
      </c>
      <c r="G605" s="2">
        <v>75</v>
      </c>
      <c r="H605" t="str">
        <f>"SERVICE"</f>
        <v>SERVICE</v>
      </c>
    </row>
    <row r="606" spans="1:8" x14ac:dyDescent="0.25">
      <c r="A606" t="s">
        <v>183</v>
      </c>
      <c r="B606">
        <v>80888</v>
      </c>
      <c r="C606" s="2">
        <v>150</v>
      </c>
      <c r="D606" s="1">
        <v>43507</v>
      </c>
      <c r="E606" t="str">
        <f>"12856"</f>
        <v>12856</v>
      </c>
      <c r="F606" t="str">
        <f>"SERVICE"</f>
        <v>SERVICE</v>
      </c>
      <c r="G606" s="2">
        <v>150</v>
      </c>
      <c r="H606" t="str">
        <f>"SERVICE"</f>
        <v>SERVICE</v>
      </c>
    </row>
    <row r="607" spans="1:8" x14ac:dyDescent="0.25">
      <c r="A607" t="s">
        <v>184</v>
      </c>
      <c r="B607">
        <v>80889</v>
      </c>
      <c r="C607" s="2">
        <v>14322.12</v>
      </c>
      <c r="D607" s="1">
        <v>43507</v>
      </c>
      <c r="E607" t="str">
        <f>"24651"</f>
        <v>24651</v>
      </c>
      <c r="F607" t="str">
        <f>"ACCT#954/RIP RAP/PCT#2"</f>
        <v>ACCT#954/RIP RAP/PCT#2</v>
      </c>
      <c r="G607" s="2">
        <v>8760.32</v>
      </c>
      <c r="H607" t="str">
        <f>"ACCT#954/RIP RAP/PCT#2"</f>
        <v>ACCT#954/RIP RAP/PCT#2</v>
      </c>
    </row>
    <row r="608" spans="1:8" x14ac:dyDescent="0.25">
      <c r="E608" t="str">
        <f>"24652"</f>
        <v>24652</v>
      </c>
      <c r="F608" t="str">
        <f>"ACCT#954/PCT#2"</f>
        <v>ACCT#954/PCT#2</v>
      </c>
      <c r="G608" s="2">
        <v>5561.8</v>
      </c>
      <c r="H608" t="str">
        <f>"ACCT#954/PCT#2"</f>
        <v>ACCT#954/PCT#2</v>
      </c>
    </row>
    <row r="609" spans="1:9" x14ac:dyDescent="0.25">
      <c r="A609" t="s">
        <v>184</v>
      </c>
      <c r="B609">
        <v>81106</v>
      </c>
      <c r="C609" s="2">
        <v>7107.16</v>
      </c>
      <c r="D609" s="1">
        <v>43522</v>
      </c>
      <c r="E609" t="str">
        <f>"24707"</f>
        <v>24707</v>
      </c>
      <c r="F609" t="str">
        <f>"ACCT#954/PCT#2"</f>
        <v>ACCT#954/PCT#2</v>
      </c>
      <c r="G609" s="2">
        <v>7107.16</v>
      </c>
      <c r="H609" t="str">
        <f>"ACCT#954/PCT#2"</f>
        <v>ACCT#954/PCT#2</v>
      </c>
    </row>
    <row r="610" spans="1:9" x14ac:dyDescent="0.25">
      <c r="A610" t="s">
        <v>185</v>
      </c>
      <c r="B610">
        <v>80890</v>
      </c>
      <c r="C610" s="2">
        <v>597.5</v>
      </c>
      <c r="D610" s="1">
        <v>43507</v>
      </c>
      <c r="E610" t="str">
        <f>"201902016970"</f>
        <v>201902016970</v>
      </c>
      <c r="F610" t="str">
        <f>"OFFICE SUPPLIES"</f>
        <v>OFFICE SUPPLIES</v>
      </c>
      <c r="G610" s="2">
        <v>597.5</v>
      </c>
      <c r="H610" t="str">
        <f>"OFFICE SUPPLIES"</f>
        <v>OFFICE SUPPLIES</v>
      </c>
    </row>
    <row r="611" spans="1:9" x14ac:dyDescent="0.25">
      <c r="A611" t="s">
        <v>186</v>
      </c>
      <c r="B611">
        <v>80891</v>
      </c>
      <c r="C611" s="2">
        <v>178.53</v>
      </c>
      <c r="D611" s="1">
        <v>43507</v>
      </c>
      <c r="E611" t="str">
        <f>"PS38210"</f>
        <v>PS38210</v>
      </c>
      <c r="F611" t="str">
        <f>"ACCT#68930-000/ANIMAL SVCS"</f>
        <v>ACCT#68930-000/ANIMAL SVCS</v>
      </c>
      <c r="G611" s="2">
        <v>75.27</v>
      </c>
      <c r="H611" t="str">
        <f>"ACCT#68930-000/ANIMAL SVCS"</f>
        <v>ACCT#68930-000/ANIMAL SVCS</v>
      </c>
    </row>
    <row r="612" spans="1:9" x14ac:dyDescent="0.25">
      <c r="E612" t="str">
        <f>"PS40742"</f>
        <v>PS40742</v>
      </c>
      <c r="F612" t="str">
        <f>"ACCT#68930-000/ANIMAL SVCS"</f>
        <v>ACCT#68930-000/ANIMAL SVCS</v>
      </c>
      <c r="G612" s="2">
        <v>103.26</v>
      </c>
      <c r="H612" t="str">
        <f>"ACCT#68930-000/ANIMAL SVCS"</f>
        <v>ACCT#68930-000/ANIMAL SVCS</v>
      </c>
    </row>
    <row r="613" spans="1:9" x14ac:dyDescent="0.25">
      <c r="A613" t="s">
        <v>186</v>
      </c>
      <c r="B613">
        <v>81107</v>
      </c>
      <c r="C613" s="2">
        <v>414.44</v>
      </c>
      <c r="D613" s="1">
        <v>43522</v>
      </c>
      <c r="E613" t="str">
        <f>"PU42828"</f>
        <v>PU42828</v>
      </c>
      <c r="F613" t="str">
        <f>"ACCT#68930-000/ANIMAL SVCS"</f>
        <v>ACCT#68930-000/ANIMAL SVCS</v>
      </c>
      <c r="G613" s="2">
        <v>414.44</v>
      </c>
      <c r="H613" t="str">
        <f>"ACCT#68930-000/ANIMAL SVCS"</f>
        <v>ACCT#68930-000/ANIMAL SVCS</v>
      </c>
    </row>
    <row r="614" spans="1:9" x14ac:dyDescent="0.25">
      <c r="A614" t="s">
        <v>187</v>
      </c>
      <c r="B614">
        <v>81108</v>
      </c>
      <c r="C614" s="2">
        <v>100</v>
      </c>
      <c r="D614" s="1">
        <v>43522</v>
      </c>
      <c r="E614" t="s">
        <v>188</v>
      </c>
      <c r="F614" t="s">
        <v>189</v>
      </c>
      <c r="G614" s="2" t="str">
        <f>"RESTITUTION-MICHAEL FELTS"</f>
        <v>RESTITUTION-MICHAEL FELTS</v>
      </c>
      <c r="H614" t="str">
        <f>"210-0000"</f>
        <v>210-0000</v>
      </c>
      <c r="I614" t="str">
        <f>""</f>
        <v/>
      </c>
    </row>
    <row r="615" spans="1:9" x14ac:dyDescent="0.25">
      <c r="A615" t="s">
        <v>190</v>
      </c>
      <c r="B615">
        <v>81109</v>
      </c>
      <c r="C615" s="2">
        <v>498.06</v>
      </c>
      <c r="D615" s="1">
        <v>43522</v>
      </c>
      <c r="E615" t="str">
        <f>"10680652"</f>
        <v>10680652</v>
      </c>
      <c r="F615" t="str">
        <f>"CUST#3224/PCT#4"</f>
        <v>CUST#3224/PCT#4</v>
      </c>
      <c r="G615" s="2">
        <v>498.06</v>
      </c>
      <c r="H615" t="str">
        <f>"CUST#3224/PCT#4"</f>
        <v>CUST#3224/PCT#4</v>
      </c>
    </row>
    <row r="616" spans="1:9" x14ac:dyDescent="0.25">
      <c r="A616" t="s">
        <v>191</v>
      </c>
      <c r="B616">
        <v>505</v>
      </c>
      <c r="C616" s="2">
        <v>650</v>
      </c>
      <c r="D616" s="1">
        <v>43523</v>
      </c>
      <c r="E616" t="str">
        <f>"201902227524"</f>
        <v>201902227524</v>
      </c>
      <c r="F616" t="str">
        <f>"BASCOM L HODGES JR"</f>
        <v>BASCOM L HODGES JR</v>
      </c>
      <c r="G616" s="2">
        <v>650</v>
      </c>
      <c r="H616" t="str">
        <f>""</f>
        <v/>
      </c>
    </row>
    <row r="617" spans="1:9" x14ac:dyDescent="0.25">
      <c r="A617" t="s">
        <v>192</v>
      </c>
      <c r="B617">
        <v>80892</v>
      </c>
      <c r="C617" s="2">
        <v>1468.75</v>
      </c>
      <c r="D617" s="1">
        <v>43507</v>
      </c>
      <c r="E617" t="str">
        <f>"201901296859"</f>
        <v>201901296859</v>
      </c>
      <c r="F617" t="str">
        <f>"18-19336"</f>
        <v>18-19336</v>
      </c>
      <c r="G617" s="2">
        <v>150</v>
      </c>
      <c r="H617" t="str">
        <f>"18-19336"</f>
        <v>18-19336</v>
      </c>
    </row>
    <row r="618" spans="1:9" x14ac:dyDescent="0.25">
      <c r="E618" t="str">
        <f>"201901296860"</f>
        <v>201901296860</v>
      </c>
      <c r="F618" t="str">
        <f>"18-18995"</f>
        <v>18-18995</v>
      </c>
      <c r="G618" s="2">
        <v>93.75</v>
      </c>
      <c r="H618" t="str">
        <f>"18-18995"</f>
        <v>18-18995</v>
      </c>
    </row>
    <row r="619" spans="1:9" x14ac:dyDescent="0.25">
      <c r="E619" t="str">
        <f>"201902016983"</f>
        <v>201902016983</v>
      </c>
      <c r="F619" t="str">
        <f>"56 234"</f>
        <v>56 234</v>
      </c>
      <c r="G619" s="2">
        <v>250</v>
      </c>
      <c r="H619" t="str">
        <f>"56 234"</f>
        <v>56 234</v>
      </c>
    </row>
    <row r="620" spans="1:9" x14ac:dyDescent="0.25">
      <c r="E620" t="str">
        <f>"201902016999"</f>
        <v>201902016999</v>
      </c>
      <c r="F620" t="str">
        <f>"19-19430"</f>
        <v>19-19430</v>
      </c>
      <c r="G620" s="2">
        <v>75</v>
      </c>
      <c r="H620" t="str">
        <f>"19-19430"</f>
        <v>19-19430</v>
      </c>
    </row>
    <row r="621" spans="1:9" x14ac:dyDescent="0.25">
      <c r="E621" t="str">
        <f>"201902017000"</f>
        <v>201902017000</v>
      </c>
      <c r="F621" t="str">
        <f>"18-19294"</f>
        <v>18-19294</v>
      </c>
      <c r="G621" s="2">
        <v>150</v>
      </c>
      <c r="H621" t="str">
        <f>"18-19294"</f>
        <v>18-19294</v>
      </c>
    </row>
    <row r="622" spans="1:9" x14ac:dyDescent="0.25">
      <c r="E622" t="str">
        <f>"201902057068"</f>
        <v>201902057068</v>
      </c>
      <c r="F622" t="str">
        <f>"56 571  56 729"</f>
        <v>56 571  56 729</v>
      </c>
      <c r="G622" s="2">
        <v>300</v>
      </c>
      <c r="H622" t="str">
        <f>"56 571  56 729"</f>
        <v>56 571  56 729</v>
      </c>
    </row>
    <row r="623" spans="1:9" x14ac:dyDescent="0.25">
      <c r="E623" t="str">
        <f>"201902057118"</f>
        <v>201902057118</v>
      </c>
      <c r="F623" t="str">
        <f>"J-3161"</f>
        <v>J-3161</v>
      </c>
      <c r="G623" s="2">
        <v>250</v>
      </c>
      <c r="H623" t="str">
        <f>"J-3161"</f>
        <v>J-3161</v>
      </c>
    </row>
    <row r="624" spans="1:9" x14ac:dyDescent="0.25">
      <c r="E624" t="str">
        <f>"201902057121"</f>
        <v>201902057121</v>
      </c>
      <c r="F624" t="str">
        <f>"03-8253"</f>
        <v>03-8253</v>
      </c>
      <c r="G624" s="2">
        <v>100</v>
      </c>
      <c r="H624" t="str">
        <f>"03-8253"</f>
        <v>03-8253</v>
      </c>
    </row>
    <row r="625" spans="1:8" x14ac:dyDescent="0.25">
      <c r="E625" t="str">
        <f>"201902057122"</f>
        <v>201902057122</v>
      </c>
      <c r="F625" t="str">
        <f>"09-13482"</f>
        <v>09-13482</v>
      </c>
      <c r="G625" s="2">
        <v>100</v>
      </c>
      <c r="H625" t="str">
        <f>"09-13482"</f>
        <v>09-13482</v>
      </c>
    </row>
    <row r="626" spans="1:8" x14ac:dyDescent="0.25">
      <c r="A626" t="s">
        <v>192</v>
      </c>
      <c r="B626">
        <v>81110</v>
      </c>
      <c r="C626" s="2">
        <v>550</v>
      </c>
      <c r="D626" s="1">
        <v>43522</v>
      </c>
      <c r="E626" t="str">
        <f>"201902127380"</f>
        <v>201902127380</v>
      </c>
      <c r="F626" t="str">
        <f>"55 844"</f>
        <v>55 844</v>
      </c>
      <c r="G626" s="2">
        <v>250</v>
      </c>
      <c r="H626" t="str">
        <f>"55 844"</f>
        <v>55 844</v>
      </c>
    </row>
    <row r="627" spans="1:8" x14ac:dyDescent="0.25">
      <c r="E627" t="str">
        <f>"201902227482"</f>
        <v>201902227482</v>
      </c>
      <c r="F627" t="str">
        <f>"423-4947"</f>
        <v>423-4947</v>
      </c>
      <c r="G627" s="2">
        <v>100</v>
      </c>
      <c r="H627" t="str">
        <f>"423-4947"</f>
        <v>423-4947</v>
      </c>
    </row>
    <row r="628" spans="1:8" x14ac:dyDescent="0.25">
      <c r="E628" t="str">
        <f>"201902227483"</f>
        <v>201902227483</v>
      </c>
      <c r="F628" t="str">
        <f>"423-225"</f>
        <v>423-225</v>
      </c>
      <c r="G628" s="2">
        <v>100</v>
      </c>
      <c r="H628" t="str">
        <f>"423-225"</f>
        <v>423-225</v>
      </c>
    </row>
    <row r="629" spans="1:8" x14ac:dyDescent="0.25">
      <c r="E629" t="str">
        <f>"201902227484"</f>
        <v>201902227484</v>
      </c>
      <c r="F629" t="str">
        <f>"423-3900"</f>
        <v>423-3900</v>
      </c>
      <c r="G629" s="2">
        <v>100</v>
      </c>
      <c r="H629" t="str">
        <f>"423-3900"</f>
        <v>423-3900</v>
      </c>
    </row>
    <row r="630" spans="1:8" x14ac:dyDescent="0.25">
      <c r="A630" t="s">
        <v>193</v>
      </c>
      <c r="B630">
        <v>81111</v>
      </c>
      <c r="C630" s="2">
        <v>1063.02</v>
      </c>
      <c r="D630" s="1">
        <v>43522</v>
      </c>
      <c r="E630" t="str">
        <f>"PCKP0019080"</f>
        <v>PCKP0019080</v>
      </c>
      <c r="F630" t="str">
        <f>"CUST#0129450/CORE RETURN"</f>
        <v>CUST#0129450/CORE RETURN</v>
      </c>
      <c r="G630" s="2">
        <v>-436.47</v>
      </c>
      <c r="H630" t="str">
        <f>"CUST#0129450/CORE RETURN"</f>
        <v>CUST#0129450/CORE RETURN</v>
      </c>
    </row>
    <row r="631" spans="1:8" x14ac:dyDescent="0.25">
      <c r="E631" t="str">
        <f>"PIKP0081714"</f>
        <v>PIKP0081714</v>
      </c>
      <c r="F631" t="str">
        <f>"CUST#0129450/PCT#4"</f>
        <v>CUST#0129450/PCT#4</v>
      </c>
      <c r="G631" s="2">
        <v>1045.6500000000001</v>
      </c>
      <c r="H631" t="str">
        <f>"CUST#0129450/PCT#4"</f>
        <v>CUST#0129450/PCT#4</v>
      </c>
    </row>
    <row r="632" spans="1:8" x14ac:dyDescent="0.25">
      <c r="E632" t="str">
        <f>"PIMP0298504"</f>
        <v>PIMP0298504</v>
      </c>
      <c r="F632" t="str">
        <f>"CUST#0129200/KEY"</f>
        <v>CUST#0129200/KEY</v>
      </c>
      <c r="G632" s="2">
        <v>49.28</v>
      </c>
      <c r="H632" t="str">
        <f>"CUST#0129200/KEY"</f>
        <v>CUST#0129200/KEY</v>
      </c>
    </row>
    <row r="633" spans="1:8" x14ac:dyDescent="0.25">
      <c r="E633" t="str">
        <f>"PIMP0298769"</f>
        <v>PIMP0298769</v>
      </c>
      <c r="F633" t="str">
        <f>"CUST#0129050/PCT#1"</f>
        <v>CUST#0129050/PCT#1</v>
      </c>
      <c r="G633" s="2">
        <v>404.56</v>
      </c>
      <c r="H633" t="str">
        <f>"CUST#0129050/PCT#1"</f>
        <v>CUST#0129050/PCT#1</v>
      </c>
    </row>
    <row r="634" spans="1:8" x14ac:dyDescent="0.25">
      <c r="A634" t="s">
        <v>194</v>
      </c>
      <c r="B634">
        <v>80893</v>
      </c>
      <c r="C634" s="2">
        <v>3638.3</v>
      </c>
      <c r="D634" s="1">
        <v>43507</v>
      </c>
      <c r="E634" t="str">
        <f>"201902057143"</f>
        <v>201902057143</v>
      </c>
      <c r="F634" t="str">
        <f>"acct# 3780"</f>
        <v>acct# 3780</v>
      </c>
      <c r="G634" s="2">
        <v>3638.3</v>
      </c>
      <c r="H634" t="str">
        <f>"inv# 5430682"</f>
        <v>inv# 5430682</v>
      </c>
    </row>
    <row r="635" spans="1:8" x14ac:dyDescent="0.25">
      <c r="E635" t="str">
        <f>""</f>
        <v/>
      </c>
      <c r="F635" t="str">
        <f>""</f>
        <v/>
      </c>
      <c r="H635" t="str">
        <f>"inv# 5900405"</f>
        <v>inv# 5900405</v>
      </c>
    </row>
    <row r="636" spans="1:8" x14ac:dyDescent="0.25">
      <c r="E636" t="str">
        <f>""</f>
        <v/>
      </c>
      <c r="F636" t="str">
        <f>""</f>
        <v/>
      </c>
      <c r="H636" t="str">
        <f>"inv# 5910742"</f>
        <v>inv# 5910742</v>
      </c>
    </row>
    <row r="637" spans="1:8" x14ac:dyDescent="0.25">
      <c r="E637" t="str">
        <f>""</f>
        <v/>
      </c>
      <c r="F637" t="str">
        <f>""</f>
        <v/>
      </c>
      <c r="H637" t="str">
        <f>"inv# 4141923"</f>
        <v>inv# 4141923</v>
      </c>
    </row>
    <row r="638" spans="1:8" x14ac:dyDescent="0.25">
      <c r="E638" t="str">
        <f>""</f>
        <v/>
      </c>
      <c r="F638" t="str">
        <f>""</f>
        <v/>
      </c>
      <c r="H638" t="str">
        <f>"inv# 9022037"</f>
        <v>inv# 9022037</v>
      </c>
    </row>
    <row r="639" spans="1:8" x14ac:dyDescent="0.25">
      <c r="E639" t="str">
        <f>""</f>
        <v/>
      </c>
      <c r="F639" t="str">
        <f>""</f>
        <v/>
      </c>
      <c r="H639" t="str">
        <f>"inv# 9970445"</f>
        <v>inv# 9970445</v>
      </c>
    </row>
    <row r="640" spans="1:8" x14ac:dyDescent="0.25">
      <c r="E640" t="str">
        <f>""</f>
        <v/>
      </c>
      <c r="F640" t="str">
        <f>""</f>
        <v/>
      </c>
      <c r="H640" t="str">
        <f>"inv# 7022252"</f>
        <v>inv# 7022252</v>
      </c>
    </row>
    <row r="641" spans="5:8" x14ac:dyDescent="0.25">
      <c r="E641" t="str">
        <f>""</f>
        <v/>
      </c>
      <c r="F641" t="str">
        <f>""</f>
        <v/>
      </c>
      <c r="H641" t="str">
        <f>"inv# 5022561"</f>
        <v>inv# 5022561</v>
      </c>
    </row>
    <row r="642" spans="5:8" x14ac:dyDescent="0.25">
      <c r="E642" t="str">
        <f>""</f>
        <v/>
      </c>
      <c r="F642" t="str">
        <f>""</f>
        <v/>
      </c>
      <c r="H642" t="str">
        <f>"inv# 5022562"</f>
        <v>inv# 5022562</v>
      </c>
    </row>
    <row r="643" spans="5:8" x14ac:dyDescent="0.25">
      <c r="E643" t="str">
        <f>""</f>
        <v/>
      </c>
      <c r="F643" t="str">
        <f>""</f>
        <v/>
      </c>
      <c r="H643" t="str">
        <f>"inv# 1022937"</f>
        <v>inv# 1022937</v>
      </c>
    </row>
    <row r="644" spans="5:8" x14ac:dyDescent="0.25">
      <c r="E644" t="str">
        <f>""</f>
        <v/>
      </c>
      <c r="F644" t="str">
        <f>""</f>
        <v/>
      </c>
      <c r="H644" t="str">
        <f>"inv# 8152311"</f>
        <v>inv# 8152311</v>
      </c>
    </row>
    <row r="645" spans="5:8" x14ac:dyDescent="0.25">
      <c r="E645" t="str">
        <f>""</f>
        <v/>
      </c>
      <c r="F645" t="str">
        <f>""</f>
        <v/>
      </c>
      <c r="H645" t="str">
        <f>"inv# 1102146"</f>
        <v>inv# 1102146</v>
      </c>
    </row>
    <row r="646" spans="5:8" x14ac:dyDescent="0.25">
      <c r="E646" t="str">
        <f>""</f>
        <v/>
      </c>
      <c r="F646" t="str">
        <f>""</f>
        <v/>
      </c>
      <c r="H646" t="str">
        <f>"inv# 3021539"</f>
        <v>inv# 3021539</v>
      </c>
    </row>
    <row r="647" spans="5:8" x14ac:dyDescent="0.25">
      <c r="E647" t="str">
        <f>""</f>
        <v/>
      </c>
      <c r="F647" t="str">
        <f>""</f>
        <v/>
      </c>
      <c r="H647" t="str">
        <f>"inv# 3970353"</f>
        <v>inv# 3970353</v>
      </c>
    </row>
    <row r="648" spans="5:8" x14ac:dyDescent="0.25">
      <c r="E648" t="str">
        <f>""</f>
        <v/>
      </c>
      <c r="F648" t="str">
        <f>""</f>
        <v/>
      </c>
      <c r="H648" t="str">
        <f>"Inv# 5012438"</f>
        <v>Inv# 5012438</v>
      </c>
    </row>
    <row r="649" spans="5:8" x14ac:dyDescent="0.25">
      <c r="E649" t="str">
        <f>""</f>
        <v/>
      </c>
      <c r="F649" t="str">
        <f>""</f>
        <v/>
      </c>
      <c r="H649" t="str">
        <f>"inv# 1094016"</f>
        <v>inv# 1094016</v>
      </c>
    </row>
    <row r="650" spans="5:8" x14ac:dyDescent="0.25">
      <c r="E650" t="str">
        <f>""</f>
        <v/>
      </c>
      <c r="F650" t="str">
        <f>""</f>
        <v/>
      </c>
      <c r="H650" t="str">
        <f>"inv# 5021319"</f>
        <v>inv# 5021319</v>
      </c>
    </row>
    <row r="651" spans="5:8" x14ac:dyDescent="0.25">
      <c r="E651" t="str">
        <f>""</f>
        <v/>
      </c>
      <c r="F651" t="str">
        <f>""</f>
        <v/>
      </c>
      <c r="H651" t="str">
        <f>"inv# 3020527"</f>
        <v>inv# 3020527</v>
      </c>
    </row>
    <row r="652" spans="5:8" x14ac:dyDescent="0.25">
      <c r="E652" t="str">
        <f>""</f>
        <v/>
      </c>
      <c r="F652" t="str">
        <f>""</f>
        <v/>
      </c>
      <c r="H652" t="str">
        <f>"inv# 12756"</f>
        <v>inv# 12756</v>
      </c>
    </row>
    <row r="653" spans="5:8" x14ac:dyDescent="0.25">
      <c r="E653" t="str">
        <f>""</f>
        <v/>
      </c>
      <c r="F653" t="str">
        <f>""</f>
        <v/>
      </c>
      <c r="H653" t="str">
        <f>"inv# 3013181"</f>
        <v>inv# 3013181</v>
      </c>
    </row>
    <row r="654" spans="5:8" x14ac:dyDescent="0.25">
      <c r="E654" t="str">
        <f>""</f>
        <v/>
      </c>
      <c r="F654" t="str">
        <f>""</f>
        <v/>
      </c>
      <c r="H654" t="str">
        <f>"inv# 8141946"</f>
        <v>inv# 8141946</v>
      </c>
    </row>
    <row r="655" spans="5:8" x14ac:dyDescent="0.25">
      <c r="E655" t="str">
        <f>""</f>
        <v/>
      </c>
      <c r="F655" t="str">
        <f>""</f>
        <v/>
      </c>
      <c r="H655" t="str">
        <f>"inv# 1094015"</f>
        <v>inv# 1094015</v>
      </c>
    </row>
    <row r="656" spans="5:8" x14ac:dyDescent="0.25">
      <c r="E656" t="str">
        <f>""</f>
        <v/>
      </c>
      <c r="F656" t="str">
        <f>""</f>
        <v/>
      </c>
      <c r="H656" t="str">
        <f>"inv# 8141946"</f>
        <v>inv# 8141946</v>
      </c>
    </row>
    <row r="657" spans="1:8" x14ac:dyDescent="0.25">
      <c r="E657" t="str">
        <f>""</f>
        <v/>
      </c>
      <c r="F657" t="str">
        <f>""</f>
        <v/>
      </c>
      <c r="H657" t="str">
        <f>"inv# 6970267"</f>
        <v>inv# 6970267</v>
      </c>
    </row>
    <row r="658" spans="1:8" x14ac:dyDescent="0.25">
      <c r="E658" t="str">
        <f>""</f>
        <v/>
      </c>
      <c r="F658" t="str">
        <f>""</f>
        <v/>
      </c>
      <c r="H658" t="str">
        <f>"inv# 9021985"</f>
        <v>inv# 9021985</v>
      </c>
    </row>
    <row r="659" spans="1:8" x14ac:dyDescent="0.25">
      <c r="E659" t="str">
        <f>""</f>
        <v/>
      </c>
      <c r="F659" t="str">
        <f>""</f>
        <v/>
      </c>
      <c r="H659" t="str">
        <f>"inv# 8152266"</f>
        <v>inv# 8152266</v>
      </c>
    </row>
    <row r="660" spans="1:8" x14ac:dyDescent="0.25">
      <c r="E660" t="str">
        <f>""</f>
        <v/>
      </c>
      <c r="F660" t="str">
        <f>""</f>
        <v/>
      </c>
      <c r="H660" t="str">
        <f>"inv# 6021138"</f>
        <v>inv# 6021138</v>
      </c>
    </row>
    <row r="661" spans="1:8" x14ac:dyDescent="0.25">
      <c r="E661" t="str">
        <f>""</f>
        <v/>
      </c>
      <c r="F661" t="str">
        <f>""</f>
        <v/>
      </c>
      <c r="H661" t="str">
        <f>"inv# 5572443"</f>
        <v>inv# 5572443</v>
      </c>
    </row>
    <row r="662" spans="1:8" x14ac:dyDescent="0.25">
      <c r="E662" t="str">
        <f>""</f>
        <v/>
      </c>
      <c r="F662" t="str">
        <f>""</f>
        <v/>
      </c>
      <c r="H662" t="str">
        <f>"inv# 3020477"</f>
        <v>inv# 3020477</v>
      </c>
    </row>
    <row r="663" spans="1:8" x14ac:dyDescent="0.25">
      <c r="E663" t="str">
        <f>""</f>
        <v/>
      </c>
      <c r="F663" t="str">
        <f>""</f>
        <v/>
      </c>
      <c r="H663" t="str">
        <f>"inv# 12777"</f>
        <v>inv# 12777</v>
      </c>
    </row>
    <row r="664" spans="1:8" x14ac:dyDescent="0.25">
      <c r="E664" t="str">
        <f>""</f>
        <v/>
      </c>
      <c r="F664" t="str">
        <f>""</f>
        <v/>
      </c>
      <c r="H664" t="str">
        <f>"inv# 9022070"</f>
        <v>inv# 9022070</v>
      </c>
    </row>
    <row r="665" spans="1:8" x14ac:dyDescent="0.25">
      <c r="E665" t="str">
        <f>""</f>
        <v/>
      </c>
      <c r="F665" t="str">
        <f>""</f>
        <v/>
      </c>
      <c r="H665" t="str">
        <f>"inv# 7022313"</f>
        <v>inv# 7022313</v>
      </c>
    </row>
    <row r="666" spans="1:8" x14ac:dyDescent="0.25">
      <c r="E666" t="str">
        <f>""</f>
        <v/>
      </c>
      <c r="F666" t="str">
        <f>""</f>
        <v/>
      </c>
      <c r="H666" t="str">
        <f>"inv# 13887"</f>
        <v>inv# 13887</v>
      </c>
    </row>
    <row r="667" spans="1:8" x14ac:dyDescent="0.25">
      <c r="E667" t="str">
        <f>""</f>
        <v/>
      </c>
      <c r="F667" t="str">
        <f>""</f>
        <v/>
      </c>
      <c r="H667" t="str">
        <f>"inv# 22998"</f>
        <v>inv# 22998</v>
      </c>
    </row>
    <row r="668" spans="1:8" x14ac:dyDescent="0.25">
      <c r="E668" t="str">
        <f>""</f>
        <v/>
      </c>
      <c r="F668" t="str">
        <f>""</f>
        <v/>
      </c>
      <c r="H668" t="str">
        <f>"inv# 23072"</f>
        <v>inv# 23072</v>
      </c>
    </row>
    <row r="669" spans="1:8" x14ac:dyDescent="0.25">
      <c r="A669" t="s">
        <v>195</v>
      </c>
      <c r="B669">
        <v>81112</v>
      </c>
      <c r="C669" s="2">
        <v>500</v>
      </c>
      <c r="D669" s="1">
        <v>43522</v>
      </c>
      <c r="E669" t="str">
        <f>"201902227515"</f>
        <v>201902227515</v>
      </c>
      <c r="F669" t="str">
        <f>"TRAINING"</f>
        <v>TRAINING</v>
      </c>
      <c r="G669" s="2">
        <v>500</v>
      </c>
      <c r="H669" t="str">
        <f>"TRAINING"</f>
        <v>TRAINING</v>
      </c>
    </row>
    <row r="670" spans="1:8" x14ac:dyDescent="0.25">
      <c r="A670" t="s">
        <v>196</v>
      </c>
      <c r="B670">
        <v>81113</v>
      </c>
      <c r="C670" s="2">
        <v>2500</v>
      </c>
      <c r="D670" s="1">
        <v>43522</v>
      </c>
      <c r="E670" t="str">
        <f>"201902137424"</f>
        <v>201902137424</v>
      </c>
      <c r="F670" t="str">
        <f>"SCHOOL RENOVATION PROJECT"</f>
        <v>SCHOOL RENOVATION PROJECT</v>
      </c>
      <c r="G670" s="2">
        <v>2500</v>
      </c>
      <c r="H670" t="str">
        <f>"SCHOOL RENOVATION PROJECT"</f>
        <v>SCHOOL RENOVATION PROJECT</v>
      </c>
    </row>
    <row r="671" spans="1:8" x14ac:dyDescent="0.25">
      <c r="A671" t="s">
        <v>197</v>
      </c>
      <c r="B671">
        <v>81114</v>
      </c>
      <c r="C671" s="2">
        <v>166.77</v>
      </c>
      <c r="D671" s="1">
        <v>43522</v>
      </c>
      <c r="E671" t="str">
        <f>"370248"</f>
        <v>370248</v>
      </c>
      <c r="F671" t="str">
        <f>"INV 370248"</f>
        <v>INV 370248</v>
      </c>
      <c r="G671" s="2">
        <v>166.77</v>
      </c>
      <c r="H671" t="str">
        <f>"INV 370248"</f>
        <v>INV 370248</v>
      </c>
    </row>
    <row r="672" spans="1:8" x14ac:dyDescent="0.25">
      <c r="A672" t="s">
        <v>198</v>
      </c>
      <c r="B672">
        <v>81030</v>
      </c>
      <c r="C672" s="2">
        <v>1968.73</v>
      </c>
      <c r="D672" s="1">
        <v>43511</v>
      </c>
      <c r="E672" t="str">
        <f>"S1902040003-00020"</f>
        <v>S1902040003-00020</v>
      </c>
      <c r="F672" t="str">
        <f>"ACCT#100402264 / 02042019"</f>
        <v>ACCT#100402264 / 02042019</v>
      </c>
      <c r="G672" s="2">
        <v>1968.73</v>
      </c>
      <c r="H672" t="str">
        <f>"ACCT#100402264 / 02042019"</f>
        <v>ACCT#100402264 / 02042019</v>
      </c>
    </row>
    <row r="673" spans="1:8" x14ac:dyDescent="0.25">
      <c r="E673" t="str">
        <f>""</f>
        <v/>
      </c>
      <c r="F673" t="str">
        <f>""</f>
        <v/>
      </c>
      <c r="H673" t="str">
        <f>"ACCT#100402264 / 02042019"</f>
        <v>ACCT#100402264 / 02042019</v>
      </c>
    </row>
    <row r="674" spans="1:8" x14ac:dyDescent="0.25">
      <c r="E674" t="str">
        <f>""</f>
        <v/>
      </c>
      <c r="F674" t="str">
        <f>""</f>
        <v/>
      </c>
      <c r="H674" t="str">
        <f>"ACCT#100402264 / 02042019"</f>
        <v>ACCT#100402264 / 02042019</v>
      </c>
    </row>
    <row r="675" spans="1:8" x14ac:dyDescent="0.25">
      <c r="A675" t="s">
        <v>199</v>
      </c>
      <c r="B675">
        <v>80894</v>
      </c>
      <c r="C675" s="2">
        <v>55</v>
      </c>
      <c r="D675" s="1">
        <v>43507</v>
      </c>
      <c r="E675" t="str">
        <f>"201902067176"</f>
        <v>201902067176</v>
      </c>
      <c r="F675" t="str">
        <f>"FERAL HOGS"</f>
        <v>FERAL HOGS</v>
      </c>
      <c r="G675" s="2">
        <v>55</v>
      </c>
      <c r="H675" t="str">
        <f>"FERAL HOGS"</f>
        <v>FERAL HOGS</v>
      </c>
    </row>
    <row r="676" spans="1:8" x14ac:dyDescent="0.25">
      <c r="A676" t="s">
        <v>200</v>
      </c>
      <c r="B676">
        <v>81115</v>
      </c>
      <c r="C676" s="2">
        <v>335.61</v>
      </c>
      <c r="D676" s="1">
        <v>43522</v>
      </c>
      <c r="E676" t="str">
        <f>"201902227516"</f>
        <v>201902227516</v>
      </c>
      <c r="F676" t="str">
        <f>"LODGING"</f>
        <v>LODGING</v>
      </c>
      <c r="G676" s="2">
        <v>335.61</v>
      </c>
    </row>
    <row r="677" spans="1:8" x14ac:dyDescent="0.25">
      <c r="A677" t="s">
        <v>201</v>
      </c>
      <c r="B677">
        <v>420</v>
      </c>
      <c r="C677" s="2">
        <v>986.85</v>
      </c>
      <c r="D677" s="1">
        <v>43508</v>
      </c>
      <c r="E677" t="str">
        <f>"181608"</f>
        <v>181608</v>
      </c>
      <c r="F677" t="str">
        <f>"HYDRAULIC CYLINDER REPAIR/P3"</f>
        <v>HYDRAULIC CYLINDER REPAIR/P3</v>
      </c>
      <c r="G677" s="2">
        <v>986.85</v>
      </c>
      <c r="H677" t="str">
        <f>"HYDRAULIC CYLINDER REPAIR/P3"</f>
        <v>HYDRAULIC CYLINDER REPAIR/P3</v>
      </c>
    </row>
    <row r="678" spans="1:8" x14ac:dyDescent="0.25">
      <c r="A678" t="s">
        <v>202</v>
      </c>
      <c r="B678">
        <v>451</v>
      </c>
      <c r="C678" s="2">
        <v>2430</v>
      </c>
      <c r="D678" s="1">
        <v>43508</v>
      </c>
      <c r="E678" t="str">
        <f>"67282"</f>
        <v>67282</v>
      </c>
      <c r="F678" t="str">
        <f>"PROF SVCS MARCH 2019"</f>
        <v>PROF SVCS MARCH 2019</v>
      </c>
      <c r="G678" s="2">
        <v>2430</v>
      </c>
      <c r="H678" t="str">
        <f>"PROF SVCS MARCH 2019"</f>
        <v>PROF SVCS MARCH 2019</v>
      </c>
    </row>
    <row r="679" spans="1:8" x14ac:dyDescent="0.25">
      <c r="A679" t="s">
        <v>203</v>
      </c>
      <c r="B679">
        <v>80895</v>
      </c>
      <c r="C679" s="2">
        <v>135.58000000000001</v>
      </c>
      <c r="D679" s="1">
        <v>43507</v>
      </c>
      <c r="E679" t="str">
        <f>"IN-224044"</f>
        <v>IN-224044</v>
      </c>
      <c r="F679" t="str">
        <f>"ACCT#020796/PCT#2"</f>
        <v>ACCT#020796/PCT#2</v>
      </c>
      <c r="G679" s="2">
        <v>135.58000000000001</v>
      </c>
      <c r="H679" t="str">
        <f>"ACCT#020796/PCT#2"</f>
        <v>ACCT#020796/PCT#2</v>
      </c>
    </row>
    <row r="680" spans="1:8" x14ac:dyDescent="0.25">
      <c r="A680" t="s">
        <v>204</v>
      </c>
      <c r="B680">
        <v>80896</v>
      </c>
      <c r="C680" s="2">
        <v>68.760000000000005</v>
      </c>
      <c r="D680" s="1">
        <v>43507</v>
      </c>
      <c r="E680" t="str">
        <f>"ALDG262"</f>
        <v>ALDG262</v>
      </c>
      <c r="F680" t="str">
        <f>"CUST ID:AX773/COUNTY CLERK"</f>
        <v>CUST ID:AX773/COUNTY CLERK</v>
      </c>
      <c r="G680" s="2">
        <v>68.760000000000005</v>
      </c>
      <c r="H680" t="str">
        <f>"CUST ID:AX773/COUNTY CLERK"</f>
        <v>CUST ID:AX773/COUNTY CLERK</v>
      </c>
    </row>
    <row r="681" spans="1:8" x14ac:dyDescent="0.25">
      <c r="A681" t="s">
        <v>205</v>
      </c>
      <c r="B681">
        <v>80897</v>
      </c>
      <c r="C681" s="2">
        <v>625</v>
      </c>
      <c r="D681" s="1">
        <v>43507</v>
      </c>
      <c r="E681" t="str">
        <f>"201901296876"</f>
        <v>201901296876</v>
      </c>
      <c r="F681" t="str">
        <f>"56 575"</f>
        <v>56 575</v>
      </c>
      <c r="G681" s="2">
        <v>250</v>
      </c>
      <c r="H681" t="str">
        <f>"56 575"</f>
        <v>56 575</v>
      </c>
    </row>
    <row r="682" spans="1:8" x14ac:dyDescent="0.25">
      <c r="E682" t="str">
        <f>"201901296877"</f>
        <v>201901296877</v>
      </c>
      <c r="F682" t="str">
        <f>"56 540  312262018B"</f>
        <v>56 540  312262018B</v>
      </c>
      <c r="G682" s="2">
        <v>375</v>
      </c>
      <c r="H682" t="str">
        <f>"56 540  312262018B"</f>
        <v>56 540  312262018B</v>
      </c>
    </row>
    <row r="683" spans="1:8" x14ac:dyDescent="0.25">
      <c r="A683" t="s">
        <v>205</v>
      </c>
      <c r="B683">
        <v>81116</v>
      </c>
      <c r="C683" s="2">
        <v>250</v>
      </c>
      <c r="D683" s="1">
        <v>43522</v>
      </c>
      <c r="E683" t="str">
        <f>"201902127383"</f>
        <v>201902127383</v>
      </c>
      <c r="F683" t="str">
        <f>"56 328"</f>
        <v>56 328</v>
      </c>
      <c r="G683" s="2">
        <v>250</v>
      </c>
      <c r="H683" t="str">
        <f>"56 328"</f>
        <v>56 328</v>
      </c>
    </row>
    <row r="684" spans="1:8" x14ac:dyDescent="0.25">
      <c r="A684" t="s">
        <v>206</v>
      </c>
      <c r="B684">
        <v>80898</v>
      </c>
      <c r="C684" s="2">
        <v>354.28</v>
      </c>
      <c r="D684" s="1">
        <v>43507</v>
      </c>
      <c r="E684" t="str">
        <f>"201901306921"</f>
        <v>201901306921</v>
      </c>
      <c r="F684" t="str">
        <f>"NO CAUSE # LISTED/MILEAGE"</f>
        <v>NO CAUSE # LISTED/MILEAGE</v>
      </c>
      <c r="G684" s="2">
        <v>354.28</v>
      </c>
      <c r="H684" t="str">
        <f>"NO CAUSE # LISTED/MILEAGE"</f>
        <v>NO CAUSE # LISTED/MILEAGE</v>
      </c>
    </row>
    <row r="685" spans="1:8" x14ac:dyDescent="0.25">
      <c r="A685" t="s">
        <v>207</v>
      </c>
      <c r="B685">
        <v>465</v>
      </c>
      <c r="C685" s="2">
        <v>3950</v>
      </c>
      <c r="D685" s="1">
        <v>43508</v>
      </c>
      <c r="E685" t="str">
        <f>"12246"</f>
        <v>12246</v>
      </c>
      <c r="F685" t="str">
        <f t="shared" ref="F685:F696" si="9">"AD LITEM FEE"</f>
        <v>AD LITEM FEE</v>
      </c>
      <c r="G685" s="2">
        <v>150</v>
      </c>
      <c r="H685" t="str">
        <f t="shared" ref="H685:H696" si="10">"AD LITEM FEE"</f>
        <v>AD LITEM FEE</v>
      </c>
    </row>
    <row r="686" spans="1:8" x14ac:dyDescent="0.25">
      <c r="E686" t="str">
        <f>"12472"</f>
        <v>12472</v>
      </c>
      <c r="F686" t="str">
        <f t="shared" si="9"/>
        <v>AD LITEM FEE</v>
      </c>
      <c r="G686" s="2">
        <v>150</v>
      </c>
      <c r="H686" t="str">
        <f t="shared" si="10"/>
        <v>AD LITEM FEE</v>
      </c>
    </row>
    <row r="687" spans="1:8" x14ac:dyDescent="0.25">
      <c r="E687" t="str">
        <f>"12478"</f>
        <v>12478</v>
      </c>
      <c r="F687" t="str">
        <f t="shared" si="9"/>
        <v>AD LITEM FEE</v>
      </c>
      <c r="G687" s="2">
        <v>150</v>
      </c>
      <c r="H687" t="str">
        <f t="shared" si="10"/>
        <v>AD LITEM FEE</v>
      </c>
    </row>
    <row r="688" spans="1:8" x14ac:dyDescent="0.25">
      <c r="E688" t="str">
        <f>"12637"</f>
        <v>12637</v>
      </c>
      <c r="F688" t="str">
        <f t="shared" si="9"/>
        <v>AD LITEM FEE</v>
      </c>
      <c r="G688" s="2">
        <v>150</v>
      </c>
      <c r="H688" t="str">
        <f t="shared" si="10"/>
        <v>AD LITEM FEE</v>
      </c>
    </row>
    <row r="689" spans="5:8" x14ac:dyDescent="0.25">
      <c r="E689" t="str">
        <f>"12678"</f>
        <v>12678</v>
      </c>
      <c r="F689" t="str">
        <f t="shared" si="9"/>
        <v>AD LITEM FEE</v>
      </c>
      <c r="G689" s="2">
        <v>150</v>
      </c>
      <c r="H689" t="str">
        <f t="shared" si="10"/>
        <v>AD LITEM FEE</v>
      </c>
    </row>
    <row r="690" spans="5:8" x14ac:dyDescent="0.25">
      <c r="E690" t="str">
        <f>"12701"</f>
        <v>12701</v>
      </c>
      <c r="F690" t="str">
        <f t="shared" si="9"/>
        <v>AD LITEM FEE</v>
      </c>
      <c r="G690" s="2">
        <v>150</v>
      </c>
      <c r="H690" t="str">
        <f t="shared" si="10"/>
        <v>AD LITEM FEE</v>
      </c>
    </row>
    <row r="691" spans="5:8" x14ac:dyDescent="0.25">
      <c r="E691" t="str">
        <f>"12715"</f>
        <v>12715</v>
      </c>
      <c r="F691" t="str">
        <f t="shared" si="9"/>
        <v>AD LITEM FEE</v>
      </c>
      <c r="G691" s="2">
        <v>150</v>
      </c>
      <c r="H691" t="str">
        <f t="shared" si="10"/>
        <v>AD LITEM FEE</v>
      </c>
    </row>
    <row r="692" spans="5:8" x14ac:dyDescent="0.25">
      <c r="E692" t="str">
        <f>"12721"</f>
        <v>12721</v>
      </c>
      <c r="F692" t="str">
        <f t="shared" si="9"/>
        <v>AD LITEM FEE</v>
      </c>
      <c r="G692" s="2">
        <v>150</v>
      </c>
      <c r="H692" t="str">
        <f t="shared" si="10"/>
        <v>AD LITEM FEE</v>
      </c>
    </row>
    <row r="693" spans="5:8" x14ac:dyDescent="0.25">
      <c r="E693" t="str">
        <f>"12749"</f>
        <v>12749</v>
      </c>
      <c r="F693" t="str">
        <f t="shared" si="9"/>
        <v>AD LITEM FEE</v>
      </c>
      <c r="G693" s="2">
        <v>150</v>
      </c>
      <c r="H693" t="str">
        <f t="shared" si="10"/>
        <v>AD LITEM FEE</v>
      </c>
    </row>
    <row r="694" spans="5:8" x14ac:dyDescent="0.25">
      <c r="E694" t="str">
        <f>"12820"</f>
        <v>12820</v>
      </c>
      <c r="F694" t="str">
        <f t="shared" si="9"/>
        <v>AD LITEM FEE</v>
      </c>
      <c r="G694" s="2">
        <v>150</v>
      </c>
      <c r="H694" t="str">
        <f t="shared" si="10"/>
        <v>AD LITEM FEE</v>
      </c>
    </row>
    <row r="695" spans="5:8" x14ac:dyDescent="0.25">
      <c r="E695" t="str">
        <f>"12864"</f>
        <v>12864</v>
      </c>
      <c r="F695" t="str">
        <f t="shared" si="9"/>
        <v>AD LITEM FEE</v>
      </c>
      <c r="G695" s="2">
        <v>150</v>
      </c>
      <c r="H695" t="str">
        <f t="shared" si="10"/>
        <v>AD LITEM FEE</v>
      </c>
    </row>
    <row r="696" spans="5:8" x14ac:dyDescent="0.25">
      <c r="E696" t="str">
        <f>"12928"</f>
        <v>12928</v>
      </c>
      <c r="F696" t="str">
        <f t="shared" si="9"/>
        <v>AD LITEM FEE</v>
      </c>
      <c r="G696" s="2">
        <v>150</v>
      </c>
      <c r="H696" t="str">
        <f t="shared" si="10"/>
        <v>AD LITEM FEE</v>
      </c>
    </row>
    <row r="697" spans="5:8" x14ac:dyDescent="0.25">
      <c r="E697" t="str">
        <f>"201901296837"</f>
        <v>201901296837</v>
      </c>
      <c r="F697" t="str">
        <f>"J-3108"</f>
        <v>J-3108</v>
      </c>
      <c r="G697" s="2">
        <v>250</v>
      </c>
      <c r="H697" t="str">
        <f>"J-3108"</f>
        <v>J-3108</v>
      </c>
    </row>
    <row r="698" spans="5:8" x14ac:dyDescent="0.25">
      <c r="E698" t="str">
        <f>"201901296846"</f>
        <v>201901296846</v>
      </c>
      <c r="F698" t="str">
        <f>"19-19418"</f>
        <v>19-19418</v>
      </c>
      <c r="G698" s="2">
        <v>100</v>
      </c>
      <c r="H698" t="str">
        <f>"19-19418"</f>
        <v>19-19418</v>
      </c>
    </row>
    <row r="699" spans="5:8" x14ac:dyDescent="0.25">
      <c r="E699" t="str">
        <f>"201901296885"</f>
        <v>201901296885</v>
      </c>
      <c r="F699" t="str">
        <f>"56 454"</f>
        <v>56 454</v>
      </c>
      <c r="G699" s="2">
        <v>250</v>
      </c>
      <c r="H699" t="str">
        <f>"56 454"</f>
        <v>56 454</v>
      </c>
    </row>
    <row r="700" spans="5:8" x14ac:dyDescent="0.25">
      <c r="E700" t="str">
        <f>"201901296886"</f>
        <v>201901296886</v>
      </c>
      <c r="F700" t="str">
        <f>"56 282"</f>
        <v>56 282</v>
      </c>
      <c r="G700" s="2">
        <v>250</v>
      </c>
      <c r="H700" t="str">
        <f>"56 282"</f>
        <v>56 282</v>
      </c>
    </row>
    <row r="701" spans="5:8" x14ac:dyDescent="0.25">
      <c r="E701" t="str">
        <f>"201902016986"</f>
        <v>201902016986</v>
      </c>
      <c r="F701" t="str">
        <f>"56 508"</f>
        <v>56 508</v>
      </c>
      <c r="G701" s="2">
        <v>250</v>
      </c>
      <c r="H701" t="str">
        <f>"56 508"</f>
        <v>56 508</v>
      </c>
    </row>
    <row r="702" spans="5:8" x14ac:dyDescent="0.25">
      <c r="E702" t="str">
        <f>"201902016998"</f>
        <v>201902016998</v>
      </c>
      <c r="F702" t="str">
        <f>"18-18990"</f>
        <v>18-18990</v>
      </c>
      <c r="G702" s="2">
        <v>100</v>
      </c>
      <c r="H702" t="str">
        <f>"18-18990"</f>
        <v>18-18990</v>
      </c>
    </row>
    <row r="703" spans="5:8" x14ac:dyDescent="0.25">
      <c r="E703" t="str">
        <f>"201902057056"</f>
        <v>201902057056</v>
      </c>
      <c r="F703" t="str">
        <f>"DETENTION HEARING"</f>
        <v>DETENTION HEARING</v>
      </c>
      <c r="G703" s="2">
        <v>100</v>
      </c>
      <c r="H703" t="str">
        <f>"DETENTION HEARING"</f>
        <v>DETENTION HEARING</v>
      </c>
    </row>
    <row r="704" spans="5:8" x14ac:dyDescent="0.25">
      <c r="E704" t="str">
        <f>"201902057064"</f>
        <v>201902057064</v>
      </c>
      <c r="F704" t="str">
        <f>"56 510"</f>
        <v>56 510</v>
      </c>
      <c r="G704" s="2">
        <v>250</v>
      </c>
      <c r="H704" t="str">
        <f>"56 510"</f>
        <v>56 510</v>
      </c>
    </row>
    <row r="705" spans="1:9" x14ac:dyDescent="0.25">
      <c r="E705" t="str">
        <f>"201902057065"</f>
        <v>201902057065</v>
      </c>
      <c r="F705" t="str">
        <f>"56 254"</f>
        <v>56 254</v>
      </c>
      <c r="G705" s="2">
        <v>250</v>
      </c>
      <c r="H705" t="str">
        <f>"56 254"</f>
        <v>56 254</v>
      </c>
    </row>
    <row r="706" spans="1:9" x14ac:dyDescent="0.25">
      <c r="E706" t="str">
        <f>"201902057074"</f>
        <v>201902057074</v>
      </c>
      <c r="F706" t="str">
        <f>"4010431  919-947-6401A001"</f>
        <v>4010431  919-947-6401A001</v>
      </c>
      <c r="G706" s="2">
        <v>250</v>
      </c>
      <c r="H706" t="str">
        <f>"4010431  919-947-6401A001"</f>
        <v>4010431  919-947-6401A001</v>
      </c>
    </row>
    <row r="707" spans="1:9" x14ac:dyDescent="0.25">
      <c r="E707" t="str">
        <f>"201902057130"</f>
        <v>201902057130</v>
      </c>
      <c r="F707" t="str">
        <f>"18-18908"</f>
        <v>18-18908</v>
      </c>
      <c r="G707" s="2">
        <v>100</v>
      </c>
      <c r="H707" t="str">
        <f>"18-18908"</f>
        <v>18-18908</v>
      </c>
    </row>
    <row r="708" spans="1:9" x14ac:dyDescent="0.25">
      <c r="A708" t="s">
        <v>207</v>
      </c>
      <c r="B708">
        <v>522</v>
      </c>
      <c r="C708" s="2">
        <v>675</v>
      </c>
      <c r="D708" s="1">
        <v>43523</v>
      </c>
      <c r="E708" t="str">
        <f>"201902127378"</f>
        <v>201902127378</v>
      </c>
      <c r="F708" t="str">
        <f>"56 677  56 676"</f>
        <v>56 677  56 676</v>
      </c>
      <c r="G708" s="2">
        <v>375</v>
      </c>
      <c r="H708" t="str">
        <f>"56 677  56 676"</f>
        <v>56 677  56 676</v>
      </c>
    </row>
    <row r="709" spans="1:9" x14ac:dyDescent="0.25">
      <c r="E709" t="str">
        <f>"201902157439"</f>
        <v>201902157439</v>
      </c>
      <c r="F709" t="str">
        <f>"15-17088"</f>
        <v>15-17088</v>
      </c>
      <c r="G709" s="2">
        <v>100</v>
      </c>
      <c r="H709" t="str">
        <f>"15-17088"</f>
        <v>15-17088</v>
      </c>
    </row>
    <row r="710" spans="1:9" x14ac:dyDescent="0.25">
      <c r="E710" t="str">
        <f>"201902227478"</f>
        <v>201902227478</v>
      </c>
      <c r="F710" t="str">
        <f>"18-18992"</f>
        <v>18-18992</v>
      </c>
      <c r="G710" s="2">
        <v>100</v>
      </c>
      <c r="H710" t="str">
        <f>"18-18992"</f>
        <v>18-18992</v>
      </c>
    </row>
    <row r="711" spans="1:9" x14ac:dyDescent="0.25">
      <c r="E711" t="str">
        <f>"201902227479"</f>
        <v>201902227479</v>
      </c>
      <c r="F711" t="str">
        <f>"18-19190"</f>
        <v>18-19190</v>
      </c>
      <c r="G711" s="2">
        <v>100</v>
      </c>
      <c r="H711" t="str">
        <f>"18-19190"</f>
        <v>18-19190</v>
      </c>
    </row>
    <row r="712" spans="1:9" x14ac:dyDescent="0.25">
      <c r="A712" t="s">
        <v>208</v>
      </c>
      <c r="B712">
        <v>81117</v>
      </c>
      <c r="C712" s="2">
        <v>100</v>
      </c>
      <c r="D712" s="1">
        <v>43522</v>
      </c>
      <c r="E712" t="s">
        <v>209</v>
      </c>
      <c r="F712" t="s">
        <v>210</v>
      </c>
      <c r="G712" s="2" t="str">
        <f>"RESTITUTION-MARTIN ALMS"</f>
        <v>RESTITUTION-MARTIN ALMS</v>
      </c>
      <c r="H712" t="str">
        <f>"210-0000"</f>
        <v>210-0000</v>
      </c>
      <c r="I712" t="str">
        <f>""</f>
        <v/>
      </c>
    </row>
    <row r="713" spans="1:9" x14ac:dyDescent="0.25">
      <c r="A713" t="s">
        <v>211</v>
      </c>
      <c r="B713">
        <v>81118</v>
      </c>
      <c r="C713" s="2">
        <v>90</v>
      </c>
      <c r="D713" s="1">
        <v>43522</v>
      </c>
      <c r="E713" t="str">
        <f>"1112"</f>
        <v>1112</v>
      </c>
      <c r="F713" t="str">
        <f>"INV 1112"</f>
        <v>INV 1112</v>
      </c>
      <c r="G713" s="2">
        <v>90</v>
      </c>
      <c r="H713" t="str">
        <f>"INV 1112"</f>
        <v>INV 1112</v>
      </c>
    </row>
    <row r="714" spans="1:9" x14ac:dyDescent="0.25">
      <c r="A714" t="s">
        <v>212</v>
      </c>
      <c r="B714">
        <v>81119</v>
      </c>
      <c r="C714" s="2">
        <v>287.68</v>
      </c>
      <c r="D714" s="1">
        <v>43522</v>
      </c>
      <c r="E714" t="str">
        <f>"440604"</f>
        <v>440604</v>
      </c>
      <c r="F714" t="str">
        <f>"Filters"</f>
        <v>Filters</v>
      </c>
      <c r="G714" s="2">
        <v>287.68</v>
      </c>
      <c r="H714" t="str">
        <f>"16X20X1"</f>
        <v>16X20X1</v>
      </c>
    </row>
    <row r="715" spans="1:9" x14ac:dyDescent="0.25">
      <c r="E715" t="str">
        <f>""</f>
        <v/>
      </c>
      <c r="F715" t="str">
        <f>""</f>
        <v/>
      </c>
      <c r="H715" t="str">
        <f>"freight"</f>
        <v>freight</v>
      </c>
    </row>
    <row r="716" spans="1:9" x14ac:dyDescent="0.25">
      <c r="A716" t="s">
        <v>213</v>
      </c>
      <c r="B716">
        <v>80899</v>
      </c>
      <c r="C716" s="2">
        <v>1581.57</v>
      </c>
      <c r="D716" s="1">
        <v>43507</v>
      </c>
      <c r="E716" t="str">
        <f>"P78124"</f>
        <v>P78124</v>
      </c>
      <c r="F716" t="str">
        <f>"ACCT#8850283308/PCT#4"</f>
        <v>ACCT#8850283308/PCT#4</v>
      </c>
      <c r="G716" s="2">
        <v>22.26</v>
      </c>
      <c r="H716" t="str">
        <f>"ACCT#8850283308/PCT#4"</f>
        <v>ACCT#8850283308/PCT#4</v>
      </c>
    </row>
    <row r="717" spans="1:9" x14ac:dyDescent="0.25">
      <c r="E717" t="str">
        <f>"W00000"</f>
        <v>W00000</v>
      </c>
      <c r="F717" t="str">
        <f>"ACCT#8850283308/PCT#1"</f>
        <v>ACCT#8850283308/PCT#1</v>
      </c>
      <c r="G717" s="2">
        <v>1559.31</v>
      </c>
      <c r="H717" t="str">
        <f>"ACCT#8850283308/PCT#1"</f>
        <v>ACCT#8850283308/PCT#1</v>
      </c>
    </row>
    <row r="718" spans="1:9" x14ac:dyDescent="0.25">
      <c r="A718" t="s">
        <v>214</v>
      </c>
      <c r="B718">
        <v>80900</v>
      </c>
      <c r="C718" s="2">
        <v>60</v>
      </c>
      <c r="D718" s="1">
        <v>43507</v>
      </c>
      <c r="E718" t="str">
        <f>"201902067177"</f>
        <v>201902067177</v>
      </c>
      <c r="F718" t="str">
        <f>"FERAL HOGS"</f>
        <v>FERAL HOGS</v>
      </c>
      <c r="G718" s="2">
        <v>60</v>
      </c>
      <c r="H718" t="str">
        <f>"FERAL HOGS"</f>
        <v>FERAL HOGS</v>
      </c>
    </row>
    <row r="719" spans="1:9" x14ac:dyDescent="0.25">
      <c r="A719" t="s">
        <v>215</v>
      </c>
      <c r="B719">
        <v>80901</v>
      </c>
      <c r="C719" s="2">
        <v>500</v>
      </c>
      <c r="D719" s="1">
        <v>43507</v>
      </c>
      <c r="E719" t="str">
        <f>"201902067154"</f>
        <v>201902067154</v>
      </c>
      <c r="F719" t="str">
        <f>"VET SURGICAL SVCS"</f>
        <v>VET SURGICAL SVCS</v>
      </c>
      <c r="G719" s="2">
        <v>500</v>
      </c>
      <c r="H719" t="str">
        <f>"VET SURGICAL SVCS"</f>
        <v>VET SURGICAL SVCS</v>
      </c>
    </row>
    <row r="720" spans="1:9" x14ac:dyDescent="0.25">
      <c r="A720" t="s">
        <v>216</v>
      </c>
      <c r="B720">
        <v>456</v>
      </c>
      <c r="C720" s="2">
        <v>1350</v>
      </c>
      <c r="D720" s="1">
        <v>43508</v>
      </c>
      <c r="E720" t="str">
        <f>"201901296830"</f>
        <v>201901296830</v>
      </c>
      <c r="F720" t="str">
        <f>"104-21"</f>
        <v>104-21</v>
      </c>
      <c r="G720" s="2">
        <v>100</v>
      </c>
      <c r="H720" t="str">
        <f>"104-21"</f>
        <v>104-21</v>
      </c>
    </row>
    <row r="721" spans="1:8" x14ac:dyDescent="0.25">
      <c r="E721" t="str">
        <f>"201901296831"</f>
        <v>201901296831</v>
      </c>
      <c r="F721" t="str">
        <f>"CH-2018-0913-D"</f>
        <v>CH-2018-0913-D</v>
      </c>
      <c r="G721" s="2">
        <v>400</v>
      </c>
      <c r="H721" t="str">
        <f>"CH-2018-0913-D"</f>
        <v>CH-2018-0913-D</v>
      </c>
    </row>
    <row r="722" spans="1:8" x14ac:dyDescent="0.25">
      <c r="E722" t="str">
        <f>"201902057055"</f>
        <v>201902057055</v>
      </c>
      <c r="F722" t="str">
        <f>"19B0014"</f>
        <v>19B0014</v>
      </c>
      <c r="G722" s="2">
        <v>100</v>
      </c>
      <c r="H722" t="str">
        <f>"19B0014"</f>
        <v>19B0014</v>
      </c>
    </row>
    <row r="723" spans="1:8" x14ac:dyDescent="0.25">
      <c r="E723" t="str">
        <f>"201902057071"</f>
        <v>201902057071</v>
      </c>
      <c r="F723" t="str">
        <f>"56483"</f>
        <v>56483</v>
      </c>
      <c r="G723" s="2">
        <v>250</v>
      </c>
      <c r="H723" t="str">
        <f>"56483"</f>
        <v>56483</v>
      </c>
    </row>
    <row r="724" spans="1:8" x14ac:dyDescent="0.25">
      <c r="E724" t="str">
        <f>"201902057072"</f>
        <v>201902057072</v>
      </c>
      <c r="F724" t="str">
        <f>"56480"</f>
        <v>56480</v>
      </c>
      <c r="G724" s="2">
        <v>250</v>
      </c>
      <c r="H724" t="str">
        <f>"56480"</f>
        <v>56480</v>
      </c>
    </row>
    <row r="725" spans="1:8" x14ac:dyDescent="0.25">
      <c r="E725" t="str">
        <f>"201902057073"</f>
        <v>201902057073</v>
      </c>
      <c r="F725" t="str">
        <f>"56420"</f>
        <v>56420</v>
      </c>
      <c r="G725" s="2">
        <v>250</v>
      </c>
      <c r="H725" t="str">
        <f>"56420"</f>
        <v>56420</v>
      </c>
    </row>
    <row r="726" spans="1:8" x14ac:dyDescent="0.25">
      <c r="A726" t="s">
        <v>216</v>
      </c>
      <c r="B726">
        <v>514</v>
      </c>
      <c r="C726" s="2">
        <v>1300</v>
      </c>
      <c r="D726" s="1">
        <v>43523</v>
      </c>
      <c r="E726" t="str">
        <f>"201902127358"</f>
        <v>201902127358</v>
      </c>
      <c r="F726" t="str">
        <f>"16623  1JP2118H"</f>
        <v>16623  1JP2118H</v>
      </c>
      <c r="G726" s="2">
        <v>600</v>
      </c>
      <c r="H726" t="str">
        <f>"16623  1JP2118H"</f>
        <v>16623  1JP2118H</v>
      </c>
    </row>
    <row r="727" spans="1:8" x14ac:dyDescent="0.25">
      <c r="E727" t="str">
        <f>"201902157441"</f>
        <v>201902157441</v>
      </c>
      <c r="F727" t="str">
        <f>"16086"</f>
        <v>16086</v>
      </c>
      <c r="G727" s="2">
        <v>400</v>
      </c>
      <c r="H727" t="str">
        <f>"16086"</f>
        <v>16086</v>
      </c>
    </row>
    <row r="728" spans="1:8" x14ac:dyDescent="0.25">
      <c r="E728" t="str">
        <f>"201902157442"</f>
        <v>201902157442</v>
      </c>
      <c r="F728" t="str">
        <f>"15-17088"</f>
        <v>15-17088</v>
      </c>
      <c r="G728" s="2">
        <v>300</v>
      </c>
      <c r="H728" t="str">
        <f>"15-17088"</f>
        <v>15-17088</v>
      </c>
    </row>
    <row r="729" spans="1:8" x14ac:dyDescent="0.25">
      <c r="A729" t="s">
        <v>217</v>
      </c>
      <c r="B729">
        <v>81120</v>
      </c>
      <c r="C729" s="2">
        <v>15</v>
      </c>
      <c r="D729" s="1">
        <v>43522</v>
      </c>
      <c r="E729" t="str">
        <f>"201902227525"</f>
        <v>201902227525</v>
      </c>
      <c r="F729" t="str">
        <f>"KATHERINE BEEMAN"</f>
        <v>KATHERINE BEEMAN</v>
      </c>
      <c r="G729" s="2">
        <v>15</v>
      </c>
      <c r="H729" t="str">
        <f>""</f>
        <v/>
      </c>
    </row>
    <row r="730" spans="1:8" x14ac:dyDescent="0.25">
      <c r="A730" t="s">
        <v>218</v>
      </c>
      <c r="B730">
        <v>81121</v>
      </c>
      <c r="C730" s="2">
        <v>5180</v>
      </c>
      <c r="D730" s="1">
        <v>43522</v>
      </c>
      <c r="E730" t="str">
        <f>"A1902-01"</f>
        <v>A1902-01</v>
      </c>
      <c r="F730" t="str">
        <f>"INV A1902-01"</f>
        <v>INV A1902-01</v>
      </c>
      <c r="G730" s="2">
        <v>690</v>
      </c>
      <c r="H730" t="str">
        <f>"INV A1902-01"</f>
        <v>INV A1902-01</v>
      </c>
    </row>
    <row r="731" spans="1:8" x14ac:dyDescent="0.25">
      <c r="E731" t="str">
        <f>"I1901-86"</f>
        <v>I1901-86</v>
      </c>
      <c r="F731" t="str">
        <f>"INV I1901-86"</f>
        <v>INV I1901-86</v>
      </c>
      <c r="G731" s="2">
        <v>4490</v>
      </c>
      <c r="H731" t="str">
        <f>"INV I1901-86"</f>
        <v>INV I1901-86</v>
      </c>
    </row>
    <row r="732" spans="1:8" x14ac:dyDescent="0.25">
      <c r="A732" t="s">
        <v>219</v>
      </c>
      <c r="B732">
        <v>80902</v>
      </c>
      <c r="C732" s="2">
        <v>200</v>
      </c>
      <c r="D732" s="1">
        <v>43507</v>
      </c>
      <c r="E732" t="str">
        <f>"12715"</f>
        <v>12715</v>
      </c>
      <c r="F732" t="str">
        <f>"SERVICE"</f>
        <v>SERVICE</v>
      </c>
      <c r="G732" s="2">
        <v>200</v>
      </c>
      <c r="H732" t="str">
        <f>"SERVICE"</f>
        <v>SERVICE</v>
      </c>
    </row>
    <row r="733" spans="1:8" x14ac:dyDescent="0.25">
      <c r="A733" t="s">
        <v>220</v>
      </c>
      <c r="B733">
        <v>81122</v>
      </c>
      <c r="C733" s="2">
        <v>470</v>
      </c>
      <c r="D733" s="1">
        <v>43522</v>
      </c>
      <c r="E733" t="str">
        <f>"201902227504"</f>
        <v>201902227504</v>
      </c>
      <c r="F733" t="str">
        <f>"18-19013"</f>
        <v>18-19013</v>
      </c>
      <c r="G733" s="2">
        <v>255</v>
      </c>
      <c r="H733" t="str">
        <f>"18-19013"</f>
        <v>18-19013</v>
      </c>
    </row>
    <row r="734" spans="1:8" x14ac:dyDescent="0.25">
      <c r="E734" t="str">
        <f>"201902227505"</f>
        <v>201902227505</v>
      </c>
      <c r="F734" t="str">
        <f>"423-2327"</f>
        <v>423-2327</v>
      </c>
      <c r="G734" s="2">
        <v>215</v>
      </c>
      <c r="H734" t="str">
        <f>"423-2327"</f>
        <v>423-2327</v>
      </c>
    </row>
    <row r="735" spans="1:8" x14ac:dyDescent="0.25">
      <c r="A735" t="s">
        <v>221</v>
      </c>
      <c r="B735">
        <v>81123</v>
      </c>
      <c r="C735" s="2">
        <v>115</v>
      </c>
      <c r="D735" s="1">
        <v>43522</v>
      </c>
      <c r="E735" t="str">
        <f>"201902227518"</f>
        <v>201902227518</v>
      </c>
      <c r="F735" t="str">
        <f>"PER DIEM"</f>
        <v>PER DIEM</v>
      </c>
      <c r="G735" s="2">
        <v>115</v>
      </c>
    </row>
    <row r="736" spans="1:8" x14ac:dyDescent="0.25">
      <c r="A736" t="s">
        <v>222</v>
      </c>
      <c r="B736">
        <v>81124</v>
      </c>
      <c r="C736" s="2">
        <v>23.62</v>
      </c>
      <c r="D736" s="1">
        <v>43522</v>
      </c>
      <c r="E736" t="str">
        <f>"1520-00000148198"</f>
        <v>1520-00000148198</v>
      </c>
      <c r="F736" t="str">
        <f>"INV 1520-00000148198"</f>
        <v>INV 1520-00000148198</v>
      </c>
      <c r="G736" s="2">
        <v>23.62</v>
      </c>
      <c r="H736" t="str">
        <f>"INV 1520-00000148198"</f>
        <v>INV 1520-00000148198</v>
      </c>
    </row>
    <row r="737" spans="1:9" x14ac:dyDescent="0.25">
      <c r="A737" t="s">
        <v>223</v>
      </c>
      <c r="B737">
        <v>80903</v>
      </c>
      <c r="C737" s="2">
        <v>75</v>
      </c>
      <c r="D737" s="1">
        <v>43507</v>
      </c>
      <c r="E737" t="str">
        <f>"12715"</f>
        <v>12715</v>
      </c>
      <c r="F737" t="str">
        <f>"SERVICE"</f>
        <v>SERVICE</v>
      </c>
      <c r="G737" s="2">
        <v>75</v>
      </c>
      <c r="H737" t="str">
        <f>"SERVICE"</f>
        <v>SERVICE</v>
      </c>
    </row>
    <row r="738" spans="1:9" x14ac:dyDescent="0.25">
      <c r="A738" t="s">
        <v>224</v>
      </c>
      <c r="B738">
        <v>81125</v>
      </c>
      <c r="C738" s="2">
        <v>55</v>
      </c>
      <c r="D738" s="1">
        <v>43522</v>
      </c>
      <c r="E738" t="s">
        <v>225</v>
      </c>
      <c r="F738" t="s">
        <v>226</v>
      </c>
      <c r="G738" s="2" t="str">
        <f>"RESTITUTION-COY FERRIS"</f>
        <v>RESTITUTION-COY FERRIS</v>
      </c>
      <c r="H738" t="str">
        <f>"210-0000"</f>
        <v>210-0000</v>
      </c>
      <c r="I738" t="str">
        <f>""</f>
        <v/>
      </c>
    </row>
    <row r="739" spans="1:9" x14ac:dyDescent="0.25">
      <c r="A739" t="s">
        <v>227</v>
      </c>
      <c r="B739">
        <v>81126</v>
      </c>
      <c r="C739" s="2">
        <v>40</v>
      </c>
      <c r="D739" s="1">
        <v>43522</v>
      </c>
      <c r="E739" t="str">
        <f>"201902147436"</f>
        <v>201902147436</v>
      </c>
      <c r="F739" t="str">
        <f>"REIMBURSE-CONFERENCE REGISTRAT"</f>
        <v>REIMBURSE-CONFERENCE REGISTRAT</v>
      </c>
      <c r="G739" s="2">
        <v>40</v>
      </c>
      <c r="H739" t="str">
        <f>"REIMBURSE-CONFERENCE REGISTRAT"</f>
        <v>REIMBURSE-CONFERENCE REGISTRAT</v>
      </c>
    </row>
    <row r="740" spans="1:9" x14ac:dyDescent="0.25">
      <c r="A740" t="s">
        <v>228</v>
      </c>
      <c r="B740">
        <v>80904</v>
      </c>
      <c r="C740" s="2">
        <v>190</v>
      </c>
      <c r="D740" s="1">
        <v>43507</v>
      </c>
      <c r="E740" t="str">
        <f>"228884"</f>
        <v>228884</v>
      </c>
      <c r="F740" t="str">
        <f>"TRASH PICK UP/PCT#1"</f>
        <v>TRASH PICK UP/PCT#1</v>
      </c>
      <c r="G740" s="2">
        <v>190</v>
      </c>
      <c r="H740" t="str">
        <f>"TRASH PICK UP/PCT#1"</f>
        <v>TRASH PICK UP/PCT#1</v>
      </c>
    </row>
    <row r="741" spans="1:9" x14ac:dyDescent="0.25">
      <c r="A741" t="s">
        <v>229</v>
      </c>
      <c r="B741">
        <v>444</v>
      </c>
      <c r="C741" s="2">
        <v>2617</v>
      </c>
      <c r="D741" s="1">
        <v>43508</v>
      </c>
      <c r="E741" t="str">
        <f>"160"</f>
        <v>160</v>
      </c>
      <c r="F741" t="str">
        <f>"TOWER RENT"</f>
        <v>TOWER RENT</v>
      </c>
      <c r="G741" s="2">
        <v>2617</v>
      </c>
      <c r="H741" t="str">
        <f>"TOWER RENT"</f>
        <v>TOWER RENT</v>
      </c>
    </row>
    <row r="742" spans="1:9" x14ac:dyDescent="0.25">
      <c r="A742" t="s">
        <v>230</v>
      </c>
      <c r="B742">
        <v>80905</v>
      </c>
      <c r="C742" s="2">
        <v>260</v>
      </c>
      <c r="D742" s="1">
        <v>43507</v>
      </c>
      <c r="E742" t="str">
        <f>"829"</f>
        <v>829</v>
      </c>
      <c r="F742" t="str">
        <f>"PORTABLE TOILET/HANDICAP"</f>
        <v>PORTABLE TOILET/HANDICAP</v>
      </c>
      <c r="G742" s="2">
        <v>260</v>
      </c>
      <c r="H742" t="str">
        <f>"PORTABLE TOILET/HANDICAP"</f>
        <v>PORTABLE TOILET/HANDICAP</v>
      </c>
    </row>
    <row r="743" spans="1:9" x14ac:dyDescent="0.25">
      <c r="A743" t="s">
        <v>230</v>
      </c>
      <c r="B743">
        <v>81127</v>
      </c>
      <c r="C743" s="2">
        <v>260</v>
      </c>
      <c r="D743" s="1">
        <v>43522</v>
      </c>
      <c r="E743" t="str">
        <f>"945"</f>
        <v>945</v>
      </c>
      <c r="F743" t="str">
        <f>"PORTABLE TOILET/HANDICAP"</f>
        <v>PORTABLE TOILET/HANDICAP</v>
      </c>
      <c r="G743" s="2">
        <v>260</v>
      </c>
      <c r="H743" t="str">
        <f>"PORTABLE TOILET/HANDICAP"</f>
        <v>PORTABLE TOILET/HANDICAP</v>
      </c>
    </row>
    <row r="744" spans="1:9" x14ac:dyDescent="0.25">
      <c r="A744" t="s">
        <v>231</v>
      </c>
      <c r="B744">
        <v>413</v>
      </c>
      <c r="C744" s="2">
        <v>916.55</v>
      </c>
      <c r="D744" s="1">
        <v>43508</v>
      </c>
      <c r="E744" t="str">
        <f>"DIR-SSA-EVIP-01"</f>
        <v>DIR-SSA-EVIP-01</v>
      </c>
      <c r="F744" t="str">
        <f>"ExacqVision Software Rene"</f>
        <v>ExacqVision Software Rene</v>
      </c>
      <c r="G744" s="2">
        <v>916.55</v>
      </c>
      <c r="H744" t="str">
        <f>"DIR-SSA-EVIP-01"</f>
        <v>DIR-SSA-EVIP-01</v>
      </c>
    </row>
    <row r="745" spans="1:9" x14ac:dyDescent="0.25">
      <c r="A745" t="s">
        <v>231</v>
      </c>
      <c r="B745">
        <v>478</v>
      </c>
      <c r="C745" s="2">
        <v>3541</v>
      </c>
      <c r="D745" s="1">
        <v>43523</v>
      </c>
      <c r="E745" t="str">
        <f>"201902227526"</f>
        <v>201902227526</v>
      </c>
      <c r="F745" t="str">
        <f>"Inspection and site asses"</f>
        <v>Inspection and site asses</v>
      </c>
      <c r="G745" s="2">
        <v>3185</v>
      </c>
      <c r="H745" t="str">
        <f>"Labor"</f>
        <v>Labor</v>
      </c>
    </row>
    <row r="746" spans="1:9" x14ac:dyDescent="0.25">
      <c r="E746" t="str">
        <f>""</f>
        <v/>
      </c>
      <c r="F746" t="str">
        <f>""</f>
        <v/>
      </c>
      <c r="H746" t="str">
        <f>"Discount"</f>
        <v>Discount</v>
      </c>
    </row>
    <row r="747" spans="1:9" x14ac:dyDescent="0.25">
      <c r="E747" t="str">
        <f>"808898"</f>
        <v>808898</v>
      </c>
      <c r="F747" t="str">
        <f>"CUST#10222/IT DEPT"</f>
        <v>CUST#10222/IT DEPT</v>
      </c>
      <c r="G747" s="2">
        <v>356</v>
      </c>
      <c r="H747" t="str">
        <f>"CUST#10222/IT DEPT"</f>
        <v>CUST#10222/IT DEPT</v>
      </c>
    </row>
    <row r="748" spans="1:9" x14ac:dyDescent="0.25">
      <c r="A748" t="s">
        <v>232</v>
      </c>
      <c r="B748">
        <v>81128</v>
      </c>
      <c r="C748" s="2">
        <v>2065.25</v>
      </c>
      <c r="D748" s="1">
        <v>43522</v>
      </c>
      <c r="E748" t="str">
        <f>"R301005791"</f>
        <v>R301005791</v>
      </c>
      <c r="F748" t="str">
        <f>"PARTS/LABOR/2017 INTL/PCT#1"</f>
        <v>PARTS/LABOR/2017 INTL/PCT#1</v>
      </c>
      <c r="G748" s="2">
        <v>722.39</v>
      </c>
      <c r="H748" t="str">
        <f>"PARTS/LABOR/2017 INTL/PCT#1"</f>
        <v>PARTS/LABOR/2017 INTL/PCT#1</v>
      </c>
    </row>
    <row r="749" spans="1:9" x14ac:dyDescent="0.25">
      <c r="E749" t="str">
        <f>"T301005849:01"</f>
        <v>T301005849:01</v>
      </c>
      <c r="F749" t="str">
        <f>"PARTS/LABOR/2014 INTL/PCT#1"</f>
        <v>PARTS/LABOR/2014 INTL/PCT#1</v>
      </c>
      <c r="G749" s="2">
        <v>533.96</v>
      </c>
      <c r="H749" t="str">
        <f>"PARTS/LABOR/PCT#1"</f>
        <v>PARTS/LABOR/PCT#1</v>
      </c>
    </row>
    <row r="750" spans="1:9" x14ac:dyDescent="0.25">
      <c r="E750" t="str">
        <f>"X301037162:01"</f>
        <v>X301037162:01</v>
      </c>
      <c r="F750" t="str">
        <f>"ACCT#104992/PCT#1"</f>
        <v>ACCT#104992/PCT#1</v>
      </c>
      <c r="G750" s="2">
        <v>646.91999999999996</v>
      </c>
      <c r="H750" t="str">
        <f>"ACCT#104992/PCT#1"</f>
        <v>ACCT#104992/PCT#1</v>
      </c>
    </row>
    <row r="751" spans="1:9" x14ac:dyDescent="0.25">
      <c r="E751" t="str">
        <f>"X301038250:01"</f>
        <v>X301038250:01</v>
      </c>
      <c r="F751" t="str">
        <f>"FILTERS/PCT#1"</f>
        <v>FILTERS/PCT#1</v>
      </c>
      <c r="G751" s="2">
        <v>161.97999999999999</v>
      </c>
      <c r="H751" t="str">
        <f>"FILTERS/PCT#1"</f>
        <v>FILTERS/PCT#1</v>
      </c>
    </row>
    <row r="752" spans="1:9" x14ac:dyDescent="0.25">
      <c r="A752" t="s">
        <v>233</v>
      </c>
      <c r="B752">
        <v>81129</v>
      </c>
      <c r="C752" s="2">
        <v>163.29</v>
      </c>
      <c r="D752" s="1">
        <v>43522</v>
      </c>
      <c r="E752" t="str">
        <f>"FOCS151290"</f>
        <v>FOCS151290</v>
      </c>
      <c r="F752" t="str">
        <f>"INV FOCS151290 UNIT 8968"</f>
        <v>INV FOCS151290 UNIT 8968</v>
      </c>
      <c r="G752" s="2">
        <v>163.29</v>
      </c>
      <c r="H752" t="str">
        <f>"INV FOCS151290"</f>
        <v>INV FOCS151290</v>
      </c>
    </row>
    <row r="753" spans="1:8" x14ac:dyDescent="0.25">
      <c r="A753" t="s">
        <v>234</v>
      </c>
      <c r="B753">
        <v>80906</v>
      </c>
      <c r="C753" s="2">
        <v>1591.4</v>
      </c>
      <c r="D753" s="1">
        <v>43507</v>
      </c>
      <c r="E753" t="str">
        <f>"201902047038"</f>
        <v>201902047038</v>
      </c>
      <c r="F753" t="str">
        <f>"ACCT#1700/PCT#2"</f>
        <v>ACCT#1700/PCT#2</v>
      </c>
      <c r="G753" s="2">
        <v>14</v>
      </c>
      <c r="H753" t="str">
        <f>"ACCT#1700/PCT#2"</f>
        <v>ACCT#1700/PCT#2</v>
      </c>
    </row>
    <row r="754" spans="1:8" x14ac:dyDescent="0.25">
      <c r="E754" t="str">
        <f>"201902057079"</f>
        <v>201902057079</v>
      </c>
      <c r="F754" t="str">
        <f>"ACCT#1750/PCT#3"</f>
        <v>ACCT#1750/PCT#3</v>
      </c>
      <c r="G754" s="2">
        <v>797.73</v>
      </c>
      <c r="H754" t="str">
        <f>"ACCT#1750/PCT#3"</f>
        <v>ACCT#1750/PCT#3</v>
      </c>
    </row>
    <row r="755" spans="1:8" x14ac:dyDescent="0.25">
      <c r="E755" t="str">
        <f>"201902067160"</f>
        <v>201902067160</v>
      </c>
      <c r="F755" t="str">
        <f>"ACCT#1650/HEALTH &amp; SANITATION"</f>
        <v>ACCT#1650/HEALTH &amp; SANITATION</v>
      </c>
      <c r="G755" s="2">
        <v>17.98</v>
      </c>
      <c r="H755" t="str">
        <f>"ACCT#1650/HEALTH &amp; SANITATION"</f>
        <v>ACCT#1650/HEALTH &amp; SANITATION</v>
      </c>
    </row>
    <row r="756" spans="1:8" x14ac:dyDescent="0.25">
      <c r="E756" t="str">
        <f>"201902067162"</f>
        <v>201902067162</v>
      </c>
      <c r="F756" t="str">
        <f>"ACCT#1650/PCT#1"</f>
        <v>ACCT#1650/PCT#1</v>
      </c>
      <c r="G756" s="2">
        <v>761.69</v>
      </c>
      <c r="H756" t="str">
        <f>"ACCT#1650/PCT#1"</f>
        <v>ACCT#1650/PCT#1</v>
      </c>
    </row>
    <row r="757" spans="1:8" x14ac:dyDescent="0.25">
      <c r="A757" t="s">
        <v>235</v>
      </c>
      <c r="B757">
        <v>80907</v>
      </c>
      <c r="C757" s="2">
        <v>1990.83</v>
      </c>
      <c r="D757" s="1">
        <v>43507</v>
      </c>
      <c r="E757" t="str">
        <f>"01239948 01309869"</f>
        <v>01239948 01309869</v>
      </c>
      <c r="F757" t="str">
        <f>"INV 01239948"</f>
        <v>INV 01239948</v>
      </c>
      <c r="G757" s="2">
        <v>1990.83</v>
      </c>
      <c r="H757" t="str">
        <f>"INV 01239948"</f>
        <v>INV 01239948</v>
      </c>
    </row>
    <row r="758" spans="1:8" x14ac:dyDescent="0.25">
      <c r="E758" t="str">
        <f>""</f>
        <v/>
      </c>
      <c r="F758" t="str">
        <f>""</f>
        <v/>
      </c>
      <c r="H758" t="str">
        <f>"INV 01309869"</f>
        <v>INV 01309869</v>
      </c>
    </row>
    <row r="759" spans="1:8" x14ac:dyDescent="0.25">
      <c r="A759" t="s">
        <v>235</v>
      </c>
      <c r="B759">
        <v>81130</v>
      </c>
      <c r="C759" s="2">
        <v>1755.24</v>
      </c>
      <c r="D759" s="1">
        <v>43522</v>
      </c>
      <c r="E759" t="str">
        <f>"02060090 02130380"</f>
        <v>02060090 02130380</v>
      </c>
      <c r="F759" t="str">
        <f>"INV 02060090"</f>
        <v>INV 02060090</v>
      </c>
      <c r="G759" s="2">
        <v>1755.24</v>
      </c>
      <c r="H759" t="str">
        <f>"INV 02060090"</f>
        <v>INV 02060090</v>
      </c>
    </row>
    <row r="760" spans="1:8" x14ac:dyDescent="0.25">
      <c r="E760" t="str">
        <f>""</f>
        <v/>
      </c>
      <c r="F760" t="str">
        <f>""</f>
        <v/>
      </c>
      <c r="H760" t="str">
        <f>"INV 02130380"</f>
        <v>INV 02130380</v>
      </c>
    </row>
    <row r="761" spans="1:8" x14ac:dyDescent="0.25">
      <c r="A761" t="s">
        <v>236</v>
      </c>
      <c r="B761">
        <v>80908</v>
      </c>
      <c r="C761" s="2">
        <v>150</v>
      </c>
      <c r="D761" s="1">
        <v>43507</v>
      </c>
      <c r="E761" t="str">
        <f>"201902047039"</f>
        <v>201902047039</v>
      </c>
      <c r="F761" t="str">
        <f>"CLEANING SERVICE/PCT#2"</f>
        <v>CLEANING SERVICE/PCT#2</v>
      </c>
      <c r="G761" s="2">
        <v>150</v>
      </c>
      <c r="H761" t="str">
        <f>"CLEANING SERVICE/PCT#2"</f>
        <v>CLEANING SERVICE/PCT#2</v>
      </c>
    </row>
    <row r="762" spans="1:8" x14ac:dyDescent="0.25">
      <c r="A762" t="s">
        <v>236</v>
      </c>
      <c r="B762">
        <v>81131</v>
      </c>
      <c r="C762" s="2">
        <v>150</v>
      </c>
      <c r="D762" s="1">
        <v>43522</v>
      </c>
      <c r="E762" t="str">
        <f>"201902227500"</f>
        <v>201902227500</v>
      </c>
      <c r="F762" t="str">
        <f>"CLEANING SVC/PCT#2"</f>
        <v>CLEANING SVC/PCT#2</v>
      </c>
      <c r="G762" s="2">
        <v>150</v>
      </c>
      <c r="H762" t="str">
        <f>"CLEANING SVC/PCT#2"</f>
        <v>CLEANING SVC/PCT#2</v>
      </c>
    </row>
    <row r="763" spans="1:8" x14ac:dyDescent="0.25">
      <c r="A763" t="s">
        <v>237</v>
      </c>
      <c r="B763">
        <v>80909</v>
      </c>
      <c r="C763" s="2">
        <v>428.39</v>
      </c>
      <c r="D763" s="1">
        <v>43507</v>
      </c>
      <c r="E763" t="str">
        <f>"201902047027"</f>
        <v>201902047027</v>
      </c>
      <c r="F763" t="str">
        <f>"TRAVEL REIMBURSEMENT"</f>
        <v>TRAVEL REIMBURSEMENT</v>
      </c>
      <c r="G763" s="2">
        <v>428.39</v>
      </c>
      <c r="H763" t="str">
        <f>"TRAVEL REIMBURSEMENT"</f>
        <v>TRAVEL REIMBURSEMENT</v>
      </c>
    </row>
    <row r="764" spans="1:8" x14ac:dyDescent="0.25">
      <c r="A764" t="s">
        <v>238</v>
      </c>
      <c r="B764">
        <v>80910</v>
      </c>
      <c r="C764" s="2">
        <v>80</v>
      </c>
      <c r="D764" s="1">
        <v>43507</v>
      </c>
      <c r="E764" t="str">
        <f>"12545"</f>
        <v>12545</v>
      </c>
      <c r="F764" t="str">
        <f>"SERVICE"</f>
        <v>SERVICE</v>
      </c>
      <c r="G764" s="2">
        <v>80</v>
      </c>
      <c r="H764" t="str">
        <f>"SERVICE"</f>
        <v>SERVICE</v>
      </c>
    </row>
    <row r="765" spans="1:8" x14ac:dyDescent="0.25">
      <c r="A765" t="s">
        <v>239</v>
      </c>
      <c r="B765">
        <v>416</v>
      </c>
      <c r="C765" s="2">
        <v>5377.5</v>
      </c>
      <c r="D765" s="1">
        <v>43508</v>
      </c>
      <c r="E765" t="str">
        <f>"201901296832"</f>
        <v>201901296832</v>
      </c>
      <c r="F765" t="str">
        <f>"17-18765"</f>
        <v>17-18765</v>
      </c>
      <c r="G765" s="2">
        <v>257.5</v>
      </c>
      <c r="H765" t="str">
        <f>"17-18765"</f>
        <v>17-18765</v>
      </c>
    </row>
    <row r="766" spans="1:8" x14ac:dyDescent="0.25">
      <c r="E766" t="str">
        <f>"201901296833"</f>
        <v>201901296833</v>
      </c>
      <c r="F766" t="str">
        <f>"18-18996"</f>
        <v>18-18996</v>
      </c>
      <c r="G766" s="2">
        <v>280</v>
      </c>
      <c r="H766" t="str">
        <f>"18-18996"</f>
        <v>18-18996</v>
      </c>
    </row>
    <row r="767" spans="1:8" x14ac:dyDescent="0.25">
      <c r="E767" t="str">
        <f>"201901296834"</f>
        <v>201901296834</v>
      </c>
      <c r="F767" t="str">
        <f>"18-18967"</f>
        <v>18-18967</v>
      </c>
      <c r="G767" s="2">
        <v>52.5</v>
      </c>
      <c r="H767" t="str">
        <f>"18-18967"</f>
        <v>18-18967</v>
      </c>
    </row>
    <row r="768" spans="1:8" x14ac:dyDescent="0.25">
      <c r="E768" t="str">
        <f>"201901296835"</f>
        <v>201901296835</v>
      </c>
      <c r="F768" t="str">
        <f>"11-14878"</f>
        <v>11-14878</v>
      </c>
      <c r="G768" s="2">
        <v>156.25</v>
      </c>
      <c r="H768" t="str">
        <f>"11-14878"</f>
        <v>11-14878</v>
      </c>
    </row>
    <row r="769" spans="1:8" x14ac:dyDescent="0.25">
      <c r="E769" t="str">
        <f>"201901296866"</f>
        <v>201901296866</v>
      </c>
      <c r="F769" t="str">
        <f>"17-18765"</f>
        <v>17-18765</v>
      </c>
      <c r="G769" s="2">
        <v>397.5</v>
      </c>
      <c r="H769" t="str">
        <f>"17-18765"</f>
        <v>17-18765</v>
      </c>
    </row>
    <row r="770" spans="1:8" x14ac:dyDescent="0.25">
      <c r="E770" t="str">
        <f>"201901296867"</f>
        <v>201901296867</v>
      </c>
      <c r="F770" t="str">
        <f>"18-19077"</f>
        <v>18-19077</v>
      </c>
      <c r="G770" s="2">
        <v>322.5</v>
      </c>
      <c r="H770" t="str">
        <f>"18-19077"</f>
        <v>18-19077</v>
      </c>
    </row>
    <row r="771" spans="1:8" x14ac:dyDescent="0.25">
      <c r="E771" t="str">
        <f>"201901296868"</f>
        <v>201901296868</v>
      </c>
      <c r="F771" t="str">
        <f>"14-16754"</f>
        <v>14-16754</v>
      </c>
      <c r="G771" s="2">
        <v>168.75</v>
      </c>
      <c r="H771" t="str">
        <f>"14-16754"</f>
        <v>14-16754</v>
      </c>
    </row>
    <row r="772" spans="1:8" x14ac:dyDescent="0.25">
      <c r="E772" t="str">
        <f>"201901296869"</f>
        <v>201901296869</v>
      </c>
      <c r="F772" t="str">
        <f>"17-18617"</f>
        <v>17-18617</v>
      </c>
      <c r="G772" s="2">
        <v>973.75</v>
      </c>
      <c r="H772" t="str">
        <f>"17-18617"</f>
        <v>17-18617</v>
      </c>
    </row>
    <row r="773" spans="1:8" x14ac:dyDescent="0.25">
      <c r="E773" t="str">
        <f>"201901296870"</f>
        <v>201901296870</v>
      </c>
      <c r="F773" t="str">
        <f>"18-18996"</f>
        <v>18-18996</v>
      </c>
      <c r="G773" s="2">
        <v>337.5</v>
      </c>
      <c r="H773" t="str">
        <f>"18-18996"</f>
        <v>18-18996</v>
      </c>
    </row>
    <row r="774" spans="1:8" x14ac:dyDescent="0.25">
      <c r="E774" t="str">
        <f>"201901296871"</f>
        <v>201901296871</v>
      </c>
      <c r="F774" t="str">
        <f>"18-18967"</f>
        <v>18-18967</v>
      </c>
      <c r="G774" s="2">
        <v>555</v>
      </c>
      <c r="H774" t="str">
        <f>"18-18967"</f>
        <v>18-18967</v>
      </c>
    </row>
    <row r="775" spans="1:8" x14ac:dyDescent="0.25">
      <c r="E775" t="str">
        <f>"201901296872"</f>
        <v>201901296872</v>
      </c>
      <c r="F775" t="str">
        <f>"06-10487"</f>
        <v>06-10487</v>
      </c>
      <c r="G775" s="2">
        <v>345</v>
      </c>
      <c r="H775" t="str">
        <f>"06-10487"</f>
        <v>06-10487</v>
      </c>
    </row>
    <row r="776" spans="1:8" x14ac:dyDescent="0.25">
      <c r="E776" t="str">
        <f>"201901296873"</f>
        <v>201901296873</v>
      </c>
      <c r="F776" t="str">
        <f>"18-18824"</f>
        <v>18-18824</v>
      </c>
      <c r="G776" s="2">
        <v>363.75</v>
      </c>
      <c r="H776" t="str">
        <f>"18-18824"</f>
        <v>18-18824</v>
      </c>
    </row>
    <row r="777" spans="1:8" x14ac:dyDescent="0.25">
      <c r="E777" t="str">
        <f>"201901296874"</f>
        <v>201901296874</v>
      </c>
      <c r="F777" t="str">
        <f>"14-16754"</f>
        <v>14-16754</v>
      </c>
      <c r="G777" s="2">
        <v>183.75</v>
      </c>
      <c r="H777" t="str">
        <f>"14-16754"</f>
        <v>14-16754</v>
      </c>
    </row>
    <row r="778" spans="1:8" x14ac:dyDescent="0.25">
      <c r="E778" t="str">
        <f>"201901296875"</f>
        <v>201901296875</v>
      </c>
      <c r="F778" t="str">
        <f>"11-14878"</f>
        <v>11-14878</v>
      </c>
      <c r="G778" s="2">
        <v>75</v>
      </c>
      <c r="H778" t="str">
        <f>"11-14878"</f>
        <v>11-14878</v>
      </c>
    </row>
    <row r="779" spans="1:8" x14ac:dyDescent="0.25">
      <c r="E779" t="str">
        <f>"201902057127"</f>
        <v>201902057127</v>
      </c>
      <c r="F779" t="str">
        <f>"04-8785"</f>
        <v>04-8785</v>
      </c>
      <c r="G779" s="2">
        <v>403.75</v>
      </c>
      <c r="H779" t="str">
        <f>"04-8785"</f>
        <v>04-8785</v>
      </c>
    </row>
    <row r="780" spans="1:8" x14ac:dyDescent="0.25">
      <c r="E780" t="str">
        <f>"201902057128"</f>
        <v>201902057128</v>
      </c>
      <c r="F780" t="str">
        <f>"15-17310"</f>
        <v>15-17310</v>
      </c>
      <c r="G780" s="2">
        <v>272.5</v>
      </c>
      <c r="H780" t="str">
        <f>"15-17310"</f>
        <v>15-17310</v>
      </c>
    </row>
    <row r="781" spans="1:8" x14ac:dyDescent="0.25">
      <c r="E781" t="str">
        <f>"201902057129"</f>
        <v>201902057129</v>
      </c>
      <c r="F781" t="str">
        <f>"03-8069"</f>
        <v>03-8069</v>
      </c>
      <c r="G781" s="2">
        <v>232.5</v>
      </c>
      <c r="H781" t="str">
        <f>"03-8069"</f>
        <v>03-8069</v>
      </c>
    </row>
    <row r="782" spans="1:8" x14ac:dyDescent="0.25">
      <c r="A782" t="s">
        <v>240</v>
      </c>
      <c r="B782">
        <v>80911</v>
      </c>
      <c r="C782" s="2">
        <v>295</v>
      </c>
      <c r="D782" s="1">
        <v>43507</v>
      </c>
      <c r="E782" t="str">
        <f>"112918015"</f>
        <v>112918015</v>
      </c>
      <c r="F782" t="str">
        <f>"CNTY AUDITOR INSTITUTE-L SMITH"</f>
        <v>CNTY AUDITOR INSTITUTE-L SMITH</v>
      </c>
      <c r="G782" s="2">
        <v>295</v>
      </c>
      <c r="H782" t="str">
        <f>"CNTY AUDITOR INSTITUTE-L SMITH"</f>
        <v>CNTY AUDITOR INSTITUTE-L SMITH</v>
      </c>
    </row>
    <row r="783" spans="1:8" x14ac:dyDescent="0.25">
      <c r="A783" t="s">
        <v>241</v>
      </c>
      <c r="B783">
        <v>81132</v>
      </c>
      <c r="C783" s="2">
        <v>185</v>
      </c>
      <c r="D783" s="1">
        <v>43522</v>
      </c>
      <c r="E783" t="str">
        <f>"47479  47561"</f>
        <v>47479  47561</v>
      </c>
      <c r="F783" t="str">
        <f>"TIRE SVCS/PCT#4"</f>
        <v>TIRE SVCS/PCT#4</v>
      </c>
      <c r="G783" s="2">
        <v>185</v>
      </c>
      <c r="H783" t="str">
        <f>"TIRE SVCS/PCT#4"</f>
        <v>TIRE SVCS/PCT#4</v>
      </c>
    </row>
    <row r="784" spans="1:8" x14ac:dyDescent="0.25">
      <c r="A784" t="s">
        <v>242</v>
      </c>
      <c r="B784">
        <v>80808</v>
      </c>
      <c r="C784" s="2">
        <v>66.2</v>
      </c>
      <c r="D784" s="1">
        <v>43502</v>
      </c>
      <c r="E784" t="str">
        <f>"201902067201"</f>
        <v>201902067201</v>
      </c>
      <c r="F784" t="str">
        <f>"ACCT#1-09-00072-02 1 /01252019"</f>
        <v>ACCT#1-09-00072-02 1 /01252019</v>
      </c>
      <c r="G784" s="2">
        <v>66.2</v>
      </c>
      <c r="H784" t="str">
        <f>"ACCT#1-09-00072-02 1 /01252019"</f>
        <v>ACCT#1-09-00072-02 1 /01252019</v>
      </c>
    </row>
    <row r="785" spans="1:8" x14ac:dyDescent="0.25">
      <c r="A785" t="s">
        <v>243</v>
      </c>
      <c r="B785">
        <v>80912</v>
      </c>
      <c r="C785" s="2">
        <v>114.3</v>
      </c>
      <c r="D785" s="1">
        <v>43507</v>
      </c>
      <c r="E785" t="str">
        <f>"1361725-20190131"</f>
        <v>1361725-20190131</v>
      </c>
      <c r="F785" t="str">
        <f>"BILLING ID:1361725/INDIGENT HE"</f>
        <v>BILLING ID:1361725/INDIGENT HE</v>
      </c>
      <c r="G785" s="2">
        <v>114.3</v>
      </c>
      <c r="H785" t="str">
        <f>"BILLING ID:1361725/INDIGENT HE"</f>
        <v>BILLING ID:1361725/INDIGENT HE</v>
      </c>
    </row>
    <row r="786" spans="1:8" x14ac:dyDescent="0.25">
      <c r="A786" t="s">
        <v>243</v>
      </c>
      <c r="B786">
        <v>81133</v>
      </c>
      <c r="C786" s="2">
        <v>1170.95</v>
      </c>
      <c r="D786" s="1">
        <v>43522</v>
      </c>
      <c r="E786" t="str">
        <f>"1211621-20190131"</f>
        <v>1211621-20190131</v>
      </c>
      <c r="F786" t="str">
        <f>"BILLING ID:1211621/HEALTH SVCS"</f>
        <v>BILLING ID:1211621/HEALTH SVCS</v>
      </c>
      <c r="G786" s="2">
        <v>500.65</v>
      </c>
      <c r="H786" t="str">
        <f>"BILLING ID:1211621/HEALTH SVCS"</f>
        <v>BILLING ID:1211621/HEALTH SVCS</v>
      </c>
    </row>
    <row r="787" spans="1:8" x14ac:dyDescent="0.25">
      <c r="E787" t="str">
        <f>"1420944-20190131"</f>
        <v>1420944-20190131</v>
      </c>
      <c r="F787" t="str">
        <f>"BILLING ID:1420944/SHERIFF OFF"</f>
        <v>BILLING ID:1420944/SHERIFF OFF</v>
      </c>
      <c r="G787" s="2">
        <v>324.3</v>
      </c>
      <c r="H787" t="str">
        <f>"BILLING ID:1420944/SHERIFF OFF"</f>
        <v>BILLING ID:1420944/SHERIFF OFF</v>
      </c>
    </row>
    <row r="788" spans="1:8" x14ac:dyDescent="0.25">
      <c r="E788" t="str">
        <f>"1489870-20190131"</f>
        <v>1489870-20190131</v>
      </c>
      <c r="F788" t="str">
        <f>"BILLING ID:1489870/DIST CLERK"</f>
        <v>BILLING ID:1489870/DIST CLERK</v>
      </c>
      <c r="G788" s="2">
        <v>50</v>
      </c>
      <c r="H788" t="str">
        <f>"BILLING ID:1489870/DIST CLERK"</f>
        <v>BILLING ID:1489870/DIST CLERK</v>
      </c>
    </row>
    <row r="789" spans="1:8" x14ac:dyDescent="0.25">
      <c r="E789" t="str">
        <f>"4394645-20190131"</f>
        <v>4394645-20190131</v>
      </c>
      <c r="F789" t="str">
        <f>"BILLING ID:1394645/CNTY CLERK"</f>
        <v>BILLING ID:1394645/CNTY CLERK</v>
      </c>
      <c r="G789" s="2">
        <v>296</v>
      </c>
      <c r="H789" t="str">
        <f>"BILLING ID:1394645/CNTY CLERK"</f>
        <v>BILLING ID:1394645/CNTY CLERK</v>
      </c>
    </row>
    <row r="790" spans="1:8" x14ac:dyDescent="0.25">
      <c r="A790" t="s">
        <v>244</v>
      </c>
      <c r="B790">
        <v>81134</v>
      </c>
      <c r="C790" s="2">
        <v>4541.41</v>
      </c>
      <c r="D790" s="1">
        <v>43522</v>
      </c>
      <c r="E790" t="str">
        <f>"1526236"</f>
        <v>1526236</v>
      </c>
      <c r="F790" t="str">
        <f>"ACCT#15717/TIRE SVCS"</f>
        <v>ACCT#15717/TIRE SVCS</v>
      </c>
      <c r="G790" s="2">
        <v>4267</v>
      </c>
      <c r="H790" t="str">
        <f>"ACCT#15717/TIRE SVCS"</f>
        <v>ACCT#15717/TIRE SVCS</v>
      </c>
    </row>
    <row r="791" spans="1:8" x14ac:dyDescent="0.25">
      <c r="E791" t="str">
        <f>"1532765"</f>
        <v>1532765</v>
      </c>
      <c r="F791" t="str">
        <f>"ACCT#15717/TIRE SVCS"</f>
        <v>ACCT#15717/TIRE SVCS</v>
      </c>
      <c r="G791" s="2">
        <v>274.41000000000003</v>
      </c>
      <c r="H791" t="str">
        <f>"ACCT#15717/TIRE SVCS"</f>
        <v>ACCT#15717/TIRE SVCS</v>
      </c>
    </row>
    <row r="792" spans="1:8" x14ac:dyDescent="0.25">
      <c r="A792" t="s">
        <v>245</v>
      </c>
      <c r="B792">
        <v>450</v>
      </c>
      <c r="C792" s="2">
        <v>360.5</v>
      </c>
      <c r="D792" s="1">
        <v>43508</v>
      </c>
      <c r="E792" t="str">
        <f>"201901316949"</f>
        <v>201901316949</v>
      </c>
      <c r="F792" t="str">
        <f>"VEHICLE REGISTRATIONS/PCT#1"</f>
        <v>VEHICLE REGISTRATIONS/PCT#1</v>
      </c>
      <c r="G792" s="2">
        <v>30.5</v>
      </c>
      <c r="H792" t="str">
        <f>"VEHICLE REGISTRATIONS/PCT#1"</f>
        <v>VEHICLE REGISTRATIONS/PCT#1</v>
      </c>
    </row>
    <row r="793" spans="1:8" x14ac:dyDescent="0.25">
      <c r="E793" t="str">
        <f>"201901316952"</f>
        <v>201901316952</v>
      </c>
      <c r="F793" t="str">
        <f>"VEHICLE REGISTRATIONS/GEN SVCS"</f>
        <v>VEHICLE REGISTRATIONS/GEN SVCS</v>
      </c>
      <c r="G793" s="2">
        <v>15</v>
      </c>
      <c r="H793" t="str">
        <f>"VEHICLE REGISTRATIONS/GEN SVCS"</f>
        <v>VEHICLE REGISTRATIONS/GEN SVCS</v>
      </c>
    </row>
    <row r="794" spans="1:8" x14ac:dyDescent="0.25">
      <c r="E794" t="str">
        <f>"201901316953"</f>
        <v>201901316953</v>
      </c>
      <c r="F794" t="str">
        <f>"VEHICLE REGISTRATION/SIGN SHOP"</f>
        <v>VEHICLE REGISTRATION/SIGN SHOP</v>
      </c>
      <c r="G794" s="2">
        <v>7.5</v>
      </c>
      <c r="H794" t="str">
        <f>"VEHICLE REGISTRATION/SIGN SHOP"</f>
        <v>VEHICLE REGISTRATION/SIGN SHOP</v>
      </c>
    </row>
    <row r="795" spans="1:8" x14ac:dyDescent="0.25">
      <c r="E795" t="str">
        <f>"201901316954"</f>
        <v>201901316954</v>
      </c>
      <c r="F795" t="str">
        <f>"VEHICLE REGISTRATION/DEV SVCS"</f>
        <v>VEHICLE REGISTRATION/DEV SVCS</v>
      </c>
      <c r="G795" s="2">
        <v>7.5</v>
      </c>
      <c r="H795" t="str">
        <f>"VEHICLE REGISTRATION/DEV SVCS"</f>
        <v>VEHICLE REGISTRATION/DEV SVCS</v>
      </c>
    </row>
    <row r="796" spans="1:8" x14ac:dyDescent="0.25">
      <c r="E796" t="str">
        <f>"201901316955"</f>
        <v>201901316955</v>
      </c>
      <c r="F796" t="str">
        <f>"2019 FORD TITLE/TAGS/IT DEPT"</f>
        <v>2019 FORD TITLE/TAGS/IT DEPT</v>
      </c>
      <c r="G796" s="2">
        <v>16.5</v>
      </c>
      <c r="H796" t="str">
        <f>"2019 FORD TITLE/TAGS/IT DEPT"</f>
        <v>2019 FORD TITLE/TAGS/IT DEPT</v>
      </c>
    </row>
    <row r="797" spans="1:8" x14ac:dyDescent="0.25">
      <c r="E797" t="str">
        <f>"201902047018"</f>
        <v>201902047018</v>
      </c>
      <c r="F797" t="str">
        <f>"VEH REG.-2015 FORD/ANIMAL CONT"</f>
        <v>VEH REG.-2015 FORD/ANIMAL CONT</v>
      </c>
      <c r="G797" s="2">
        <v>7.5</v>
      </c>
      <c r="H797" t="str">
        <f>"VEH REG.-2015 FORD/ANIMAL CONT"</f>
        <v>VEH REG.-2015 FORD/ANIMAL CONT</v>
      </c>
    </row>
    <row r="798" spans="1:8" x14ac:dyDescent="0.25">
      <c r="E798" t="str">
        <f>"201902057041"</f>
        <v>201902057041</v>
      </c>
      <c r="F798" t="str">
        <f>"2004 FRHT REGISTRATION/PCT#4"</f>
        <v>2004 FRHT REGISTRATION/PCT#4</v>
      </c>
      <c r="G798" s="2">
        <v>22</v>
      </c>
      <c r="H798" t="str">
        <f>"2004 FRHT REGISTRATION/PCT#4"</f>
        <v>2004 FRHT REGISTRATION/PCT#4</v>
      </c>
    </row>
    <row r="799" spans="1:8" x14ac:dyDescent="0.25">
      <c r="E799" t="str">
        <f>"201902057095"</f>
        <v>201902057095</v>
      </c>
      <c r="F799" t="str">
        <f>"VEHICLE REGISTRATION-2017 RAM"</f>
        <v>VEHICLE REGISTRATION-2017 RAM</v>
      </c>
      <c r="G799" s="2">
        <v>7.5</v>
      </c>
      <c r="H799" t="str">
        <f>"VEHICLE REGISTRATION-2017 RAM"</f>
        <v>VEHICLE REGISTRATION-2017 RAM</v>
      </c>
    </row>
    <row r="800" spans="1:8" x14ac:dyDescent="0.25">
      <c r="E800" t="str">
        <f>"201902067153"</f>
        <v>201902067153</v>
      </c>
      <c r="F800" t="str">
        <f>"VEHICLE REGISTRATIONS-SHERIFF"</f>
        <v>VEHICLE REGISTRATIONS-SHERIFF</v>
      </c>
      <c r="G800" s="2">
        <v>60</v>
      </c>
      <c r="H800" t="str">
        <f>"VEHICLE REGISTRATIONS-SHERIFF"</f>
        <v>VEHICLE REGISTRATIONS-SHERIFF</v>
      </c>
    </row>
    <row r="801" spans="1:8" x14ac:dyDescent="0.25">
      <c r="E801" t="str">
        <f>"201902067197"</f>
        <v>201902067197</v>
      </c>
      <c r="F801" t="str">
        <f>"TITLE AND BUYER'S FEE/PCT#1"</f>
        <v>TITLE AND BUYER'S FEE/PCT#1</v>
      </c>
      <c r="G801" s="2">
        <v>12.5</v>
      </c>
      <c r="H801" t="str">
        <f>"TITLE AND BUYER'S FEE/PCT#1"</f>
        <v>TITLE AND BUYER'S FEE/PCT#1</v>
      </c>
    </row>
    <row r="802" spans="1:8" x14ac:dyDescent="0.25">
      <c r="E802" t="str">
        <f>"201902067213"</f>
        <v>201902067213</v>
      </c>
      <c r="F802" t="str">
        <f>"TITLE TRANSFERS/BUYERS FEE/SO"</f>
        <v>TITLE TRANSFERS/BUYERS FEE/SO</v>
      </c>
      <c r="G802" s="2">
        <v>174</v>
      </c>
      <c r="H802" t="str">
        <f>"TITLE TRANSFERS/BUYERS FEE/SO"</f>
        <v>TITLE TRANSFERS/BUYERS FEE/SO</v>
      </c>
    </row>
    <row r="803" spans="1:8" x14ac:dyDescent="0.25">
      <c r="A803" t="s">
        <v>245</v>
      </c>
      <c r="B803">
        <v>509</v>
      </c>
      <c r="C803" s="2">
        <v>142</v>
      </c>
      <c r="D803" s="1">
        <v>43523</v>
      </c>
      <c r="E803" t="str">
        <f>"201902137420"</f>
        <v>201902137420</v>
      </c>
      <c r="F803" t="str">
        <f>"VEHICLE REGISTRATIONS/PCT#2"</f>
        <v>VEHICLE REGISTRATIONS/PCT#2</v>
      </c>
      <c r="G803" s="2">
        <v>22.5</v>
      </c>
      <c r="H803" t="str">
        <f>"VEHICLE REGISTRATIONS/PCT#2"</f>
        <v>VEHICLE REGISTRATIONS/PCT#2</v>
      </c>
    </row>
    <row r="804" spans="1:8" x14ac:dyDescent="0.25">
      <c r="E804" t="str">
        <f>"201902137433"</f>
        <v>201902137433</v>
      </c>
      <c r="F804" t="str">
        <f>"2018 RAM REGISTRATION/PCT#4"</f>
        <v>2018 RAM REGISTRATION/PCT#4</v>
      </c>
      <c r="G804" s="2">
        <v>7.5</v>
      </c>
      <c r="H804" t="str">
        <f>"2018 RAM REGISTRATION/PCT#4"</f>
        <v>2018 RAM REGISTRATION/PCT#4</v>
      </c>
    </row>
    <row r="805" spans="1:8" x14ac:dyDescent="0.25">
      <c r="E805" t="str">
        <f>"201902227461"</f>
        <v>201902227461</v>
      </c>
      <c r="F805" t="str">
        <f>"TITLE TRANSFER/2019 PRTB/PCT#4"</f>
        <v>TITLE TRANSFER/2019 PRTB/PCT#4</v>
      </c>
      <c r="G805" s="2">
        <v>22</v>
      </c>
      <c r="H805" t="str">
        <f>"TITLE TRANSFER/2019 PRTB/PCT#4"</f>
        <v>TITLE TRANSFER/2019 PRTB/PCT#4</v>
      </c>
    </row>
    <row r="806" spans="1:8" x14ac:dyDescent="0.25">
      <c r="E806" t="str">
        <f>"201902227487"</f>
        <v>201902227487</v>
      </c>
      <c r="F806" t="str">
        <f>"2009 DODG REGISTRATION/GEN SVC"</f>
        <v>2009 DODG REGISTRATION/GEN SVC</v>
      </c>
      <c r="G806" s="2">
        <v>7.5</v>
      </c>
      <c r="H806" t="str">
        <f>"2009 DODG REGISTRATION/GEN SVC"</f>
        <v>2009 DODG REGISTRATION/GEN SVC</v>
      </c>
    </row>
    <row r="807" spans="1:8" x14ac:dyDescent="0.25">
      <c r="E807" t="str">
        <f>"201902227510"</f>
        <v>201902227510</v>
      </c>
      <c r="F807" t="str">
        <f>"VEHICLE REGISTRATIONS/SHERIFF"</f>
        <v>VEHICLE REGISTRATIONS/SHERIFF</v>
      </c>
      <c r="G807" s="2">
        <v>82.5</v>
      </c>
      <c r="H807" t="str">
        <f>"VEHICLE REGISTRATIONS/SHERIFF"</f>
        <v>VEHICLE REGISTRATIONS/SHERIFF</v>
      </c>
    </row>
    <row r="808" spans="1:8" x14ac:dyDescent="0.25">
      <c r="A808" t="s">
        <v>246</v>
      </c>
      <c r="B808">
        <v>80913</v>
      </c>
      <c r="C808" s="2">
        <v>500</v>
      </c>
      <c r="D808" s="1">
        <v>43507</v>
      </c>
      <c r="E808" t="str">
        <f>"201902016981"</f>
        <v>201902016981</v>
      </c>
      <c r="F808" t="str">
        <f>"56 569"</f>
        <v>56 569</v>
      </c>
      <c r="G808" s="2">
        <v>250</v>
      </c>
      <c r="H808" t="str">
        <f>"56 569"</f>
        <v>56 569</v>
      </c>
    </row>
    <row r="809" spans="1:8" x14ac:dyDescent="0.25">
      <c r="E809" t="str">
        <f>"201902016982"</f>
        <v>201902016982</v>
      </c>
      <c r="F809" t="str">
        <f>"56 149"</f>
        <v>56 149</v>
      </c>
      <c r="G809" s="2">
        <v>250</v>
      </c>
      <c r="H809" t="str">
        <f>"56 149"</f>
        <v>56 149</v>
      </c>
    </row>
    <row r="810" spans="1:8" x14ac:dyDescent="0.25">
      <c r="A810" t="s">
        <v>247</v>
      </c>
      <c r="B810">
        <v>80914</v>
      </c>
      <c r="C810" s="2">
        <v>85</v>
      </c>
      <c r="D810" s="1">
        <v>43507</v>
      </c>
      <c r="E810" t="str">
        <f>"201902016967"</f>
        <v>201902016967</v>
      </c>
      <c r="F810" t="str">
        <f>"PER DIEM"</f>
        <v>PER DIEM</v>
      </c>
      <c r="G810" s="2">
        <v>85</v>
      </c>
      <c r="H810" t="str">
        <f>"PER DIEM"</f>
        <v>PER DIEM</v>
      </c>
    </row>
    <row r="811" spans="1:8" x14ac:dyDescent="0.25">
      <c r="A811" t="s">
        <v>248</v>
      </c>
      <c r="B811">
        <v>485</v>
      </c>
      <c r="C811" s="2">
        <v>793</v>
      </c>
      <c r="D811" s="1">
        <v>43523</v>
      </c>
      <c r="E811" t="str">
        <f>"97498307"</f>
        <v>97498307</v>
      </c>
      <c r="F811" t="str">
        <f>"PROF SVCS-JAN 31 2019"</f>
        <v>PROF SVCS-JAN 31 2019</v>
      </c>
      <c r="G811" s="2">
        <v>793</v>
      </c>
      <c r="H811" t="str">
        <f>"PROF SVCS-JAN 31 2019"</f>
        <v>PROF SVCS-JAN 31 2019</v>
      </c>
    </row>
    <row r="812" spans="1:8" x14ac:dyDescent="0.25">
      <c r="A812" t="s">
        <v>249</v>
      </c>
      <c r="B812">
        <v>427</v>
      </c>
      <c r="C812" s="2">
        <v>12364.33</v>
      </c>
      <c r="D812" s="1">
        <v>43508</v>
      </c>
      <c r="E812" t="str">
        <f>"201902047022"</f>
        <v>201902047022</v>
      </c>
      <c r="F812" t="str">
        <f>"GRANT REIMBURSEMENT"</f>
        <v>GRANT REIMBURSEMENT</v>
      </c>
      <c r="G812" s="2">
        <v>11612.92</v>
      </c>
      <c r="H812" t="str">
        <f>"GRANT REIMBURSEMENT"</f>
        <v>GRANT REIMBURSEMENT</v>
      </c>
    </row>
    <row r="813" spans="1:8" x14ac:dyDescent="0.25">
      <c r="E813" t="str">
        <f>"201902057105"</f>
        <v>201902057105</v>
      </c>
      <c r="F813" t="str">
        <f>"INDIGENT HEALTH"</f>
        <v>INDIGENT HEALTH</v>
      </c>
      <c r="G813" s="2">
        <v>751.41</v>
      </c>
      <c r="H813" t="str">
        <f>"INDIGENT HEALTH"</f>
        <v>INDIGENT HEALTH</v>
      </c>
    </row>
    <row r="814" spans="1:8" x14ac:dyDescent="0.25">
      <c r="E814" t="str">
        <f>""</f>
        <v/>
      </c>
      <c r="F814" t="str">
        <f>""</f>
        <v/>
      </c>
      <c r="H814" t="str">
        <f>"INDIGENT HEALTH"</f>
        <v>INDIGENT HEALTH</v>
      </c>
    </row>
    <row r="815" spans="1:8" x14ac:dyDescent="0.25">
      <c r="E815" t="str">
        <f>""</f>
        <v/>
      </c>
      <c r="F815" t="str">
        <f>""</f>
        <v/>
      </c>
      <c r="H815" t="str">
        <f>"INDIGENT HEALTH"</f>
        <v>INDIGENT HEALTH</v>
      </c>
    </row>
    <row r="816" spans="1:8" x14ac:dyDescent="0.25">
      <c r="A816" t="s">
        <v>250</v>
      </c>
      <c r="B816">
        <v>425</v>
      </c>
      <c r="C816" s="2">
        <v>3113.18</v>
      </c>
      <c r="D816" s="1">
        <v>43508</v>
      </c>
      <c r="E816" t="str">
        <f>"LS-200BRAV4-BCSO"</f>
        <v>LS-200BRAV4-BCSO</v>
      </c>
      <c r="F816" t="str">
        <f>"INV LS-2008RAV4-BCSO 5291"</f>
        <v>INV LS-2008RAV4-BCSO 5291</v>
      </c>
      <c r="G816" s="2">
        <v>1485.3</v>
      </c>
      <c r="H816" t="str">
        <f>"INV LS-2008RAV4-BCSO 5291"</f>
        <v>INV LS-2008RAV4-BCSO 5291</v>
      </c>
    </row>
    <row r="817" spans="1:8" x14ac:dyDescent="0.25">
      <c r="E817" t="str">
        <f>"LS-2016EXP-4719-BC"</f>
        <v>LS-2016EXP-4719-BC</v>
      </c>
      <c r="F817" t="str">
        <f>"INV LS-2016EXP-4719-BCSO"</f>
        <v>INV LS-2016EXP-4719-BCSO</v>
      </c>
      <c r="G817" s="2">
        <v>1627.88</v>
      </c>
      <c r="H817" t="str">
        <f>"INV LS-2016EXP-4719-BCSO"</f>
        <v>INV LS-2016EXP-4719-BCSO</v>
      </c>
    </row>
    <row r="818" spans="1:8" x14ac:dyDescent="0.25">
      <c r="A818" t="s">
        <v>251</v>
      </c>
      <c r="B818">
        <v>81135</v>
      </c>
      <c r="C818" s="2">
        <v>98.98</v>
      </c>
      <c r="D818" s="1">
        <v>43522</v>
      </c>
      <c r="E818" t="str">
        <f>"201902157456"</f>
        <v>201902157456</v>
      </c>
      <c r="F818" t="str">
        <f>"INDIGENT HEALTH"</f>
        <v>INDIGENT HEALTH</v>
      </c>
      <c r="G818" s="2">
        <v>98.98</v>
      </c>
      <c r="H818" t="str">
        <f>"INDIGENT HEALTH"</f>
        <v>INDIGENT HEALTH</v>
      </c>
    </row>
    <row r="819" spans="1:8" x14ac:dyDescent="0.25">
      <c r="A819" t="s">
        <v>252</v>
      </c>
      <c r="B819">
        <v>432</v>
      </c>
      <c r="C819" s="2">
        <v>734.5</v>
      </c>
      <c r="D819" s="1">
        <v>43508</v>
      </c>
      <c r="E819" t="str">
        <f>"201902057088"</f>
        <v>201902057088</v>
      </c>
      <c r="F819" t="str">
        <f>"TRASH REMOVAL 02/04-02/09/P4"</f>
        <v>TRASH REMOVAL 02/04-02/09/P4</v>
      </c>
      <c r="G819" s="2">
        <v>377</v>
      </c>
      <c r="H819" t="str">
        <f>"TRASH REMOVAL 02/04-02/09/P4"</f>
        <v>TRASH REMOVAL 02/04-02/09/P4</v>
      </c>
    </row>
    <row r="820" spans="1:8" x14ac:dyDescent="0.25">
      <c r="E820" t="str">
        <f>"201902057089"</f>
        <v>201902057089</v>
      </c>
      <c r="F820" t="str">
        <f>"TRASH REMOVAL 01/28-01/31/P4"</f>
        <v>TRASH REMOVAL 01/28-01/31/P4</v>
      </c>
      <c r="G820" s="2">
        <v>357.5</v>
      </c>
      <c r="H820" t="str">
        <f>"LONNIE LAWRENCE DAVIS JR"</f>
        <v>LONNIE LAWRENCE DAVIS JR</v>
      </c>
    </row>
    <row r="821" spans="1:8" x14ac:dyDescent="0.25">
      <c r="A821" t="s">
        <v>252</v>
      </c>
      <c r="B821">
        <v>492</v>
      </c>
      <c r="C821" s="2">
        <v>812.5</v>
      </c>
      <c r="D821" s="1">
        <v>43523</v>
      </c>
      <c r="E821" t="str">
        <f>"201902227502"</f>
        <v>201902227502</v>
      </c>
      <c r="F821" t="str">
        <f>"TRASH REMOVAL 02/11-02/22/P4"</f>
        <v>TRASH REMOVAL 02/11-02/22/P4</v>
      </c>
      <c r="G821" s="2">
        <v>812.5</v>
      </c>
      <c r="H821" t="str">
        <f>"TRASH REMOVAL 02/11-02/22/P4"</f>
        <v>TRASH REMOVAL 02/11-02/22/P4</v>
      </c>
    </row>
    <row r="822" spans="1:8" x14ac:dyDescent="0.25">
      <c r="A822" t="s">
        <v>253</v>
      </c>
      <c r="B822">
        <v>80915</v>
      </c>
      <c r="C822" s="2">
        <v>60</v>
      </c>
      <c r="D822" s="1">
        <v>43507</v>
      </c>
      <c r="E822" t="str">
        <f>"201902067178"</f>
        <v>201902067178</v>
      </c>
      <c r="F822" t="str">
        <f>"FERAL HOGS"</f>
        <v>FERAL HOGS</v>
      </c>
      <c r="G822" s="2">
        <v>30</v>
      </c>
      <c r="H822" t="str">
        <f>"FERAL HOGS"</f>
        <v>FERAL HOGS</v>
      </c>
    </row>
    <row r="823" spans="1:8" x14ac:dyDescent="0.25">
      <c r="E823" t="str">
        <f>"201902067179"</f>
        <v>201902067179</v>
      </c>
      <c r="F823" t="str">
        <f>"FERAL HOGS"</f>
        <v>FERAL HOGS</v>
      </c>
      <c r="G823" s="2">
        <v>20</v>
      </c>
      <c r="H823" t="str">
        <f>"FERAL HOGS"</f>
        <v>FERAL HOGS</v>
      </c>
    </row>
    <row r="824" spans="1:8" x14ac:dyDescent="0.25">
      <c r="E824" t="str">
        <f>"201902067180"</f>
        <v>201902067180</v>
      </c>
      <c r="F824" t="str">
        <f>"FERAL HOGS"</f>
        <v>FERAL HOGS</v>
      </c>
      <c r="G824" s="2">
        <v>10</v>
      </c>
      <c r="H824" t="str">
        <f>"FERAL HOGS"</f>
        <v>FERAL HOGS</v>
      </c>
    </row>
    <row r="825" spans="1:8" x14ac:dyDescent="0.25">
      <c r="A825" t="s">
        <v>254</v>
      </c>
      <c r="B825">
        <v>81136</v>
      </c>
      <c r="C825" s="2">
        <v>66.489999999999995</v>
      </c>
      <c r="D825" s="1">
        <v>43522</v>
      </c>
      <c r="E825" t="str">
        <f>"914547"</f>
        <v>914547</v>
      </c>
      <c r="F825" t="str">
        <f>"acct# 99006938692"</f>
        <v>acct# 99006938692</v>
      </c>
      <c r="G825" s="2">
        <v>66.489999999999995</v>
      </c>
      <c r="H825" t="str">
        <f>"Inv# 914547"</f>
        <v>Inv# 914547</v>
      </c>
    </row>
    <row r="826" spans="1:8" x14ac:dyDescent="0.25">
      <c r="A826" t="s">
        <v>255</v>
      </c>
      <c r="B826">
        <v>80916</v>
      </c>
      <c r="C826" s="2">
        <v>20</v>
      </c>
      <c r="D826" s="1">
        <v>43507</v>
      </c>
      <c r="E826" t="str">
        <f>"12205  12/28/18"</f>
        <v>12205  12/28/18</v>
      </c>
      <c r="F826" t="str">
        <f>"SERVICE"</f>
        <v>SERVICE</v>
      </c>
      <c r="G826" s="2">
        <v>20</v>
      </c>
      <c r="H826" t="str">
        <f>"SERVICE"</f>
        <v>SERVICE</v>
      </c>
    </row>
    <row r="827" spans="1:8" x14ac:dyDescent="0.25">
      <c r="A827" t="s">
        <v>256</v>
      </c>
      <c r="B827">
        <v>80917</v>
      </c>
      <c r="C827" s="2">
        <v>110</v>
      </c>
      <c r="D827" s="1">
        <v>43507</v>
      </c>
      <c r="E827" t="str">
        <f>"201902067181"</f>
        <v>201902067181</v>
      </c>
      <c r="F827" t="str">
        <f>"FERAL HOGS"</f>
        <v>FERAL HOGS</v>
      </c>
      <c r="G827" s="2">
        <v>65</v>
      </c>
      <c r="H827" t="str">
        <f>"FERAL HOGS"</f>
        <v>FERAL HOGS</v>
      </c>
    </row>
    <row r="828" spans="1:8" x14ac:dyDescent="0.25">
      <c r="E828" t="str">
        <f>"201902067182"</f>
        <v>201902067182</v>
      </c>
      <c r="F828" t="str">
        <f>"FERAL HOGS"</f>
        <v>FERAL HOGS</v>
      </c>
      <c r="G828" s="2">
        <v>45</v>
      </c>
      <c r="H828" t="str">
        <f>"FERAL HOGS"</f>
        <v>FERAL HOGS</v>
      </c>
    </row>
    <row r="829" spans="1:8" x14ac:dyDescent="0.25">
      <c r="A829" t="s">
        <v>257</v>
      </c>
      <c r="B829">
        <v>80918</v>
      </c>
      <c r="C829" s="2">
        <v>739.38</v>
      </c>
      <c r="D829" s="1">
        <v>43507</v>
      </c>
      <c r="E829" t="str">
        <f>"201902057048"</f>
        <v>201902057048</v>
      </c>
      <c r="F829" t="str">
        <f>"1232019"</f>
        <v>1232019</v>
      </c>
      <c r="G829" s="2">
        <v>394.69</v>
      </c>
      <c r="H829" t="str">
        <f>"1232019"</f>
        <v>1232019</v>
      </c>
    </row>
    <row r="830" spans="1:8" x14ac:dyDescent="0.25">
      <c r="E830" t="str">
        <f>"201902057049"</f>
        <v>201902057049</v>
      </c>
      <c r="F830" t="str">
        <f>"1302019"</f>
        <v>1302019</v>
      </c>
      <c r="G830" s="2">
        <v>344.69</v>
      </c>
      <c r="H830" t="str">
        <f>"1302019"</f>
        <v>1302019</v>
      </c>
    </row>
    <row r="831" spans="1:8" x14ac:dyDescent="0.25">
      <c r="A831" t="s">
        <v>258</v>
      </c>
      <c r="B831">
        <v>81137</v>
      </c>
      <c r="C831" s="2">
        <v>390</v>
      </c>
      <c r="D831" s="1">
        <v>43522</v>
      </c>
      <c r="E831" t="str">
        <f>"201902157452"</f>
        <v>201902157452</v>
      </c>
      <c r="F831" t="str">
        <f>"INDIGENT HEALTH"</f>
        <v>INDIGENT HEALTH</v>
      </c>
      <c r="G831" s="2">
        <v>390</v>
      </c>
      <c r="H831" t="str">
        <f>"INDIGENT HEALTH"</f>
        <v>INDIGENT HEALTH</v>
      </c>
    </row>
    <row r="832" spans="1:8" x14ac:dyDescent="0.25">
      <c r="A832" t="s">
        <v>259</v>
      </c>
      <c r="B832">
        <v>80919</v>
      </c>
      <c r="C832" s="2">
        <v>33.270000000000003</v>
      </c>
      <c r="D832" s="1">
        <v>43507</v>
      </c>
      <c r="E832" t="str">
        <f>"201902057106"</f>
        <v>201902057106</v>
      </c>
      <c r="F832" t="str">
        <f>"INDIGENT HEALTH"</f>
        <v>INDIGENT HEALTH</v>
      </c>
      <c r="G832" s="2">
        <v>33.270000000000003</v>
      </c>
      <c r="H832" t="str">
        <f>"INDIGENT HEALTH"</f>
        <v>INDIGENT HEALTH</v>
      </c>
    </row>
    <row r="833" spans="1:8" x14ac:dyDescent="0.25">
      <c r="A833" t="s">
        <v>260</v>
      </c>
      <c r="B833">
        <v>80920</v>
      </c>
      <c r="C833" s="2">
        <v>537.35</v>
      </c>
      <c r="D833" s="1">
        <v>43507</v>
      </c>
      <c r="E833" t="str">
        <f>"INV001769097"</f>
        <v>INV001769097</v>
      </c>
      <c r="F833" t="str">
        <f>"INV001769097"</f>
        <v>INV001769097</v>
      </c>
      <c r="G833" s="2">
        <v>251.96</v>
      </c>
      <c r="H833" t="str">
        <f>"INV001769097"</f>
        <v>INV001769097</v>
      </c>
    </row>
    <row r="834" spans="1:8" x14ac:dyDescent="0.25">
      <c r="E834" t="str">
        <f>"INV001772934"</f>
        <v>INV001772934</v>
      </c>
      <c r="F834" t="str">
        <f>"INV001772934"</f>
        <v>INV001772934</v>
      </c>
      <c r="G834" s="2">
        <v>285.39</v>
      </c>
      <c r="H834" t="str">
        <f>"INV001772934"</f>
        <v>INV001772934</v>
      </c>
    </row>
    <row r="835" spans="1:8" x14ac:dyDescent="0.25">
      <c r="A835" t="s">
        <v>261</v>
      </c>
      <c r="B835">
        <v>80921</v>
      </c>
      <c r="C835" s="2">
        <v>216.46</v>
      </c>
      <c r="D835" s="1">
        <v>43507</v>
      </c>
      <c r="E835" t="str">
        <f>"201902047040"</f>
        <v>201902047040</v>
      </c>
      <c r="F835" t="str">
        <f>"REIMBURSE JEANS/PCT#3"</f>
        <v>REIMBURSE JEANS/PCT#3</v>
      </c>
      <c r="G835" s="2">
        <v>216.46</v>
      </c>
      <c r="H835" t="str">
        <f>"REIMBURSE JEANS/PCT#3"</f>
        <v>REIMBURSE JEANS/PCT#3</v>
      </c>
    </row>
    <row r="836" spans="1:8" x14ac:dyDescent="0.25">
      <c r="A836" t="s">
        <v>262</v>
      </c>
      <c r="B836">
        <v>424</v>
      </c>
      <c r="C836" s="2">
        <v>2956.25</v>
      </c>
      <c r="D836" s="1">
        <v>43508</v>
      </c>
      <c r="E836" t="str">
        <f>"201901296849"</f>
        <v>201901296849</v>
      </c>
      <c r="F836" t="str">
        <f>"18 19279"</f>
        <v>18 19279</v>
      </c>
      <c r="G836" s="2">
        <v>212.5</v>
      </c>
      <c r="H836" t="str">
        <f>"18 19279"</f>
        <v>18 19279</v>
      </c>
    </row>
    <row r="837" spans="1:8" x14ac:dyDescent="0.25">
      <c r="E837" t="str">
        <f>"201901296850"</f>
        <v>201901296850</v>
      </c>
      <c r="F837" t="str">
        <f>"18-19093"</f>
        <v>18-19093</v>
      </c>
      <c r="G837" s="2">
        <v>375</v>
      </c>
      <c r="H837" t="str">
        <f>"18-19093"</f>
        <v>18-19093</v>
      </c>
    </row>
    <row r="838" spans="1:8" x14ac:dyDescent="0.25">
      <c r="E838" t="str">
        <f>"201901296851"</f>
        <v>201901296851</v>
      </c>
      <c r="F838" t="str">
        <f>"18-18960"</f>
        <v>18-18960</v>
      </c>
      <c r="G838" s="2">
        <v>231.25</v>
      </c>
      <c r="H838" t="str">
        <f>"18-18960"</f>
        <v>18-18960</v>
      </c>
    </row>
    <row r="839" spans="1:8" x14ac:dyDescent="0.25">
      <c r="E839" t="str">
        <f>"201901296852"</f>
        <v>201901296852</v>
      </c>
      <c r="F839" t="str">
        <f>"18-19016"</f>
        <v>18-19016</v>
      </c>
      <c r="G839" s="2">
        <v>187.5</v>
      </c>
      <c r="H839" t="str">
        <f>"18-19016"</f>
        <v>18-19016</v>
      </c>
    </row>
    <row r="840" spans="1:8" x14ac:dyDescent="0.25">
      <c r="E840" t="str">
        <f>"201901296853"</f>
        <v>201901296853</v>
      </c>
      <c r="F840" t="str">
        <f>"18-18966"</f>
        <v>18-18966</v>
      </c>
      <c r="G840" s="2">
        <v>287.5</v>
      </c>
      <c r="H840" t="str">
        <f>"18-18966"</f>
        <v>18-18966</v>
      </c>
    </row>
    <row r="841" spans="1:8" x14ac:dyDescent="0.25">
      <c r="E841" t="str">
        <f>"201901296854"</f>
        <v>201901296854</v>
      </c>
      <c r="F841" t="str">
        <f>"55662"</f>
        <v>55662</v>
      </c>
      <c r="G841" s="2">
        <v>250</v>
      </c>
      <c r="H841" t="str">
        <f>"55662"</f>
        <v>55662</v>
      </c>
    </row>
    <row r="842" spans="1:8" x14ac:dyDescent="0.25">
      <c r="E842" t="str">
        <f>"201902016979"</f>
        <v>201902016979</v>
      </c>
      <c r="F842" t="str">
        <f>"DETENTION HEARING"</f>
        <v>DETENTION HEARING</v>
      </c>
      <c r="G842" s="2">
        <v>100</v>
      </c>
      <c r="H842" t="str">
        <f>"DETENTION HEARING"</f>
        <v>DETENTION HEARING</v>
      </c>
    </row>
    <row r="843" spans="1:8" x14ac:dyDescent="0.25">
      <c r="E843" t="str">
        <f>"201902016984"</f>
        <v>201902016984</v>
      </c>
      <c r="F843" t="str">
        <f>"53 299"</f>
        <v>53 299</v>
      </c>
      <c r="G843" s="2">
        <v>250</v>
      </c>
      <c r="H843" t="str">
        <f>"53 299"</f>
        <v>53 299</v>
      </c>
    </row>
    <row r="844" spans="1:8" x14ac:dyDescent="0.25">
      <c r="E844" t="str">
        <f>"201902057053"</f>
        <v>201902057053</v>
      </c>
      <c r="F844" t="str">
        <f>"UH10-10-18 925-350-8280A001 20"</f>
        <v>UH10-10-18 925-350-8280A001 20</v>
      </c>
      <c r="G844" s="2">
        <v>100</v>
      </c>
      <c r="H844" t="str">
        <f>"UH10-10-18 925-350-8280A001 20"</f>
        <v>UH10-10-18 925-350-8280A001 20</v>
      </c>
    </row>
    <row r="845" spans="1:8" x14ac:dyDescent="0.25">
      <c r="E845" t="str">
        <f>"201902057054"</f>
        <v>201902057054</v>
      </c>
      <c r="F845" t="str">
        <f>"J-3134"</f>
        <v>J-3134</v>
      </c>
      <c r="G845" s="2">
        <v>250</v>
      </c>
      <c r="H845" t="str">
        <f>"J-3134"</f>
        <v>J-3134</v>
      </c>
    </row>
    <row r="846" spans="1:8" x14ac:dyDescent="0.25">
      <c r="E846" t="str">
        <f>"201902057061"</f>
        <v>201902057061</v>
      </c>
      <c r="F846" t="str">
        <f>"56 423"</f>
        <v>56 423</v>
      </c>
      <c r="G846" s="2">
        <v>250</v>
      </c>
      <c r="H846" t="str">
        <f>"56 423"</f>
        <v>56 423</v>
      </c>
    </row>
    <row r="847" spans="1:8" x14ac:dyDescent="0.25">
      <c r="E847" t="str">
        <f>"201902057116"</f>
        <v>201902057116</v>
      </c>
      <c r="F847" t="str">
        <f>"G-303"</f>
        <v>G-303</v>
      </c>
      <c r="G847" s="2">
        <v>362.5</v>
      </c>
      <c r="H847" t="str">
        <f>"G-303"</f>
        <v>G-303</v>
      </c>
    </row>
    <row r="848" spans="1:8" x14ac:dyDescent="0.25">
      <c r="E848" t="str">
        <f>"201902057126"</f>
        <v>201902057126</v>
      </c>
      <c r="F848" t="str">
        <f>"18 19392"</f>
        <v>18 19392</v>
      </c>
      <c r="G848" s="2">
        <v>100</v>
      </c>
      <c r="H848" t="str">
        <f>"18 19392"</f>
        <v>18 19392</v>
      </c>
    </row>
    <row r="849" spans="1:8" x14ac:dyDescent="0.25">
      <c r="A849" t="s">
        <v>262</v>
      </c>
      <c r="B849">
        <v>488</v>
      </c>
      <c r="C849" s="2">
        <v>1243.75</v>
      </c>
      <c r="D849" s="1">
        <v>43523</v>
      </c>
      <c r="E849" t="str">
        <f>"201902127379"</f>
        <v>201902127379</v>
      </c>
      <c r="F849" t="str">
        <f>"56 155"</f>
        <v>56 155</v>
      </c>
      <c r="G849" s="2">
        <v>250</v>
      </c>
      <c r="H849" t="str">
        <f>"56 155"</f>
        <v>56 155</v>
      </c>
    </row>
    <row r="850" spans="1:8" x14ac:dyDescent="0.25">
      <c r="E850" t="str">
        <f>"201902127381"</f>
        <v>201902127381</v>
      </c>
      <c r="F850" t="str">
        <f>"56 323"</f>
        <v>56 323</v>
      </c>
      <c r="G850" s="2">
        <v>250</v>
      </c>
      <c r="H850" t="str">
        <f>"56 323"</f>
        <v>56 323</v>
      </c>
    </row>
    <row r="851" spans="1:8" x14ac:dyDescent="0.25">
      <c r="E851" t="str">
        <f>"201902127382"</f>
        <v>201902127382</v>
      </c>
      <c r="F851" t="str">
        <f>"56 415"</f>
        <v>56 415</v>
      </c>
      <c r="G851" s="2">
        <v>250</v>
      </c>
      <c r="H851" t="str">
        <f>"56 415"</f>
        <v>56 415</v>
      </c>
    </row>
    <row r="852" spans="1:8" x14ac:dyDescent="0.25">
      <c r="E852" t="str">
        <f>"201902127410"</f>
        <v>201902127410</v>
      </c>
      <c r="F852" t="str">
        <f>"18-18960"</f>
        <v>18-18960</v>
      </c>
      <c r="G852" s="2">
        <v>393.75</v>
      </c>
      <c r="H852" t="str">
        <f>"18-18960"</f>
        <v>18-18960</v>
      </c>
    </row>
    <row r="853" spans="1:8" x14ac:dyDescent="0.25">
      <c r="E853" t="str">
        <f>"201902127411"</f>
        <v>201902127411</v>
      </c>
      <c r="F853" t="str">
        <f>"DETENTION HEARING"</f>
        <v>DETENTION HEARING</v>
      </c>
      <c r="G853" s="2">
        <v>100</v>
      </c>
      <c r="H853" t="str">
        <f>"DETENTION HEARING"</f>
        <v>DETENTION HEARING</v>
      </c>
    </row>
    <row r="854" spans="1:8" x14ac:dyDescent="0.25">
      <c r="A854" t="s">
        <v>263</v>
      </c>
      <c r="B854">
        <v>81138</v>
      </c>
      <c r="C854" s="2">
        <v>287.95</v>
      </c>
      <c r="D854" s="1">
        <v>43522</v>
      </c>
      <c r="E854" t="str">
        <f>"19063611"</f>
        <v>19063611</v>
      </c>
      <c r="F854" t="str">
        <f>"ACCT#S9549/PCT#3"</f>
        <v>ACCT#S9549/PCT#3</v>
      </c>
      <c r="G854" s="2">
        <v>49.27</v>
      </c>
      <c r="H854" t="str">
        <f>"ACCT#S9549/PCT#3"</f>
        <v>ACCT#S9549/PCT#3</v>
      </c>
    </row>
    <row r="855" spans="1:8" x14ac:dyDescent="0.25">
      <c r="E855" t="str">
        <f>"19084898"</f>
        <v>19084898</v>
      </c>
      <c r="F855" t="str">
        <f>"CUST#41472/PCT#1"</f>
        <v>CUST#41472/PCT#1</v>
      </c>
      <c r="G855" s="2">
        <v>23.73</v>
      </c>
      <c r="H855" t="str">
        <f>"CUST#41472/PCT#1"</f>
        <v>CUST#41472/PCT#1</v>
      </c>
    </row>
    <row r="856" spans="1:8" x14ac:dyDescent="0.25">
      <c r="E856" t="str">
        <f>"19084991"</f>
        <v>19084991</v>
      </c>
      <c r="F856" t="str">
        <f>"CUST#45057/PCT#4"</f>
        <v>CUST#45057/PCT#4</v>
      </c>
      <c r="G856" s="2">
        <v>42.73</v>
      </c>
      <c r="H856" t="str">
        <f>"CUST#45057/PCT#4"</f>
        <v>CUST#45057/PCT#4</v>
      </c>
    </row>
    <row r="857" spans="1:8" x14ac:dyDescent="0.25">
      <c r="E857" t="str">
        <f>"19085051"</f>
        <v>19085051</v>
      </c>
      <c r="F857" t="str">
        <f>"INV 19085051"</f>
        <v>INV 19085051</v>
      </c>
      <c r="G857" s="2">
        <v>52.22</v>
      </c>
      <c r="H857" t="str">
        <f>"INV 19085051"</f>
        <v>INV 19085051</v>
      </c>
    </row>
    <row r="858" spans="1:8" x14ac:dyDescent="0.25">
      <c r="E858" t="str">
        <f>"19092891"</f>
        <v>19092891</v>
      </c>
      <c r="F858" t="str">
        <f>"ACCT#S9549/PCT#1"</f>
        <v>ACCT#S9549/PCT#1</v>
      </c>
      <c r="G858" s="2">
        <v>120</v>
      </c>
      <c r="H858" t="str">
        <f>"ACCT#S9549/PCT#1"</f>
        <v>ACCT#S9549/PCT#1</v>
      </c>
    </row>
    <row r="859" spans="1:8" x14ac:dyDescent="0.25">
      <c r="A859" t="s">
        <v>264</v>
      </c>
      <c r="B859">
        <v>80922</v>
      </c>
      <c r="C859" s="2">
        <v>342.71</v>
      </c>
      <c r="D859" s="1">
        <v>43507</v>
      </c>
      <c r="E859" t="str">
        <f>"18-11-001"</f>
        <v>18-11-001</v>
      </c>
      <c r="F859" t="str">
        <f>"REIMBURSE LICENSE TO CARRY"</f>
        <v>REIMBURSE LICENSE TO CARRY</v>
      </c>
      <c r="G859" s="2">
        <v>342.71</v>
      </c>
      <c r="H859" t="str">
        <f>"REIMBURSE LICENSE TO CARRY"</f>
        <v>REIMBURSE LICENSE TO CARRY</v>
      </c>
    </row>
    <row r="860" spans="1:8" x14ac:dyDescent="0.25">
      <c r="A860" t="s">
        <v>265</v>
      </c>
      <c r="B860">
        <v>81139</v>
      </c>
      <c r="C860" s="2">
        <v>1920</v>
      </c>
      <c r="D860" s="1">
        <v>43522</v>
      </c>
      <c r="E860" t="str">
        <f>"201902147435"</f>
        <v>201902147435</v>
      </c>
      <c r="F860" t="str">
        <f>"55 063"</f>
        <v>55 063</v>
      </c>
      <c r="G860" s="2">
        <v>1920</v>
      </c>
      <c r="H860" t="str">
        <f>"55 063"</f>
        <v>55 063</v>
      </c>
    </row>
    <row r="861" spans="1:8" x14ac:dyDescent="0.25">
      <c r="A861" t="s">
        <v>266</v>
      </c>
      <c r="B861">
        <v>80923</v>
      </c>
      <c r="C861" s="2">
        <v>75</v>
      </c>
      <c r="D861" s="1">
        <v>43507</v>
      </c>
      <c r="E861" t="str">
        <f>"12637"</f>
        <v>12637</v>
      </c>
      <c r="F861" t="str">
        <f>"SERVICE"</f>
        <v>SERVICE</v>
      </c>
      <c r="G861" s="2">
        <v>75</v>
      </c>
      <c r="H861" t="str">
        <f>"SERVICE"</f>
        <v>SERVICE</v>
      </c>
    </row>
    <row r="862" spans="1:8" x14ac:dyDescent="0.25">
      <c r="A862" t="s">
        <v>267</v>
      </c>
      <c r="B862">
        <v>445</v>
      </c>
      <c r="C862" s="2">
        <v>67.680000000000007</v>
      </c>
      <c r="D862" s="1">
        <v>43508</v>
      </c>
      <c r="E862" t="str">
        <f>"666604"</f>
        <v>666604</v>
      </c>
      <c r="F862" t="str">
        <f>"ACCT#0900-98011130-001/PCT#3"</f>
        <v>ACCT#0900-98011130-001/PCT#3</v>
      </c>
      <c r="G862" s="2">
        <v>39.04</v>
      </c>
      <c r="H862" t="str">
        <f>"ACCT#0900-98011130-001/PCT#3"</f>
        <v>ACCT#0900-98011130-001/PCT#3</v>
      </c>
    </row>
    <row r="863" spans="1:8" x14ac:dyDescent="0.25">
      <c r="E863" t="str">
        <f>"666995"</f>
        <v>666995</v>
      </c>
      <c r="F863" t="str">
        <f>"ACCT#0900-98011130-001/SIGN SH"</f>
        <v>ACCT#0900-98011130-001/SIGN SH</v>
      </c>
      <c r="G863" s="2">
        <v>28.64</v>
      </c>
      <c r="H863" t="str">
        <f>"ACCT#0900-98011130-001/SIGN SH"</f>
        <v>ACCT#0900-98011130-001/SIGN SH</v>
      </c>
    </row>
    <row r="864" spans="1:8" x14ac:dyDescent="0.25">
      <c r="A864" t="s">
        <v>267</v>
      </c>
      <c r="B864">
        <v>506</v>
      </c>
      <c r="C864" s="2">
        <v>41.95</v>
      </c>
      <c r="D864" s="1">
        <v>43523</v>
      </c>
      <c r="E864" t="str">
        <f>"667264"</f>
        <v>667264</v>
      </c>
      <c r="F864" t="str">
        <f>"ACCT#0900-98011130-001"</f>
        <v>ACCT#0900-98011130-001</v>
      </c>
      <c r="G864" s="2">
        <v>19.96</v>
      </c>
      <c r="H864" t="str">
        <f>"ACCT#0900-98011130-001"</f>
        <v>ACCT#0900-98011130-001</v>
      </c>
    </row>
    <row r="865" spans="1:9" x14ac:dyDescent="0.25">
      <c r="E865" t="str">
        <f>"668195"</f>
        <v>668195</v>
      </c>
      <c r="F865" t="str">
        <f>"ACCT#900-98011130-001/PCT#3"</f>
        <v>ACCT#900-98011130-001/PCT#3</v>
      </c>
      <c r="G865" s="2">
        <v>21.99</v>
      </c>
      <c r="H865" t="str">
        <f>"ACCT#900-98011130-001/PCT#3"</f>
        <v>ACCT#900-98011130-001/PCT#3</v>
      </c>
    </row>
    <row r="866" spans="1:9" x14ac:dyDescent="0.25">
      <c r="A866" t="s">
        <v>268</v>
      </c>
      <c r="B866">
        <v>80924</v>
      </c>
      <c r="C866" s="2">
        <v>17771.77</v>
      </c>
      <c r="D866" s="1">
        <v>43507</v>
      </c>
      <c r="E866" t="s">
        <v>109</v>
      </c>
      <c r="F866" t="s">
        <v>269</v>
      </c>
      <c r="G866" s="2" t="str">
        <f>"ABST FEE"</f>
        <v>ABST FEE</v>
      </c>
      <c r="H866" t="str">
        <f>"995-4110"</f>
        <v>995-4110</v>
      </c>
      <c r="I866" t="str">
        <f>""</f>
        <v/>
      </c>
    </row>
    <row r="867" spans="1:9" x14ac:dyDescent="0.25">
      <c r="E867" t="str">
        <f>"12109"</f>
        <v>12109</v>
      </c>
      <c r="F867" t="str">
        <f>"ABST FEE"</f>
        <v>ABST FEE</v>
      </c>
      <c r="G867" s="2">
        <v>175</v>
      </c>
      <c r="H867" t="str">
        <f>"ABST FEE"</f>
        <v>ABST FEE</v>
      </c>
    </row>
    <row r="868" spans="1:9" x14ac:dyDescent="0.25">
      <c r="E868" t="str">
        <f>"12151"</f>
        <v>12151</v>
      </c>
      <c r="F868" t="str">
        <f>"ABST FEE"</f>
        <v>ABST FEE</v>
      </c>
      <c r="G868" s="2">
        <v>175</v>
      </c>
      <c r="H868" t="str">
        <f>"ABST FEE"</f>
        <v>ABST FEE</v>
      </c>
    </row>
    <row r="869" spans="1:9" x14ac:dyDescent="0.25">
      <c r="E869" t="str">
        <f>"12239"</f>
        <v>12239</v>
      </c>
      <c r="F869" t="str">
        <f>"ABST FEE-$97.44 &amp; SERVICE-$55"</f>
        <v>ABST FEE-$97.44 &amp; SERVICE-$55</v>
      </c>
      <c r="G869" s="2">
        <v>152.44</v>
      </c>
      <c r="H869" t="str">
        <f>"ABST FEE-$97.44 &amp; SERVICE-$55"</f>
        <v>ABST FEE-$97.44 &amp; SERVICE-$55</v>
      </c>
    </row>
    <row r="870" spans="1:9" x14ac:dyDescent="0.25">
      <c r="E870" t="str">
        <f>"12472"</f>
        <v>12472</v>
      </c>
      <c r="F870" t="str">
        <f>"ABST FEE-$175 &amp; SERVICE-$55"</f>
        <v>ABST FEE-$175 &amp; SERVICE-$55</v>
      </c>
      <c r="G870" s="2">
        <v>230</v>
      </c>
      <c r="H870" t="str">
        <f>"ABST FEE-$175 &amp; SERVICE-$55"</f>
        <v>ABST FEE-$175 &amp; SERVICE-$55</v>
      </c>
    </row>
    <row r="871" spans="1:9" x14ac:dyDescent="0.25">
      <c r="E871" t="str">
        <f>"12478"</f>
        <v>12478</v>
      </c>
      <c r="F871" t="str">
        <f t="shared" ref="F871:F891" si="11">"ABST FEE"</f>
        <v>ABST FEE</v>
      </c>
      <c r="G871" s="2">
        <v>175</v>
      </c>
      <c r="H871" t="str">
        <f t="shared" ref="H871:H891" si="12">"ABST FEE"</f>
        <v>ABST FEE</v>
      </c>
    </row>
    <row r="872" spans="1:9" x14ac:dyDescent="0.25">
      <c r="E872" t="str">
        <f>"12562"</f>
        <v>12562</v>
      </c>
      <c r="F872" t="str">
        <f t="shared" si="11"/>
        <v>ABST FEE</v>
      </c>
      <c r="G872" s="2">
        <v>175</v>
      </c>
      <c r="H872" t="str">
        <f t="shared" si="12"/>
        <v>ABST FEE</v>
      </c>
    </row>
    <row r="873" spans="1:9" x14ac:dyDescent="0.25">
      <c r="E873" t="str">
        <f>"12579"</f>
        <v>12579</v>
      </c>
      <c r="F873" t="str">
        <f t="shared" si="11"/>
        <v>ABST FEE</v>
      </c>
      <c r="G873" s="2">
        <v>175</v>
      </c>
      <c r="H873" t="str">
        <f t="shared" si="12"/>
        <v>ABST FEE</v>
      </c>
    </row>
    <row r="874" spans="1:9" x14ac:dyDescent="0.25">
      <c r="E874" t="str">
        <f>"12637"</f>
        <v>12637</v>
      </c>
      <c r="F874" t="str">
        <f t="shared" si="11"/>
        <v>ABST FEE</v>
      </c>
      <c r="G874" s="2">
        <v>225</v>
      </c>
      <c r="H874" t="str">
        <f t="shared" si="12"/>
        <v>ABST FEE</v>
      </c>
    </row>
    <row r="875" spans="1:9" x14ac:dyDescent="0.25">
      <c r="E875" t="str">
        <f>"12678"</f>
        <v>12678</v>
      </c>
      <c r="F875" t="str">
        <f t="shared" si="11"/>
        <v>ABST FEE</v>
      </c>
      <c r="G875" s="2">
        <v>225</v>
      </c>
      <c r="H875" t="str">
        <f t="shared" si="12"/>
        <v>ABST FEE</v>
      </c>
    </row>
    <row r="876" spans="1:9" x14ac:dyDescent="0.25">
      <c r="E876" t="str">
        <f>"12715"</f>
        <v>12715</v>
      </c>
      <c r="F876" t="str">
        <f t="shared" si="11"/>
        <v>ABST FEE</v>
      </c>
      <c r="G876" s="2">
        <v>166.44</v>
      </c>
      <c r="H876" t="str">
        <f t="shared" si="12"/>
        <v>ABST FEE</v>
      </c>
    </row>
    <row r="877" spans="1:9" x14ac:dyDescent="0.25">
      <c r="E877" t="str">
        <f>"12721"</f>
        <v>12721</v>
      </c>
      <c r="F877" t="str">
        <f t="shared" si="11"/>
        <v>ABST FEE</v>
      </c>
      <c r="G877" s="2">
        <v>225</v>
      </c>
      <c r="H877" t="str">
        <f t="shared" si="12"/>
        <v>ABST FEE</v>
      </c>
    </row>
    <row r="878" spans="1:9" x14ac:dyDescent="0.25">
      <c r="E878" t="str">
        <f>"12730"</f>
        <v>12730</v>
      </c>
      <c r="F878" t="str">
        <f t="shared" si="11"/>
        <v>ABST FEE</v>
      </c>
      <c r="G878" s="2">
        <v>225</v>
      </c>
      <c r="H878" t="str">
        <f t="shared" si="12"/>
        <v>ABST FEE</v>
      </c>
    </row>
    <row r="879" spans="1:9" x14ac:dyDescent="0.25">
      <c r="E879" t="str">
        <f>"12749"</f>
        <v>12749</v>
      </c>
      <c r="F879" t="str">
        <f t="shared" si="11"/>
        <v>ABST FEE</v>
      </c>
      <c r="G879" s="2">
        <v>225</v>
      </c>
      <c r="H879" t="str">
        <f t="shared" si="12"/>
        <v>ABST FEE</v>
      </c>
    </row>
    <row r="880" spans="1:9" x14ac:dyDescent="0.25">
      <c r="E880" t="str">
        <f>"12820"</f>
        <v>12820</v>
      </c>
      <c r="F880" t="str">
        <f t="shared" si="11"/>
        <v>ABST FEE</v>
      </c>
      <c r="G880" s="2">
        <v>225</v>
      </c>
      <c r="H880" t="str">
        <f t="shared" si="12"/>
        <v>ABST FEE</v>
      </c>
    </row>
    <row r="881" spans="1:8" x14ac:dyDescent="0.25">
      <c r="E881" t="str">
        <f>"12837"</f>
        <v>12837</v>
      </c>
      <c r="F881" t="str">
        <f t="shared" si="11"/>
        <v>ABST FEE</v>
      </c>
      <c r="G881" s="2">
        <v>225</v>
      </c>
      <c r="H881" t="str">
        <f t="shared" si="12"/>
        <v>ABST FEE</v>
      </c>
    </row>
    <row r="882" spans="1:8" x14ac:dyDescent="0.25">
      <c r="E882" t="str">
        <f>"12856"</f>
        <v>12856</v>
      </c>
      <c r="F882" t="str">
        <f t="shared" si="11"/>
        <v>ABST FEE</v>
      </c>
      <c r="G882" s="2">
        <v>225</v>
      </c>
      <c r="H882" t="str">
        <f t="shared" si="12"/>
        <v>ABST FEE</v>
      </c>
    </row>
    <row r="883" spans="1:8" x14ac:dyDescent="0.25">
      <c r="E883" t="str">
        <f>"12864"</f>
        <v>12864</v>
      </c>
      <c r="F883" t="str">
        <f t="shared" si="11"/>
        <v>ABST FEE</v>
      </c>
      <c r="G883" s="2">
        <v>225</v>
      </c>
      <c r="H883" t="str">
        <f t="shared" si="12"/>
        <v>ABST FEE</v>
      </c>
    </row>
    <row r="884" spans="1:8" x14ac:dyDescent="0.25">
      <c r="E884" t="str">
        <f>"12893"</f>
        <v>12893</v>
      </c>
      <c r="F884" t="str">
        <f t="shared" si="11"/>
        <v>ABST FEE</v>
      </c>
      <c r="G884" s="2">
        <v>225</v>
      </c>
      <c r="H884" t="str">
        <f t="shared" si="12"/>
        <v>ABST FEE</v>
      </c>
    </row>
    <row r="885" spans="1:8" x14ac:dyDescent="0.25">
      <c r="E885" t="str">
        <f>"12928"</f>
        <v>12928</v>
      </c>
      <c r="F885" t="str">
        <f t="shared" si="11"/>
        <v>ABST FEE</v>
      </c>
      <c r="G885" s="2">
        <v>225</v>
      </c>
      <c r="H885" t="str">
        <f t="shared" si="12"/>
        <v>ABST FEE</v>
      </c>
    </row>
    <row r="886" spans="1:8" x14ac:dyDescent="0.25">
      <c r="E886" t="str">
        <f>"12956  01/02/19"</f>
        <v>12956  01/02/19</v>
      </c>
      <c r="F886" t="str">
        <f t="shared" si="11"/>
        <v>ABST FEE</v>
      </c>
      <c r="G886" s="2">
        <v>75</v>
      </c>
      <c r="H886" t="str">
        <f t="shared" si="12"/>
        <v>ABST FEE</v>
      </c>
    </row>
    <row r="887" spans="1:8" x14ac:dyDescent="0.25">
      <c r="E887" t="str">
        <f>"13008"</f>
        <v>13008</v>
      </c>
      <c r="F887" t="str">
        <f t="shared" si="11"/>
        <v>ABST FEE</v>
      </c>
      <c r="G887" s="2">
        <v>225</v>
      </c>
      <c r="H887" t="str">
        <f t="shared" si="12"/>
        <v>ABST FEE</v>
      </c>
    </row>
    <row r="888" spans="1:8" x14ac:dyDescent="0.25">
      <c r="E888" t="str">
        <f>"13017  12/27/18"</f>
        <v>13017  12/27/18</v>
      </c>
      <c r="F888" t="str">
        <f t="shared" si="11"/>
        <v>ABST FEE</v>
      </c>
      <c r="G888" s="2">
        <v>175</v>
      </c>
      <c r="H888" t="str">
        <f t="shared" si="12"/>
        <v>ABST FEE</v>
      </c>
    </row>
    <row r="889" spans="1:8" x14ac:dyDescent="0.25">
      <c r="E889" t="str">
        <f>"13051"</f>
        <v>13051</v>
      </c>
      <c r="F889" t="str">
        <f t="shared" si="11"/>
        <v>ABST FEE</v>
      </c>
      <c r="G889" s="2">
        <v>225</v>
      </c>
      <c r="H889" t="str">
        <f t="shared" si="12"/>
        <v>ABST FEE</v>
      </c>
    </row>
    <row r="890" spans="1:8" x14ac:dyDescent="0.25">
      <c r="E890" t="str">
        <f>"13079"</f>
        <v>13079</v>
      </c>
      <c r="F890" t="str">
        <f t="shared" si="11"/>
        <v>ABST FEE</v>
      </c>
      <c r="G890" s="2">
        <v>50</v>
      </c>
      <c r="H890" t="str">
        <f t="shared" si="12"/>
        <v>ABST FEE</v>
      </c>
    </row>
    <row r="891" spans="1:8" x14ac:dyDescent="0.25">
      <c r="E891" t="str">
        <f>"13106"</f>
        <v>13106</v>
      </c>
      <c r="F891" t="str">
        <f t="shared" si="11"/>
        <v>ABST FEE</v>
      </c>
      <c r="G891" s="2">
        <v>225</v>
      </c>
      <c r="H891" t="str">
        <f t="shared" si="12"/>
        <v>ABST FEE</v>
      </c>
    </row>
    <row r="892" spans="1:8" x14ac:dyDescent="0.25">
      <c r="E892" t="str">
        <f>"201902047025"</f>
        <v>201902047025</v>
      </c>
      <c r="F892" t="str">
        <f>"DELINQUENT TAX COLLECT-JAN2019"</f>
        <v>DELINQUENT TAX COLLECT-JAN2019</v>
      </c>
      <c r="G892" s="2">
        <v>12672.89</v>
      </c>
      <c r="H892" t="str">
        <f>"DELINQUENT TAX COLLECT-JAN2019"</f>
        <v>DELINQUENT TAX COLLECT-JAN2019</v>
      </c>
    </row>
    <row r="893" spans="1:8" x14ac:dyDescent="0.25">
      <c r="A893" t="s">
        <v>268</v>
      </c>
      <c r="B893">
        <v>81140</v>
      </c>
      <c r="C893" s="2">
        <v>455</v>
      </c>
      <c r="D893" s="1">
        <v>43522</v>
      </c>
      <c r="E893" t="str">
        <f>"11314  01/03/19"</f>
        <v>11314  01/03/19</v>
      </c>
      <c r="F893" t="str">
        <f>"ABST FEE $150 &amp; SERVICE $80"</f>
        <v>ABST FEE $150 &amp; SERVICE $80</v>
      </c>
      <c r="G893" s="2">
        <v>230</v>
      </c>
      <c r="H893" t="str">
        <f>"ABST FEE $150 &amp; SERVICE $80"</f>
        <v>ABST FEE $150 &amp; SERVICE $80</v>
      </c>
    </row>
    <row r="894" spans="1:8" x14ac:dyDescent="0.25">
      <c r="E894" t="str">
        <f>"13072"</f>
        <v>13072</v>
      </c>
      <c r="F894" t="str">
        <f>"ABST FEE"</f>
        <v>ABST FEE</v>
      </c>
      <c r="G894" s="2">
        <v>225</v>
      </c>
      <c r="H894" t="str">
        <f>"ABST FEE"</f>
        <v>ABST FEE</v>
      </c>
    </row>
    <row r="895" spans="1:8" x14ac:dyDescent="0.25">
      <c r="A895" t="s">
        <v>270</v>
      </c>
      <c r="B895">
        <v>80925</v>
      </c>
      <c r="C895" s="2">
        <v>589.1</v>
      </c>
      <c r="D895" s="1">
        <v>43507</v>
      </c>
      <c r="E895" t="str">
        <f>"201902057107"</f>
        <v>201902057107</v>
      </c>
      <c r="F895" t="str">
        <f>"INDIGENT HEALTH"</f>
        <v>INDIGENT HEALTH</v>
      </c>
      <c r="G895" s="2">
        <v>589.1</v>
      </c>
      <c r="H895" t="str">
        <f>"INDIGENT HEALTH"</f>
        <v>INDIGENT HEALTH</v>
      </c>
    </row>
    <row r="896" spans="1:8" x14ac:dyDescent="0.25">
      <c r="A896" t="s">
        <v>270</v>
      </c>
      <c r="B896">
        <v>81141</v>
      </c>
      <c r="C896" s="2">
        <v>1715.65</v>
      </c>
      <c r="D896" s="1">
        <v>43522</v>
      </c>
      <c r="E896" t="str">
        <f>"201902157457"</f>
        <v>201902157457</v>
      </c>
      <c r="F896" t="str">
        <f>"INDIGENT HEALTH"</f>
        <v>INDIGENT HEALTH</v>
      </c>
      <c r="G896" s="2">
        <v>1715.65</v>
      </c>
      <c r="H896" t="str">
        <f>"INDIGENT HEALTH"</f>
        <v>INDIGENT HEALTH</v>
      </c>
    </row>
    <row r="897" spans="1:8" x14ac:dyDescent="0.25">
      <c r="A897" t="s">
        <v>271</v>
      </c>
      <c r="B897">
        <v>80926</v>
      </c>
      <c r="C897" s="2">
        <v>1500</v>
      </c>
      <c r="D897" s="1">
        <v>43507</v>
      </c>
      <c r="E897" t="str">
        <f>"201902067155"</f>
        <v>201902067155</v>
      </c>
      <c r="F897" t="str">
        <f>"VET SURGICAL SVCS JAN24-JAN31"</f>
        <v>VET SURGICAL SVCS JAN24-JAN31</v>
      </c>
      <c r="G897" s="2">
        <v>1500</v>
      </c>
      <c r="H897" t="str">
        <f>"VET SURGICAL SVCS JAN24-JAN31"</f>
        <v>VET SURGICAL SVCS JAN24-JAN31</v>
      </c>
    </row>
    <row r="898" spans="1:8" x14ac:dyDescent="0.25">
      <c r="A898" t="s">
        <v>271</v>
      </c>
      <c r="B898">
        <v>81142</v>
      </c>
      <c r="C898" s="2">
        <v>1000</v>
      </c>
      <c r="D898" s="1">
        <v>43522</v>
      </c>
      <c r="E898" t="str">
        <f>"201902227490"</f>
        <v>201902227490</v>
      </c>
      <c r="F898" t="str">
        <f>"VET SURGICAL SVCS 2/11 &amp; 2/14"</f>
        <v>VET SURGICAL SVCS 2/11 &amp; 2/14</v>
      </c>
      <c r="G898" s="2">
        <v>1000</v>
      </c>
      <c r="H898" t="str">
        <f>"VET SURGICAL SVCS 2/11 &amp; 2/14"</f>
        <v>VET SURGICAL SVCS 2/11 &amp; 2/14</v>
      </c>
    </row>
    <row r="899" spans="1:8" x14ac:dyDescent="0.25">
      <c r="A899" t="s">
        <v>272</v>
      </c>
      <c r="B899">
        <v>81143</v>
      </c>
      <c r="C899" s="2">
        <v>1200</v>
      </c>
      <c r="D899" s="1">
        <v>43522</v>
      </c>
      <c r="E899" t="str">
        <f>"201902137421"</f>
        <v>201902137421</v>
      </c>
      <c r="F899" t="str">
        <f>"18-18960"</f>
        <v>18-18960</v>
      </c>
      <c r="G899" s="2">
        <v>1200</v>
      </c>
      <c r="H899" t="str">
        <f>"18-18960"</f>
        <v>18-18960</v>
      </c>
    </row>
    <row r="900" spans="1:8" x14ac:dyDescent="0.25">
      <c r="A900" t="s">
        <v>273</v>
      </c>
      <c r="B900">
        <v>81144</v>
      </c>
      <c r="C900" s="2">
        <v>180.61</v>
      </c>
      <c r="D900" s="1">
        <v>43522</v>
      </c>
      <c r="E900" t="str">
        <f>"201902137429"</f>
        <v>201902137429</v>
      </c>
      <c r="F900" t="str">
        <f>"REIMBURSE BOOTS/PCT#3"</f>
        <v>REIMBURSE BOOTS/PCT#3</v>
      </c>
      <c r="G900" s="2">
        <v>180.61</v>
      </c>
      <c r="H900" t="str">
        <f>"REIMBURSE BOOTS/PCT#3"</f>
        <v>REIMBURSE BOOTS/PCT#3</v>
      </c>
    </row>
    <row r="901" spans="1:8" x14ac:dyDescent="0.25">
      <c r="A901" t="s">
        <v>274</v>
      </c>
      <c r="B901">
        <v>80927</v>
      </c>
      <c r="C901" s="2">
        <v>100</v>
      </c>
      <c r="D901" s="1">
        <v>43507</v>
      </c>
      <c r="E901" t="str">
        <f>"201901316966"</f>
        <v>201901316966</v>
      </c>
      <c r="F901" t="str">
        <f>"REFUND PEACE BOND"</f>
        <v>REFUND PEACE BOND</v>
      </c>
      <c r="G901" s="2">
        <v>100</v>
      </c>
      <c r="H901" t="str">
        <f>"REFUND PEACE BOND"</f>
        <v>REFUND PEACE BOND</v>
      </c>
    </row>
    <row r="902" spans="1:8" x14ac:dyDescent="0.25">
      <c r="A902" t="s">
        <v>275</v>
      </c>
      <c r="B902">
        <v>446</v>
      </c>
      <c r="C902" s="2">
        <v>220</v>
      </c>
      <c r="D902" s="1">
        <v>43508</v>
      </c>
      <c r="E902" t="str">
        <f>"19-001"</f>
        <v>19-001</v>
      </c>
      <c r="F902" t="str">
        <f>"14-16533"</f>
        <v>14-16533</v>
      </c>
      <c r="G902" s="2">
        <v>220</v>
      </c>
      <c r="H902" t="str">
        <f>"14-16533"</f>
        <v>14-16533</v>
      </c>
    </row>
    <row r="903" spans="1:8" x14ac:dyDescent="0.25">
      <c r="A903" t="s">
        <v>276</v>
      </c>
      <c r="B903">
        <v>447</v>
      </c>
      <c r="C903" s="2">
        <v>3228.84</v>
      </c>
      <c r="D903" s="1">
        <v>43508</v>
      </c>
      <c r="E903" t="str">
        <f>"115278"</f>
        <v>115278</v>
      </c>
      <c r="F903" t="str">
        <f>"INV 115278"</f>
        <v>INV 115278</v>
      </c>
      <c r="G903" s="2">
        <v>208.5</v>
      </c>
      <c r="H903" t="str">
        <f>"INV 115278"</f>
        <v>INV 115278</v>
      </c>
    </row>
    <row r="904" spans="1:8" x14ac:dyDescent="0.25">
      <c r="E904" t="str">
        <f>"118410"</f>
        <v>118410</v>
      </c>
      <c r="F904" t="str">
        <f>"INV 118410"</f>
        <v>INV 118410</v>
      </c>
      <c r="G904" s="2">
        <v>12</v>
      </c>
      <c r="H904" t="str">
        <f>"INV 118410"</f>
        <v>INV 118410</v>
      </c>
    </row>
    <row r="905" spans="1:8" x14ac:dyDescent="0.25">
      <c r="E905" t="str">
        <f>"121188"</f>
        <v>121188</v>
      </c>
      <c r="F905" t="str">
        <f>"INV 121188"</f>
        <v>INV 121188</v>
      </c>
      <c r="G905" s="2">
        <v>378.4</v>
      </c>
      <c r="H905" t="str">
        <f>"INV 121188"</f>
        <v>INV 121188</v>
      </c>
    </row>
    <row r="906" spans="1:8" x14ac:dyDescent="0.25">
      <c r="E906" t="str">
        <f>"123156  122743"</f>
        <v>123156  122743</v>
      </c>
      <c r="F906" t="str">
        <f>"INV 123156 / 122743"</f>
        <v>INV 123156 / 122743</v>
      </c>
      <c r="G906" s="2">
        <v>120.98</v>
      </c>
      <c r="H906" t="str">
        <f>"INV 123156"</f>
        <v>INV 123156</v>
      </c>
    </row>
    <row r="907" spans="1:8" x14ac:dyDescent="0.25">
      <c r="E907" t="str">
        <f>""</f>
        <v/>
      </c>
      <c r="F907" t="str">
        <f>""</f>
        <v/>
      </c>
      <c r="H907" t="str">
        <f>"INV  122743"</f>
        <v>INV  122743</v>
      </c>
    </row>
    <row r="908" spans="1:8" x14ac:dyDescent="0.25">
      <c r="E908" t="str">
        <f>"123158"</f>
        <v>123158</v>
      </c>
      <c r="F908" t="str">
        <f>"INV 123158"</f>
        <v>INV 123158</v>
      </c>
      <c r="G908" s="2">
        <v>221.25</v>
      </c>
      <c r="H908" t="str">
        <f>"INV 123158"</f>
        <v>INV 123158</v>
      </c>
    </row>
    <row r="909" spans="1:8" x14ac:dyDescent="0.25">
      <c r="E909" t="str">
        <f>"124539"</f>
        <v>124539</v>
      </c>
      <c r="F909" t="str">
        <f>"INV 124539"</f>
        <v>INV 124539</v>
      </c>
      <c r="G909" s="2">
        <v>380</v>
      </c>
      <c r="H909" t="str">
        <f>"INV 124539"</f>
        <v>INV 124539</v>
      </c>
    </row>
    <row r="910" spans="1:8" x14ac:dyDescent="0.25">
      <c r="E910" t="str">
        <f>"127245"</f>
        <v>127245</v>
      </c>
      <c r="F910" t="str">
        <f>"INV 127245"</f>
        <v>INV 127245</v>
      </c>
      <c r="G910" s="2">
        <v>522.75</v>
      </c>
      <c r="H910" t="str">
        <f>"INV 127245"</f>
        <v>INV 127245</v>
      </c>
    </row>
    <row r="911" spans="1:8" x14ac:dyDescent="0.25">
      <c r="E911" t="str">
        <f>"128531"</f>
        <v>128531</v>
      </c>
      <c r="F911" t="str">
        <f>"INV 128531"</f>
        <v>INV 128531</v>
      </c>
      <c r="G911" s="2">
        <v>675.5</v>
      </c>
      <c r="H911" t="str">
        <f>"INV 128531"</f>
        <v>INV 128531</v>
      </c>
    </row>
    <row r="912" spans="1:8" x14ac:dyDescent="0.25">
      <c r="E912" t="str">
        <f>"130651"</f>
        <v>130651</v>
      </c>
      <c r="F912" t="str">
        <f>"INV 130651"</f>
        <v>INV 130651</v>
      </c>
      <c r="G912" s="2">
        <v>709.46</v>
      </c>
      <c r="H912" t="str">
        <f>"INV 130651"</f>
        <v>INV 130651</v>
      </c>
    </row>
    <row r="913" spans="1:9" x14ac:dyDescent="0.25">
      <c r="A913" t="s">
        <v>277</v>
      </c>
      <c r="B913">
        <v>81145</v>
      </c>
      <c r="C913" s="2">
        <v>71.34</v>
      </c>
      <c r="D913" s="1">
        <v>43522</v>
      </c>
      <c r="E913" t="str">
        <f>"201902137414"</f>
        <v>201902137414</v>
      </c>
      <c r="F913" t="str">
        <f>"MILEAGE REIMBURSEMENT"</f>
        <v>MILEAGE REIMBURSEMENT</v>
      </c>
      <c r="G913" s="2">
        <v>71.34</v>
      </c>
      <c r="H913" t="str">
        <f>"MILEAGE REIMBURSEMENT"</f>
        <v>MILEAGE REIMBURSEMENT</v>
      </c>
    </row>
    <row r="914" spans="1:9" x14ac:dyDescent="0.25">
      <c r="A914" t="s">
        <v>278</v>
      </c>
      <c r="B914">
        <v>81146</v>
      </c>
      <c r="C914" s="2">
        <v>360</v>
      </c>
      <c r="D914" s="1">
        <v>43522</v>
      </c>
      <c r="E914" t="s">
        <v>109</v>
      </c>
      <c r="F914" t="s">
        <v>279</v>
      </c>
      <c r="G914" s="2" t="str">
        <f>"RESTITUTION-OMAR CABALLERO"</f>
        <v>RESTITUTION-OMAR CABALLERO</v>
      </c>
      <c r="H914" t="str">
        <f>"210-0000"</f>
        <v>210-0000</v>
      </c>
      <c r="I914" t="str">
        <f>""</f>
        <v/>
      </c>
    </row>
    <row r="915" spans="1:9" x14ac:dyDescent="0.25">
      <c r="A915" t="s">
        <v>280</v>
      </c>
      <c r="B915">
        <v>81147</v>
      </c>
      <c r="C915" s="2">
        <v>414.02</v>
      </c>
      <c r="D915" s="1">
        <v>43522</v>
      </c>
      <c r="E915" t="str">
        <f>"44480672 44717212"</f>
        <v>44480672 44717212</v>
      </c>
      <c r="F915" t="str">
        <f>"INV 44480672"</f>
        <v>INV 44480672</v>
      </c>
      <c r="G915" s="2">
        <v>414.02</v>
      </c>
      <c r="H915" t="str">
        <f>"INV 44480672"</f>
        <v>INV 44480672</v>
      </c>
    </row>
    <row r="916" spans="1:9" x14ac:dyDescent="0.25">
      <c r="E916" t="str">
        <f>""</f>
        <v/>
      </c>
      <c r="F916" t="str">
        <f>""</f>
        <v/>
      </c>
      <c r="H916" t="str">
        <f>"INV 44717212"</f>
        <v>INV 44717212</v>
      </c>
    </row>
    <row r="917" spans="1:9" x14ac:dyDescent="0.25">
      <c r="E917" t="str">
        <f>""</f>
        <v/>
      </c>
      <c r="F917" t="str">
        <f>""</f>
        <v/>
      </c>
      <c r="H917" t="str">
        <f>"INV 44483767"</f>
        <v>INV 44483767</v>
      </c>
    </row>
    <row r="918" spans="1:9" x14ac:dyDescent="0.25">
      <c r="E918" t="str">
        <f>""</f>
        <v/>
      </c>
      <c r="F918" t="str">
        <f>""</f>
        <v/>
      </c>
      <c r="H918" t="str">
        <f>"INV 47365803"</f>
        <v>INV 47365803</v>
      </c>
    </row>
    <row r="919" spans="1:9" x14ac:dyDescent="0.25">
      <c r="A919" t="s">
        <v>281</v>
      </c>
      <c r="B919">
        <v>80928</v>
      </c>
      <c r="C919" s="2">
        <v>1000</v>
      </c>
      <c r="D919" s="1">
        <v>43507</v>
      </c>
      <c r="E919" t="str">
        <f>"201902016978"</f>
        <v>201902016978</v>
      </c>
      <c r="F919" t="str">
        <f>"18-19299"</f>
        <v>18-19299</v>
      </c>
      <c r="G919" s="2">
        <v>1000</v>
      </c>
      <c r="H919" t="str">
        <f>"18-19299"</f>
        <v>18-19299</v>
      </c>
    </row>
    <row r="920" spans="1:9" x14ac:dyDescent="0.25">
      <c r="A920" t="s">
        <v>282</v>
      </c>
      <c r="B920">
        <v>81148</v>
      </c>
      <c r="C920" s="2">
        <v>817.5</v>
      </c>
      <c r="D920" s="1">
        <v>43522</v>
      </c>
      <c r="E920" t="str">
        <f>"S105667285.001"</f>
        <v>S105667285.001</v>
      </c>
      <c r="F920" t="str">
        <f>"INV S105667285.001"</f>
        <v>INV S105667285.001</v>
      </c>
      <c r="G920" s="2">
        <v>817.5</v>
      </c>
      <c r="H920" t="str">
        <f>"INV S105667285.001"</f>
        <v>INV S105667285.001</v>
      </c>
    </row>
    <row r="921" spans="1:9" x14ac:dyDescent="0.25">
      <c r="A921" t="s">
        <v>283</v>
      </c>
      <c r="B921">
        <v>80929</v>
      </c>
      <c r="C921" s="2">
        <v>202.22</v>
      </c>
      <c r="D921" s="1">
        <v>43507</v>
      </c>
      <c r="E921" t="str">
        <f>"16032871"</f>
        <v>16032871</v>
      </c>
      <c r="F921" t="str">
        <f>"MOTOROLA TOOLS"</f>
        <v>MOTOROLA TOOLS</v>
      </c>
      <c r="G921" s="2">
        <v>202.22</v>
      </c>
      <c r="H921" t="str">
        <f>"66009256001"</f>
        <v>66009256001</v>
      </c>
    </row>
    <row r="922" spans="1:9" x14ac:dyDescent="0.25">
      <c r="E922" t="str">
        <f>""</f>
        <v/>
      </c>
      <c r="F922" t="str">
        <f>""</f>
        <v/>
      </c>
      <c r="H922" t="str">
        <f>"66009258001"</f>
        <v>66009258001</v>
      </c>
    </row>
    <row r="923" spans="1:9" x14ac:dyDescent="0.25">
      <c r="A923" t="s">
        <v>283</v>
      </c>
      <c r="B923">
        <v>81149</v>
      </c>
      <c r="C923" s="2">
        <v>21106.17</v>
      </c>
      <c r="D923" s="1">
        <v>43522</v>
      </c>
      <c r="E923" t="str">
        <f>"16035071"</f>
        <v>16035071</v>
      </c>
      <c r="F923" t="str">
        <f>"Antenna Kit &amp; Control Cab"</f>
        <v>Antenna Kit &amp; Control Cab</v>
      </c>
      <c r="G923" s="2">
        <v>120.75</v>
      </c>
      <c r="H923" t="str">
        <f>"HAF4014"</f>
        <v>HAF4014</v>
      </c>
    </row>
    <row r="924" spans="1:9" x14ac:dyDescent="0.25">
      <c r="E924" t="str">
        <f>""</f>
        <v/>
      </c>
      <c r="F924" t="str">
        <f>""</f>
        <v/>
      </c>
      <c r="H924" t="str">
        <f>"HKN6168 30"</f>
        <v>HKN6168 30</v>
      </c>
    </row>
    <row r="925" spans="1:9" x14ac:dyDescent="0.25">
      <c r="E925" t="str">
        <f>""</f>
        <v/>
      </c>
      <c r="F925" t="str">
        <f>""</f>
        <v/>
      </c>
      <c r="H925" t="str">
        <f>"HAF4014"</f>
        <v>HAF4014</v>
      </c>
    </row>
    <row r="926" spans="1:9" x14ac:dyDescent="0.25">
      <c r="E926" t="str">
        <f>"16037573"</f>
        <v>16037573</v>
      </c>
      <c r="F926" t="str">
        <f>"Decoupling Tool for XTS"</f>
        <v>Decoupling Tool for XTS</v>
      </c>
      <c r="G926" s="2">
        <v>18.940000000000001</v>
      </c>
      <c r="H926" t="str">
        <f>"item"</f>
        <v>item</v>
      </c>
    </row>
    <row r="927" spans="1:9" x14ac:dyDescent="0.25">
      <c r="E927" t="str">
        <f>"201902137413"</f>
        <v>201902137413</v>
      </c>
      <c r="F927" t="str">
        <f>"RADIO SERVICE AGREEMENT"</f>
        <v>RADIO SERVICE AGREEMENT</v>
      </c>
      <c r="G927" s="2">
        <v>20462.48</v>
      </c>
      <c r="H927" t="str">
        <f>"RADIO SERVICE AGREEMENT"</f>
        <v>RADIO SERVICE AGREEMENT</v>
      </c>
    </row>
    <row r="928" spans="1:9" x14ac:dyDescent="0.25">
      <c r="E928" t="str">
        <f>"NTN9858C"</f>
        <v>NTN9858C</v>
      </c>
      <c r="F928" t="str">
        <f>"Batteries"</f>
        <v>Batteries</v>
      </c>
      <c r="G928" s="2">
        <v>504</v>
      </c>
      <c r="H928" t="str">
        <f>"NTN9858C"</f>
        <v>NTN9858C</v>
      </c>
    </row>
    <row r="929" spans="1:8" x14ac:dyDescent="0.25">
      <c r="A929" t="s">
        <v>284</v>
      </c>
      <c r="B929">
        <v>81150</v>
      </c>
      <c r="C929" s="2">
        <v>826.8</v>
      </c>
      <c r="D929" s="1">
        <v>43522</v>
      </c>
      <c r="E929" t="str">
        <f>"86613891"</f>
        <v>86613891</v>
      </c>
      <c r="F929" t="str">
        <f>"AGREEMENT#9216535/GEN SVCS"</f>
        <v>AGREEMENT#9216535/GEN SVCS</v>
      </c>
      <c r="G929" s="2">
        <v>826.8</v>
      </c>
      <c r="H929" t="str">
        <f>"AGREEMENT#9216535/GEN SVCS"</f>
        <v>AGREEMENT#9216535/GEN SVCS</v>
      </c>
    </row>
    <row r="930" spans="1:8" x14ac:dyDescent="0.25">
      <c r="A930" t="s">
        <v>285</v>
      </c>
      <c r="B930">
        <v>408</v>
      </c>
      <c r="C930" s="2">
        <v>6879.94</v>
      </c>
      <c r="D930" s="1">
        <v>43508</v>
      </c>
      <c r="E930" t="str">
        <f>"IN0816365"</f>
        <v>IN0816365</v>
      </c>
      <c r="F930" t="str">
        <f>"INV IN0816365"</f>
        <v>INV IN0816365</v>
      </c>
      <c r="G930" s="2">
        <v>3687.94</v>
      </c>
      <c r="H930" t="str">
        <f>"INV IN0816365"</f>
        <v>INV IN0816365</v>
      </c>
    </row>
    <row r="931" spans="1:8" x14ac:dyDescent="0.25">
      <c r="E931" t="str">
        <f>"IN0817304"</f>
        <v>IN0817304</v>
      </c>
      <c r="F931" t="str">
        <f>"INV IN0817304"</f>
        <v>INV IN0817304</v>
      </c>
      <c r="G931" s="2">
        <v>3192</v>
      </c>
      <c r="H931" t="str">
        <f>"INV IN0817304"</f>
        <v>INV IN0817304</v>
      </c>
    </row>
    <row r="932" spans="1:8" x14ac:dyDescent="0.25">
      <c r="A932" t="s">
        <v>285</v>
      </c>
      <c r="B932">
        <v>472</v>
      </c>
      <c r="C932" s="2">
        <v>7357.69</v>
      </c>
      <c r="D932" s="1">
        <v>43523</v>
      </c>
      <c r="E932" t="str">
        <f>"IN0817499"</f>
        <v>IN0817499</v>
      </c>
      <c r="F932" t="str">
        <f>"INV IN0817499"</f>
        <v>INV IN0817499</v>
      </c>
      <c r="G932" s="2">
        <v>2913.56</v>
      </c>
      <c r="H932" t="str">
        <f>"INV IN0817499"</f>
        <v>INV IN0817499</v>
      </c>
    </row>
    <row r="933" spans="1:8" x14ac:dyDescent="0.25">
      <c r="E933" t="str">
        <f>"IN0817966"</f>
        <v>IN0817966</v>
      </c>
      <c r="F933" t="str">
        <f>"INV IN0817966"</f>
        <v>INV IN0817966</v>
      </c>
      <c r="G933" s="2">
        <v>4444.13</v>
      </c>
      <c r="H933" t="str">
        <f>"INV IN0817966"</f>
        <v>INV IN0817966</v>
      </c>
    </row>
    <row r="934" spans="1:8" x14ac:dyDescent="0.25">
      <c r="A934" t="s">
        <v>286</v>
      </c>
      <c r="B934">
        <v>80930</v>
      </c>
      <c r="C934" s="2">
        <v>75</v>
      </c>
      <c r="D934" s="1">
        <v>43507</v>
      </c>
      <c r="E934" t="str">
        <f>"12893"</f>
        <v>12893</v>
      </c>
      <c r="F934" t="str">
        <f>"SERVICE"</f>
        <v>SERVICE</v>
      </c>
      <c r="G934" s="2">
        <v>75</v>
      </c>
      <c r="H934" t="str">
        <f>"SERVICE"</f>
        <v>SERVICE</v>
      </c>
    </row>
    <row r="935" spans="1:8" x14ac:dyDescent="0.25">
      <c r="A935" t="s">
        <v>287</v>
      </c>
      <c r="B935">
        <v>462</v>
      </c>
      <c r="C935" s="2">
        <v>112.09</v>
      </c>
      <c r="D935" s="1">
        <v>43508</v>
      </c>
      <c r="E935" t="str">
        <f>"0581427054"</f>
        <v>0581427054</v>
      </c>
      <c r="F935" t="str">
        <f>"CUST#198406/PCT#3"</f>
        <v>CUST#198406/PCT#3</v>
      </c>
      <c r="G935" s="2">
        <v>12.49</v>
      </c>
      <c r="H935" t="str">
        <f>"CUST#198406/PCT#3"</f>
        <v>CUST#198406/PCT#3</v>
      </c>
    </row>
    <row r="936" spans="1:8" x14ac:dyDescent="0.25">
      <c r="E936" t="str">
        <f>"201902047030"</f>
        <v>201902047030</v>
      </c>
      <c r="F936" t="str">
        <f>"CUST#99088/PCT#4"</f>
        <v>CUST#99088/PCT#4</v>
      </c>
      <c r="G936" s="2">
        <v>95.31</v>
      </c>
      <c r="H936" t="str">
        <f>"CUST#99088/PCT#4"</f>
        <v>CUST#99088/PCT#4</v>
      </c>
    </row>
    <row r="937" spans="1:8" x14ac:dyDescent="0.25">
      <c r="E937" t="str">
        <f>"581427139"</f>
        <v>581427139</v>
      </c>
      <c r="F937" t="str">
        <f>"CUST#198406/PCT#3"</f>
        <v>CUST#198406/PCT#3</v>
      </c>
      <c r="G937" s="2">
        <v>4.29</v>
      </c>
      <c r="H937" t="str">
        <f>"CUST#198406/PCT#3"</f>
        <v>CUST#198406/PCT#3</v>
      </c>
    </row>
    <row r="938" spans="1:8" x14ac:dyDescent="0.25">
      <c r="A938" t="s">
        <v>288</v>
      </c>
      <c r="B938">
        <v>80931</v>
      </c>
      <c r="C938" s="2">
        <v>854.56</v>
      </c>
      <c r="D938" s="1">
        <v>43507</v>
      </c>
      <c r="E938" t="str">
        <f>"1502556 1507067 15"</f>
        <v>1502556 1507067 15</v>
      </c>
      <c r="F938" t="str">
        <f>"INV 1502556"</f>
        <v>INV 1502556</v>
      </c>
      <c r="G938" s="2">
        <v>854.56</v>
      </c>
      <c r="H938" t="str">
        <f>"INV 1502556"</f>
        <v>INV 1502556</v>
      </c>
    </row>
    <row r="939" spans="1:8" x14ac:dyDescent="0.25">
      <c r="E939" t="str">
        <f>""</f>
        <v/>
      </c>
      <c r="F939" t="str">
        <f>""</f>
        <v/>
      </c>
      <c r="H939" t="str">
        <f>"INV 1507067"</f>
        <v>INV 1507067</v>
      </c>
    </row>
    <row r="940" spans="1:8" x14ac:dyDescent="0.25">
      <c r="E940" t="str">
        <f>""</f>
        <v/>
      </c>
      <c r="F940" t="str">
        <f>""</f>
        <v/>
      </c>
      <c r="H940" t="str">
        <f>"INV 1510311"</f>
        <v>INV 1510311</v>
      </c>
    </row>
    <row r="941" spans="1:8" x14ac:dyDescent="0.25">
      <c r="E941" t="str">
        <f>""</f>
        <v/>
      </c>
      <c r="F941" t="str">
        <f>""</f>
        <v/>
      </c>
      <c r="H941" t="str">
        <f>"INV 1515287"</f>
        <v>INV 1515287</v>
      </c>
    </row>
    <row r="942" spans="1:8" x14ac:dyDescent="0.25">
      <c r="A942" t="s">
        <v>288</v>
      </c>
      <c r="B942">
        <v>81151</v>
      </c>
      <c r="C942" s="2">
        <v>697.6</v>
      </c>
      <c r="D942" s="1">
        <v>43522</v>
      </c>
      <c r="E942" t="str">
        <f>"1520221 1523091 15"</f>
        <v>1520221 1523091 15</v>
      </c>
      <c r="F942" t="str">
        <f>"INV 1520221"</f>
        <v>INV 1520221</v>
      </c>
      <c r="G942" s="2">
        <v>697.6</v>
      </c>
      <c r="H942" t="str">
        <f>"INV 1520221"</f>
        <v>INV 1520221</v>
      </c>
    </row>
    <row r="943" spans="1:8" x14ac:dyDescent="0.25">
      <c r="E943" t="str">
        <f>""</f>
        <v/>
      </c>
      <c r="F943" t="str">
        <f>""</f>
        <v/>
      </c>
      <c r="H943" t="str">
        <f>"INV 1523091"</f>
        <v>INV 1523091</v>
      </c>
    </row>
    <row r="944" spans="1:8" x14ac:dyDescent="0.25">
      <c r="E944" t="str">
        <f>""</f>
        <v/>
      </c>
      <c r="F944" t="str">
        <f>""</f>
        <v/>
      </c>
      <c r="H944" t="str">
        <f>"INV 1527930"</f>
        <v>INV 1527930</v>
      </c>
    </row>
    <row r="945" spans="1:8" x14ac:dyDescent="0.25">
      <c r="E945" t="str">
        <f>""</f>
        <v/>
      </c>
      <c r="F945" t="str">
        <f>""</f>
        <v/>
      </c>
      <c r="H945" t="str">
        <f>"INV 1530900"</f>
        <v>INV 1530900</v>
      </c>
    </row>
    <row r="946" spans="1:8" x14ac:dyDescent="0.25">
      <c r="A946" t="s">
        <v>289</v>
      </c>
      <c r="B946">
        <v>81152</v>
      </c>
      <c r="C946" s="2">
        <v>775.93</v>
      </c>
      <c r="D946" s="1">
        <v>43522</v>
      </c>
      <c r="E946" t="str">
        <f>"10763785"</f>
        <v>10763785</v>
      </c>
      <c r="F946" t="str">
        <f>"bill# 10763785"</f>
        <v>bill# 10763785</v>
      </c>
      <c r="G946" s="2">
        <v>775.93</v>
      </c>
      <c r="H946" t="str">
        <f>"Ord# 267568008001"</f>
        <v>Ord# 267568008001</v>
      </c>
    </row>
    <row r="947" spans="1:8" x14ac:dyDescent="0.25">
      <c r="E947" t="str">
        <f>""</f>
        <v/>
      </c>
      <c r="F947" t="str">
        <f>""</f>
        <v/>
      </c>
      <c r="H947" t="str">
        <f>"Ord# 265290606001"</f>
        <v>Ord# 265290606001</v>
      </c>
    </row>
    <row r="948" spans="1:8" x14ac:dyDescent="0.25">
      <c r="E948" t="str">
        <f>""</f>
        <v/>
      </c>
      <c r="F948" t="str">
        <f>""</f>
        <v/>
      </c>
      <c r="H948" t="str">
        <f>"Ord# 265291191001"</f>
        <v>Ord# 265291191001</v>
      </c>
    </row>
    <row r="949" spans="1:8" x14ac:dyDescent="0.25">
      <c r="E949" t="str">
        <f>""</f>
        <v/>
      </c>
      <c r="F949" t="str">
        <f>""</f>
        <v/>
      </c>
      <c r="H949" t="str">
        <f>"Ord# 265350051001"</f>
        <v>Ord# 265350051001</v>
      </c>
    </row>
    <row r="950" spans="1:8" x14ac:dyDescent="0.25">
      <c r="E950" t="str">
        <f>""</f>
        <v/>
      </c>
      <c r="F950" t="str">
        <f>""</f>
        <v/>
      </c>
      <c r="H950" t="str">
        <f>"Ord# 265361836001"</f>
        <v>Ord# 265361836001</v>
      </c>
    </row>
    <row r="951" spans="1:8" x14ac:dyDescent="0.25">
      <c r="E951" t="str">
        <f>""</f>
        <v/>
      </c>
      <c r="F951" t="str">
        <f>""</f>
        <v/>
      </c>
      <c r="H951" t="str">
        <f>"Ord# 268192236001"</f>
        <v>Ord# 268192236001</v>
      </c>
    </row>
    <row r="952" spans="1:8" x14ac:dyDescent="0.25">
      <c r="E952" t="str">
        <f>""</f>
        <v/>
      </c>
      <c r="F952" t="str">
        <f>""</f>
        <v/>
      </c>
      <c r="H952" t="str">
        <f>"Ord# 268194346001"</f>
        <v>Ord# 268194346001</v>
      </c>
    </row>
    <row r="953" spans="1:8" x14ac:dyDescent="0.25">
      <c r="E953" t="str">
        <f>""</f>
        <v/>
      </c>
      <c r="F953" t="str">
        <f>""</f>
        <v/>
      </c>
      <c r="H953" t="str">
        <f>"Ord# 262403471001"</f>
        <v>Ord# 262403471001</v>
      </c>
    </row>
    <row r="954" spans="1:8" x14ac:dyDescent="0.25">
      <c r="E954" t="str">
        <f>""</f>
        <v/>
      </c>
      <c r="F954" t="str">
        <f>""</f>
        <v/>
      </c>
      <c r="H954" t="str">
        <f>"Ord# 262418905001"</f>
        <v>Ord# 262418905001</v>
      </c>
    </row>
    <row r="955" spans="1:8" x14ac:dyDescent="0.25">
      <c r="A955" t="s">
        <v>290</v>
      </c>
      <c r="B955">
        <v>80932</v>
      </c>
      <c r="C955" s="2">
        <v>60</v>
      </c>
      <c r="D955" s="1">
        <v>43507</v>
      </c>
      <c r="E955" t="str">
        <f>"201902067152"</f>
        <v>201902067152</v>
      </c>
      <c r="F955" t="str">
        <f>"OLIVIA HARROS"</f>
        <v>OLIVIA HARROS</v>
      </c>
      <c r="G955" s="2">
        <v>60</v>
      </c>
      <c r="H955" t="str">
        <f>""</f>
        <v/>
      </c>
    </row>
    <row r="956" spans="1:8" x14ac:dyDescent="0.25">
      <c r="A956" t="s">
        <v>291</v>
      </c>
      <c r="B956">
        <v>80933</v>
      </c>
      <c r="C956" s="2">
        <v>545</v>
      </c>
      <c r="D956" s="1">
        <v>43507</v>
      </c>
      <c r="E956" t="str">
        <f>"284979 - P1"</f>
        <v>284979 - P1</v>
      </c>
      <c r="F956" t="str">
        <f>"CUST ID:BASCOU/DRUG SCREEN/P1"</f>
        <v>CUST ID:BASCOU/DRUG SCREEN/P1</v>
      </c>
      <c r="G956" s="2">
        <v>90</v>
      </c>
      <c r="H956" t="str">
        <f>"CUST ID:BASCOU/DRUG SCREEN/P1"</f>
        <v>CUST ID:BASCOU/DRUG SCREEN/P1</v>
      </c>
    </row>
    <row r="957" spans="1:8" x14ac:dyDescent="0.25">
      <c r="E957" t="str">
        <f>"284979 - P2"</f>
        <v>284979 - P2</v>
      </c>
      <c r="F957" t="str">
        <f>"CUST ID:BASCOU/DRUG SCREEN/P2"</f>
        <v>CUST ID:BASCOU/DRUG SCREEN/P2</v>
      </c>
      <c r="G957" s="2">
        <v>165</v>
      </c>
      <c r="H957" t="str">
        <f>"CUST ID:BASCOU/DRUG SCREEN/P2"</f>
        <v>CUST ID:BASCOU/DRUG SCREEN/P2</v>
      </c>
    </row>
    <row r="958" spans="1:8" x14ac:dyDescent="0.25">
      <c r="E958" t="str">
        <f>"284979 - P3"</f>
        <v>284979 - P3</v>
      </c>
      <c r="F958" t="str">
        <f>"CUST ID:BASCOU/DRUG SCREEN/P3"</f>
        <v>CUST ID:BASCOU/DRUG SCREEN/P3</v>
      </c>
      <c r="G958" s="2">
        <v>165</v>
      </c>
      <c r="H958" t="str">
        <f>"CUST ID:BASCOU/DRUG SCREEN/P3"</f>
        <v>CUST ID:BASCOU/DRUG SCREEN/P3</v>
      </c>
    </row>
    <row r="959" spans="1:8" x14ac:dyDescent="0.25">
      <c r="E959" t="str">
        <f>"284979 - P4"</f>
        <v>284979 - P4</v>
      </c>
      <c r="F959" t="str">
        <f>"CUST ID:BASCOU/DRUG SCREEN/P4"</f>
        <v>CUST ID:BASCOU/DRUG SCREEN/P4</v>
      </c>
      <c r="G959" s="2">
        <v>125</v>
      </c>
      <c r="H959" t="str">
        <f>"CUST ID:BASCOU/DRUG SCREEN/P4"</f>
        <v>CUST ID:BASCOU/DRUG SCREEN/P4</v>
      </c>
    </row>
    <row r="960" spans="1:8" x14ac:dyDescent="0.25">
      <c r="A960" t="s">
        <v>292</v>
      </c>
      <c r="B960">
        <v>80934</v>
      </c>
      <c r="C960" s="2">
        <v>376.25</v>
      </c>
      <c r="D960" s="1">
        <v>43507</v>
      </c>
      <c r="E960" t="str">
        <f>"18540"</f>
        <v>18540</v>
      </c>
      <c r="F960" t="str">
        <f>"inv# 18540"</f>
        <v>inv# 18540</v>
      </c>
      <c r="G960" s="2">
        <v>376.25</v>
      </c>
      <c r="H960" t="str">
        <f>"inv# 18540"</f>
        <v>inv# 18540</v>
      </c>
    </row>
    <row r="961" spans="1:8" x14ac:dyDescent="0.25">
      <c r="A961" t="s">
        <v>293</v>
      </c>
      <c r="B961">
        <v>80935</v>
      </c>
      <c r="C961" s="2">
        <v>18.75</v>
      </c>
      <c r="D961" s="1">
        <v>43507</v>
      </c>
      <c r="E961" t="str">
        <f>"55196"</f>
        <v>55196</v>
      </c>
      <c r="F961" t="str">
        <f>"INV 55196  FOR H. TUCKER"</f>
        <v>INV 55196  FOR H. TUCKER</v>
      </c>
      <c r="G961" s="2">
        <v>18.75</v>
      </c>
      <c r="H961" t="str">
        <f>"INV 55196  FOR H. TUCKER"</f>
        <v>INV 55196  FOR H. TUCKER</v>
      </c>
    </row>
    <row r="962" spans="1:8" x14ac:dyDescent="0.25">
      <c r="A962" t="s">
        <v>293</v>
      </c>
      <c r="B962">
        <v>81153</v>
      </c>
      <c r="C962" s="2">
        <v>472.5</v>
      </c>
      <c r="D962" s="1">
        <v>43522</v>
      </c>
      <c r="E962" t="str">
        <f>"55268"</f>
        <v>55268</v>
      </c>
      <c r="F962" t="str">
        <f>"INV 55268"</f>
        <v>INV 55268</v>
      </c>
      <c r="G962" s="2">
        <v>472.5</v>
      </c>
      <c r="H962" t="str">
        <f>"INV 55268"</f>
        <v>INV 55268</v>
      </c>
    </row>
    <row r="963" spans="1:8" x14ac:dyDescent="0.25">
      <c r="A963" t="s">
        <v>294</v>
      </c>
      <c r="B963">
        <v>80936</v>
      </c>
      <c r="C963" s="2">
        <v>110</v>
      </c>
      <c r="D963" s="1">
        <v>43507</v>
      </c>
      <c r="E963" t="str">
        <f>"201902067183"</f>
        <v>201902067183</v>
      </c>
      <c r="F963" t="str">
        <f>"FERAL HOGS"</f>
        <v>FERAL HOGS</v>
      </c>
      <c r="G963" s="2">
        <v>110</v>
      </c>
      <c r="H963" t="str">
        <f>"FERAL HOGS"</f>
        <v>FERAL HOGS</v>
      </c>
    </row>
    <row r="964" spans="1:8" x14ac:dyDescent="0.25">
      <c r="A964" t="s">
        <v>295</v>
      </c>
      <c r="B964">
        <v>81154</v>
      </c>
      <c r="C964" s="2">
        <v>489</v>
      </c>
      <c r="D964" s="1">
        <v>43522</v>
      </c>
      <c r="E964" t="str">
        <f>"19104106"</f>
        <v>19104106</v>
      </c>
      <c r="F964" t="str">
        <f>"INV 19104106"</f>
        <v>INV 19104106</v>
      </c>
      <c r="G964" s="2">
        <v>489</v>
      </c>
      <c r="H964" t="str">
        <f>"INV 19104106"</f>
        <v>INV 19104106</v>
      </c>
    </row>
    <row r="965" spans="1:8" x14ac:dyDescent="0.25">
      <c r="A965" t="s">
        <v>296</v>
      </c>
      <c r="B965">
        <v>80937</v>
      </c>
      <c r="C965" s="2">
        <v>55.96</v>
      </c>
      <c r="D965" s="1">
        <v>43507</v>
      </c>
      <c r="E965" t="str">
        <f>"201902057090"</f>
        <v>201902057090</v>
      </c>
      <c r="F965" t="str">
        <f>"ACCT#1137/PCT#4"</f>
        <v>ACCT#1137/PCT#4</v>
      </c>
      <c r="G965" s="2">
        <v>55.96</v>
      </c>
      <c r="H965" t="str">
        <f>"ACCT#1137/PCT#4"</f>
        <v>ACCT#1137/PCT#4</v>
      </c>
    </row>
    <row r="966" spans="1:8" x14ac:dyDescent="0.25">
      <c r="A966" t="s">
        <v>297</v>
      </c>
      <c r="B966">
        <v>415</v>
      </c>
      <c r="C966" s="2">
        <v>1155.3499999999999</v>
      </c>
      <c r="D966" s="1">
        <v>43508</v>
      </c>
      <c r="E966" t="str">
        <f>"2008368"</f>
        <v>2008368</v>
      </c>
      <c r="F966" t="str">
        <f>"REPAIR BROKEN SIGN LIGHT/TADS"</f>
        <v>REPAIR BROKEN SIGN LIGHT/TADS</v>
      </c>
      <c r="G966" s="2">
        <v>449.7</v>
      </c>
      <c r="H966" t="str">
        <f>"REPAIR BROKEN SIGN LIGHT/TADS"</f>
        <v>REPAIR BROKEN SIGN LIGHT/TADS</v>
      </c>
    </row>
    <row r="967" spans="1:8" x14ac:dyDescent="0.25">
      <c r="E967" t="str">
        <f>"2008369"</f>
        <v>2008369</v>
      </c>
      <c r="F967" t="str">
        <f>"ADD DRYER PLUG/ANIMAL SHELTER"</f>
        <v>ADD DRYER PLUG/ANIMAL SHELTER</v>
      </c>
      <c r="G967" s="2">
        <v>705.65</v>
      </c>
      <c r="H967" t="str">
        <f>"ADD DRYER PLUG/ANIMAL SHELTER"</f>
        <v>ADD DRYER PLUG/ANIMAL SHELTER</v>
      </c>
    </row>
    <row r="968" spans="1:8" x14ac:dyDescent="0.25">
      <c r="A968" t="s">
        <v>298</v>
      </c>
      <c r="B968">
        <v>80938</v>
      </c>
      <c r="C968" s="2">
        <v>3570.18</v>
      </c>
      <c r="D968" s="1">
        <v>43507</v>
      </c>
      <c r="E968" t="str">
        <f>"201902067214"</f>
        <v>201902067214</v>
      </c>
      <c r="F968" t="str">
        <f>"ACCT#0200140783"</f>
        <v>ACCT#0200140783</v>
      </c>
      <c r="G968" s="2">
        <v>3570.18</v>
      </c>
      <c r="H968" t="str">
        <f>"ACCT#0200140783"</f>
        <v>ACCT#0200140783</v>
      </c>
    </row>
    <row r="969" spans="1:8" x14ac:dyDescent="0.25">
      <c r="E969" t="str">
        <f>""</f>
        <v/>
      </c>
      <c r="F969" t="str">
        <f>""</f>
        <v/>
      </c>
      <c r="H969" t="str">
        <f>"ACCT#0200140783"</f>
        <v>ACCT#0200140783</v>
      </c>
    </row>
    <row r="970" spans="1:8" x14ac:dyDescent="0.25">
      <c r="A970" t="s">
        <v>298</v>
      </c>
      <c r="B970">
        <v>81155</v>
      </c>
      <c r="C970" s="2">
        <v>3173.74</v>
      </c>
      <c r="D970" s="1">
        <v>43522</v>
      </c>
      <c r="E970" t="str">
        <f>"0035887071"</f>
        <v>0035887071</v>
      </c>
      <c r="F970" t="str">
        <f>"Rescue Concentrate"</f>
        <v>Rescue Concentrate</v>
      </c>
      <c r="G970" s="2">
        <v>3173.74</v>
      </c>
      <c r="H970" t="str">
        <f>"product#78927024"</f>
        <v>product#78927024</v>
      </c>
    </row>
    <row r="971" spans="1:8" x14ac:dyDescent="0.25">
      <c r="E971" t="str">
        <f>""</f>
        <v/>
      </c>
      <c r="F971" t="str">
        <f>""</f>
        <v/>
      </c>
      <c r="H971" t="str">
        <f>"handling"</f>
        <v>handling</v>
      </c>
    </row>
    <row r="972" spans="1:8" x14ac:dyDescent="0.25">
      <c r="A972" t="s">
        <v>299</v>
      </c>
      <c r="B972">
        <v>81156</v>
      </c>
      <c r="C972" s="2">
        <v>29000</v>
      </c>
      <c r="D972" s="1">
        <v>43522</v>
      </c>
      <c r="E972" t="str">
        <f>"398159"</f>
        <v>398159</v>
      </c>
      <c r="F972" t="str">
        <f>"CLIENT#20442/BILLING SVCS-AUDI"</f>
        <v>CLIENT#20442/BILLING SVCS-AUDI</v>
      </c>
      <c r="G972" s="2">
        <v>29000</v>
      </c>
      <c r="H972" t="str">
        <f>"CLIENT#20442/BILLING SVCS-AUDI"</f>
        <v>CLIENT#20442/BILLING SVCS-AUDI</v>
      </c>
    </row>
    <row r="973" spans="1:8" x14ac:dyDescent="0.25">
      <c r="A973" t="s">
        <v>300</v>
      </c>
      <c r="B973">
        <v>80939</v>
      </c>
      <c r="C973" s="2">
        <v>75</v>
      </c>
      <c r="D973" s="1">
        <v>43507</v>
      </c>
      <c r="E973" t="str">
        <f>"12678"</f>
        <v>12678</v>
      </c>
      <c r="F973" t="str">
        <f>"SERVICE"</f>
        <v>SERVICE</v>
      </c>
      <c r="G973" s="2">
        <v>75</v>
      </c>
      <c r="H973" t="str">
        <f>"SERVICE"</f>
        <v>SERVICE</v>
      </c>
    </row>
    <row r="974" spans="1:8" x14ac:dyDescent="0.25">
      <c r="A974" t="s">
        <v>301</v>
      </c>
      <c r="B974">
        <v>81157</v>
      </c>
      <c r="C974" s="2">
        <v>5000</v>
      </c>
      <c r="D974" s="1">
        <v>43522</v>
      </c>
      <c r="E974" t="str">
        <f>"103183"</f>
        <v>103183</v>
      </c>
      <c r="F974" t="str">
        <f>"2014/2017/2018 CERT OF OBLIG"</f>
        <v>2014/2017/2018 CERT OF OBLIG</v>
      </c>
      <c r="G974" s="2">
        <v>5000</v>
      </c>
      <c r="H974" t="str">
        <f>"2014/2017/2018 CERT OF OBLIG"</f>
        <v>2014/2017/2018 CERT OF OBLIG</v>
      </c>
    </row>
    <row r="975" spans="1:8" x14ac:dyDescent="0.25">
      <c r="A975" t="s">
        <v>302</v>
      </c>
      <c r="B975">
        <v>80940</v>
      </c>
      <c r="C975" s="2">
        <v>180</v>
      </c>
      <c r="D975" s="1">
        <v>43507</v>
      </c>
      <c r="E975" t="str">
        <f>"201902067184"</f>
        <v>201902067184</v>
      </c>
      <c r="F975" t="str">
        <f>"FERAL HOGS"</f>
        <v>FERAL HOGS</v>
      </c>
      <c r="G975" s="2">
        <v>180</v>
      </c>
      <c r="H975" t="str">
        <f>"FERAL HOGS"</f>
        <v>FERAL HOGS</v>
      </c>
    </row>
    <row r="976" spans="1:8" x14ac:dyDescent="0.25">
      <c r="A976" t="s">
        <v>303</v>
      </c>
      <c r="B976">
        <v>449</v>
      </c>
      <c r="C976" s="2">
        <v>3017</v>
      </c>
      <c r="D976" s="1">
        <v>43508</v>
      </c>
      <c r="E976" t="str">
        <f>"201901296838"</f>
        <v>201901296838</v>
      </c>
      <c r="F976" t="str">
        <f>"J-3151"</f>
        <v>J-3151</v>
      </c>
      <c r="G976" s="2">
        <v>100</v>
      </c>
      <c r="H976" t="str">
        <f>"J-3151"</f>
        <v>J-3151</v>
      </c>
    </row>
    <row r="977" spans="1:8" x14ac:dyDescent="0.25">
      <c r="E977" t="str">
        <f>"201901296847"</f>
        <v>201901296847</v>
      </c>
      <c r="F977" t="str">
        <f>"17-18718"</f>
        <v>17-18718</v>
      </c>
      <c r="G977" s="2">
        <v>355</v>
      </c>
      <c r="H977" t="str">
        <f>"17-18718"</f>
        <v>17-18718</v>
      </c>
    </row>
    <row r="978" spans="1:8" x14ac:dyDescent="0.25">
      <c r="E978" t="str">
        <f>"201901296848"</f>
        <v>201901296848</v>
      </c>
      <c r="F978" t="str">
        <f>"17-18617"</f>
        <v>17-18617</v>
      </c>
      <c r="G978" s="2">
        <v>213</v>
      </c>
      <c r="H978" t="str">
        <f>"17-18617"</f>
        <v>17-18617</v>
      </c>
    </row>
    <row r="979" spans="1:8" x14ac:dyDescent="0.25">
      <c r="E979" t="str">
        <f>"201901296855"</f>
        <v>201901296855</v>
      </c>
      <c r="F979" t="str">
        <f>"1JP9418B"</f>
        <v>1JP9418B</v>
      </c>
      <c r="G979" s="2">
        <v>250</v>
      </c>
      <c r="H979" t="str">
        <f>"1JP9418B"</f>
        <v>1JP9418B</v>
      </c>
    </row>
    <row r="980" spans="1:8" x14ac:dyDescent="0.25">
      <c r="E980" t="str">
        <f>"201901296864"</f>
        <v>201901296864</v>
      </c>
      <c r="F980" t="str">
        <f>"UNFILED"</f>
        <v>UNFILED</v>
      </c>
      <c r="G980" s="2">
        <v>100</v>
      </c>
      <c r="H980" t="str">
        <f>"UNFILED"</f>
        <v>UNFILED</v>
      </c>
    </row>
    <row r="981" spans="1:8" x14ac:dyDescent="0.25">
      <c r="E981" t="str">
        <f>"201901296888"</f>
        <v>201901296888</v>
      </c>
      <c r="F981" t="str">
        <f>"407058.4"</f>
        <v>407058.4</v>
      </c>
      <c r="G981" s="2">
        <v>250</v>
      </c>
      <c r="H981" t="str">
        <f>"407058.4"</f>
        <v>407058.4</v>
      </c>
    </row>
    <row r="982" spans="1:8" x14ac:dyDescent="0.25">
      <c r="E982" t="str">
        <f>"201902057059"</f>
        <v>201902057059</v>
      </c>
      <c r="F982" t="str">
        <f>"53808 53809 53810 53811"</f>
        <v>53808 53809 53810 53811</v>
      </c>
      <c r="G982" s="2">
        <v>625</v>
      </c>
      <c r="H982" t="str">
        <f>"53808 53809 53810 53811"</f>
        <v>53808 53809 53810 53811</v>
      </c>
    </row>
    <row r="983" spans="1:8" x14ac:dyDescent="0.25">
      <c r="E983" t="str">
        <f>"201902057067"</f>
        <v>201902057067</v>
      </c>
      <c r="F983" t="str">
        <f>"31230218B"</f>
        <v>31230218B</v>
      </c>
      <c r="G983" s="2">
        <v>250</v>
      </c>
      <c r="H983" t="str">
        <f>"31230218B"</f>
        <v>31230218B</v>
      </c>
    </row>
    <row r="984" spans="1:8" x14ac:dyDescent="0.25">
      <c r="E984" t="str">
        <f>"201902057117"</f>
        <v>201902057117</v>
      </c>
      <c r="F984" t="str">
        <f>"J-3162"</f>
        <v>J-3162</v>
      </c>
      <c r="G984" s="2">
        <v>250</v>
      </c>
      <c r="H984" t="str">
        <f>"J-3162"</f>
        <v>J-3162</v>
      </c>
    </row>
    <row r="985" spans="1:8" x14ac:dyDescent="0.25">
      <c r="E985" t="str">
        <f>"201902057123"</f>
        <v>201902057123</v>
      </c>
      <c r="F985" t="str">
        <f>"19-19426"</f>
        <v>19-19426</v>
      </c>
      <c r="G985" s="2">
        <v>348</v>
      </c>
      <c r="H985" t="str">
        <f>"19-19426"</f>
        <v>19-19426</v>
      </c>
    </row>
    <row r="986" spans="1:8" x14ac:dyDescent="0.25">
      <c r="E986" t="str">
        <f>"201902057124"</f>
        <v>201902057124</v>
      </c>
      <c r="F986" t="str">
        <f>"18-19392"</f>
        <v>18-19392</v>
      </c>
      <c r="G986" s="2">
        <v>138</v>
      </c>
      <c r="H986" t="str">
        <f>"18-19392"</f>
        <v>18-19392</v>
      </c>
    </row>
    <row r="987" spans="1:8" x14ac:dyDescent="0.25">
      <c r="E987" t="str">
        <f>"201902057125"</f>
        <v>201902057125</v>
      </c>
      <c r="F987" t="str">
        <f>"17-19754"</f>
        <v>17-19754</v>
      </c>
      <c r="G987" s="2">
        <v>138</v>
      </c>
      <c r="H987" t="str">
        <f>"17-19754"</f>
        <v>17-19754</v>
      </c>
    </row>
    <row r="988" spans="1:8" x14ac:dyDescent="0.25">
      <c r="A988" t="s">
        <v>303</v>
      </c>
      <c r="B988">
        <v>508</v>
      </c>
      <c r="C988" s="2">
        <v>450</v>
      </c>
      <c r="D988" s="1">
        <v>43523</v>
      </c>
      <c r="E988" t="str">
        <f>"201902127384"</f>
        <v>201902127384</v>
      </c>
      <c r="F988" t="str">
        <f>"56682"</f>
        <v>56682</v>
      </c>
      <c r="G988" s="2">
        <v>250</v>
      </c>
      <c r="H988" t="str">
        <f>"56682"</f>
        <v>56682</v>
      </c>
    </row>
    <row r="989" spans="1:8" x14ac:dyDescent="0.25">
      <c r="E989" t="str">
        <f>"201902227476"</f>
        <v>201902227476</v>
      </c>
      <c r="F989" t="str">
        <f>"17-18635"</f>
        <v>17-18635</v>
      </c>
      <c r="G989" s="2">
        <v>100</v>
      </c>
      <c r="H989" t="str">
        <f>"17-18635"</f>
        <v>17-18635</v>
      </c>
    </row>
    <row r="990" spans="1:8" x14ac:dyDescent="0.25">
      <c r="E990" t="str">
        <f>"201902227477"</f>
        <v>201902227477</v>
      </c>
      <c r="F990" t="str">
        <f>"18-18992"</f>
        <v>18-18992</v>
      </c>
      <c r="G990" s="2">
        <v>100</v>
      </c>
      <c r="H990" t="str">
        <f>"18-18992"</f>
        <v>18-18992</v>
      </c>
    </row>
    <row r="991" spans="1:8" x14ac:dyDescent="0.25">
      <c r="A991" t="s">
        <v>304</v>
      </c>
      <c r="B991">
        <v>81158</v>
      </c>
      <c r="C991" s="2">
        <v>684.23</v>
      </c>
      <c r="D991" s="1">
        <v>43522</v>
      </c>
      <c r="E991" t="str">
        <f>"1011293126"</f>
        <v>1011293126</v>
      </c>
      <c r="F991" t="str">
        <f>"ACCT#0011198047"</f>
        <v>ACCT#0011198047</v>
      </c>
      <c r="G991" s="2">
        <v>684.23</v>
      </c>
      <c r="H991" t="str">
        <f>"ACCT#0011198047"</f>
        <v>ACCT#0011198047</v>
      </c>
    </row>
    <row r="992" spans="1:8" x14ac:dyDescent="0.25">
      <c r="A992" t="s">
        <v>305</v>
      </c>
      <c r="B992">
        <v>80941</v>
      </c>
      <c r="C992" s="2">
        <v>250</v>
      </c>
      <c r="D992" s="1">
        <v>43507</v>
      </c>
      <c r="E992" t="str">
        <f>"201901296887"</f>
        <v>201901296887</v>
      </c>
      <c r="F992" t="str">
        <f>"56 567"</f>
        <v>56 567</v>
      </c>
      <c r="G992" s="2">
        <v>250</v>
      </c>
      <c r="H992" t="str">
        <f>"56 567"</f>
        <v>56 567</v>
      </c>
    </row>
    <row r="993" spans="1:9" x14ac:dyDescent="0.25">
      <c r="A993" t="s">
        <v>306</v>
      </c>
      <c r="B993">
        <v>429</v>
      </c>
      <c r="C993" s="2">
        <v>423.12</v>
      </c>
      <c r="D993" s="1">
        <v>43508</v>
      </c>
      <c r="E993" t="str">
        <f>"201902057085"</f>
        <v>201902057085</v>
      </c>
      <c r="F993" t="str">
        <f>"ACCT#0005/PCT#4"</f>
        <v>ACCT#0005/PCT#4</v>
      </c>
      <c r="G993" s="2">
        <v>423.12</v>
      </c>
      <c r="H993" t="str">
        <f>"ACCT#0005/PCT#4"</f>
        <v>ACCT#0005/PCT#4</v>
      </c>
    </row>
    <row r="994" spans="1:9" x14ac:dyDescent="0.25">
      <c r="A994" t="s">
        <v>307</v>
      </c>
      <c r="B994">
        <v>81159</v>
      </c>
      <c r="C994" s="2">
        <v>46</v>
      </c>
      <c r="D994" s="1">
        <v>43522</v>
      </c>
      <c r="E994" t="str">
        <f>"201902137418"</f>
        <v>201902137418</v>
      </c>
      <c r="F994" t="str">
        <f>"PO BOX #5 RENTAL/12 MNTHS/JP#2"</f>
        <v>PO BOX #5 RENTAL/12 MNTHS/JP#2</v>
      </c>
      <c r="G994" s="2">
        <v>46</v>
      </c>
      <c r="H994" t="str">
        <f>"PO BOX #5 RENTAL/12 MNTHS/JP#2"</f>
        <v>PO BOX #5 RENTAL/12 MNTHS/JP#2</v>
      </c>
    </row>
    <row r="995" spans="1:9" x14ac:dyDescent="0.25">
      <c r="A995" t="s">
        <v>308</v>
      </c>
      <c r="B995">
        <v>81160</v>
      </c>
      <c r="C995" s="2">
        <v>55</v>
      </c>
      <c r="D995" s="1">
        <v>43522</v>
      </c>
      <c r="E995" t="s">
        <v>225</v>
      </c>
      <c r="F995" t="s">
        <v>226</v>
      </c>
      <c r="G995" s="2" t="str">
        <f>"RESTITUTION-COY FERRIS"</f>
        <v>RESTITUTION-COY FERRIS</v>
      </c>
      <c r="H995" t="str">
        <f>"210-0000"</f>
        <v>210-0000</v>
      </c>
      <c r="I995" t="str">
        <f>""</f>
        <v/>
      </c>
    </row>
    <row r="996" spans="1:9" x14ac:dyDescent="0.25">
      <c r="A996" t="s">
        <v>309</v>
      </c>
      <c r="B996">
        <v>80942</v>
      </c>
      <c r="C996" s="2">
        <v>3060</v>
      </c>
      <c r="D996" s="1">
        <v>43507</v>
      </c>
      <c r="E996" t="str">
        <f>"2018139"</f>
        <v>2018139</v>
      </c>
      <c r="F996" t="str">
        <f>"TRANSPORT-B. VEGA"</f>
        <v>TRANSPORT-B. VEGA</v>
      </c>
      <c r="G996" s="2">
        <v>345</v>
      </c>
      <c r="H996" t="str">
        <f>"TRANSPORT-B. VEGA"</f>
        <v>TRANSPORT-B. VEGA</v>
      </c>
    </row>
    <row r="997" spans="1:9" x14ac:dyDescent="0.25">
      <c r="E997" t="str">
        <f>"2018140"</f>
        <v>2018140</v>
      </c>
      <c r="F997" t="str">
        <f>"TRANSPORT-J. VALDEZ"</f>
        <v>TRANSPORT-J. VALDEZ</v>
      </c>
      <c r="G997" s="2">
        <v>345</v>
      </c>
      <c r="H997" t="str">
        <f>"TRANSPORT-J. VALDEZ"</f>
        <v>TRANSPORT-J. VALDEZ</v>
      </c>
    </row>
    <row r="998" spans="1:9" x14ac:dyDescent="0.25">
      <c r="E998" t="str">
        <f>"2018141"</f>
        <v>2018141</v>
      </c>
      <c r="F998" t="str">
        <f>"TRANSPORT-A. HERNANDEZ"</f>
        <v>TRANSPORT-A. HERNANDEZ</v>
      </c>
      <c r="G998" s="2">
        <v>345</v>
      </c>
      <c r="H998" t="str">
        <f>"TRANSPORT-A. HERNANDEZ"</f>
        <v>TRANSPORT-A. HERNANDEZ</v>
      </c>
    </row>
    <row r="999" spans="1:9" x14ac:dyDescent="0.25">
      <c r="E999" t="str">
        <f>"2018142"</f>
        <v>2018142</v>
      </c>
      <c r="F999" t="str">
        <f>"TRANSPORT-C. NAVA"</f>
        <v>TRANSPORT-C. NAVA</v>
      </c>
      <c r="G999" s="2">
        <v>345</v>
      </c>
      <c r="H999" t="str">
        <f>"TRANSPORT-C. NAVA"</f>
        <v>TRANSPORT-C. NAVA</v>
      </c>
    </row>
    <row r="1000" spans="1:9" x14ac:dyDescent="0.25">
      <c r="E1000" t="str">
        <f>"2018145"</f>
        <v>2018145</v>
      </c>
      <c r="F1000" t="str">
        <f>"TRANSPORT-A. WIGANOASKI"</f>
        <v>TRANSPORT-A. WIGANOASKI</v>
      </c>
      <c r="G1000" s="2">
        <v>345</v>
      </c>
      <c r="H1000" t="str">
        <f>"TRANSPORT-A. WIGANOASKI"</f>
        <v>TRANSPORT-A. WIGANOASKI</v>
      </c>
    </row>
    <row r="1001" spans="1:9" x14ac:dyDescent="0.25">
      <c r="E1001" t="str">
        <f>"2019001"</f>
        <v>2019001</v>
      </c>
      <c r="F1001" t="str">
        <f>"TRANSPORT-L.I. LECKLITNER"</f>
        <v>TRANSPORT-L.I. LECKLITNER</v>
      </c>
      <c r="G1001" s="2">
        <v>345</v>
      </c>
      <c r="H1001" t="str">
        <f>"TRANSPORT-L.I. LECKLITNER"</f>
        <v>TRANSPORT-L.I. LECKLITNER</v>
      </c>
    </row>
    <row r="1002" spans="1:9" x14ac:dyDescent="0.25">
      <c r="E1002" t="str">
        <f>"2019009"</f>
        <v>2019009</v>
      </c>
      <c r="F1002" t="str">
        <f>"TRANSPORT-F. SAENZ"</f>
        <v>TRANSPORT-F. SAENZ</v>
      </c>
      <c r="G1002" s="2">
        <v>495</v>
      </c>
      <c r="H1002" t="str">
        <f>"TRANSPORT-F. SAENZ"</f>
        <v>TRANSPORT-F. SAENZ</v>
      </c>
    </row>
    <row r="1003" spans="1:9" x14ac:dyDescent="0.25">
      <c r="E1003" t="str">
        <f>"2019018"</f>
        <v>2019018</v>
      </c>
      <c r="F1003" t="str">
        <f>"TRANSPORT-A. REUE"</f>
        <v>TRANSPORT-A. REUE</v>
      </c>
      <c r="G1003" s="2">
        <v>495</v>
      </c>
      <c r="H1003" t="str">
        <f>"TRANSPORT-A. REUE"</f>
        <v>TRANSPORT-A. REUE</v>
      </c>
    </row>
    <row r="1004" spans="1:9" x14ac:dyDescent="0.25">
      <c r="A1004" t="s">
        <v>310</v>
      </c>
      <c r="B1004">
        <v>454</v>
      </c>
      <c r="C1004" s="2">
        <v>541.53</v>
      </c>
      <c r="D1004" s="1">
        <v>43508</v>
      </c>
      <c r="E1004" t="str">
        <f>"170784"</f>
        <v>170784</v>
      </c>
      <c r="F1004" t="str">
        <f>"INV 170784"</f>
        <v>INV 170784</v>
      </c>
      <c r="G1004" s="2">
        <v>541.53</v>
      </c>
      <c r="H1004" t="str">
        <f>"INV 170784"</f>
        <v>INV 170784</v>
      </c>
    </row>
    <row r="1005" spans="1:9" x14ac:dyDescent="0.25">
      <c r="A1005" t="s">
        <v>311</v>
      </c>
      <c r="B1005">
        <v>81161</v>
      </c>
      <c r="C1005" s="2">
        <v>325</v>
      </c>
      <c r="D1005" s="1">
        <v>43522</v>
      </c>
      <c r="E1005" t="str">
        <f>"201902227517"</f>
        <v>201902227517</v>
      </c>
      <c r="F1005" t="str">
        <f>"TRAINING"</f>
        <v>TRAINING</v>
      </c>
      <c r="G1005" s="2">
        <v>325</v>
      </c>
    </row>
    <row r="1006" spans="1:9" x14ac:dyDescent="0.25">
      <c r="A1006" t="s">
        <v>312</v>
      </c>
      <c r="B1006">
        <v>80943</v>
      </c>
      <c r="C1006" s="2">
        <v>3975</v>
      </c>
      <c r="D1006" s="1">
        <v>43507</v>
      </c>
      <c r="E1006" t="str">
        <f>"8808"</f>
        <v>8808</v>
      </c>
      <c r="F1006" t="str">
        <f>"INv# 8808"</f>
        <v>INv# 8808</v>
      </c>
      <c r="G1006" s="2">
        <v>3975</v>
      </c>
      <c r="H1006" t="str">
        <f>"Payment"</f>
        <v>Payment</v>
      </c>
    </row>
    <row r="1007" spans="1:9" x14ac:dyDescent="0.25">
      <c r="A1007" t="s">
        <v>313</v>
      </c>
      <c r="B1007">
        <v>430</v>
      </c>
      <c r="C1007" s="2">
        <v>759.6</v>
      </c>
      <c r="D1007" s="1">
        <v>43508</v>
      </c>
      <c r="E1007" t="str">
        <f>"008917"</f>
        <v>008917</v>
      </c>
      <c r="F1007" t="str">
        <f>"BLUE/AMBER STROBES/PCT#3"</f>
        <v>BLUE/AMBER STROBES/PCT#3</v>
      </c>
      <c r="G1007" s="2">
        <v>759.6</v>
      </c>
      <c r="H1007" t="str">
        <f>"BLUE/AMBER STROBES/PCT#3"</f>
        <v>BLUE/AMBER STROBES/PCT#3</v>
      </c>
    </row>
    <row r="1008" spans="1:9" x14ac:dyDescent="0.25">
      <c r="A1008" t="s">
        <v>314</v>
      </c>
      <c r="B1008">
        <v>80944</v>
      </c>
      <c r="C1008" s="2">
        <v>333.39</v>
      </c>
      <c r="D1008" s="1">
        <v>43507</v>
      </c>
      <c r="E1008" t="str">
        <f>"201901316965"</f>
        <v>201901316965</v>
      </c>
      <c r="F1008" t="str">
        <f>"PER DIEM/HOTEL"</f>
        <v>PER DIEM/HOTEL</v>
      </c>
      <c r="G1008" s="2">
        <v>333.39</v>
      </c>
      <c r="H1008" t="str">
        <f>"PER DIEM/HOTEL"</f>
        <v>PER DIEM/HOTEL</v>
      </c>
    </row>
    <row r="1009" spans="1:8" x14ac:dyDescent="0.25">
      <c r="A1009" t="s">
        <v>315</v>
      </c>
      <c r="B1009">
        <v>80945</v>
      </c>
      <c r="C1009" s="2">
        <v>311779</v>
      </c>
      <c r="D1009" s="1">
        <v>43507</v>
      </c>
      <c r="E1009" t="str">
        <f>"1117265"</f>
        <v>1117265</v>
      </c>
      <c r="F1009" t="str">
        <f>"New 2019 JOhn Deer 670G"</f>
        <v>New 2019 JOhn Deer 670G</v>
      </c>
      <c r="G1009" s="2">
        <v>225429</v>
      </c>
      <c r="H1009" t="str">
        <f>"payment"</f>
        <v>payment</v>
      </c>
    </row>
    <row r="1010" spans="1:8" x14ac:dyDescent="0.25">
      <c r="E1010" t="str">
        <f>"953561"</f>
        <v>953561</v>
      </c>
      <c r="F1010" t="str">
        <f>"2017 Sakai SV540D"</f>
        <v>2017 Sakai SV540D</v>
      </c>
      <c r="G1010" s="2">
        <v>86350</v>
      </c>
      <c r="H1010" t="str">
        <f>"payment"</f>
        <v>payment</v>
      </c>
    </row>
    <row r="1011" spans="1:8" x14ac:dyDescent="0.25">
      <c r="A1011" t="s">
        <v>316</v>
      </c>
      <c r="B1011">
        <v>473</v>
      </c>
      <c r="C1011" s="2">
        <v>103.76</v>
      </c>
      <c r="D1011" s="1">
        <v>43523</v>
      </c>
      <c r="E1011" t="str">
        <f>"19B0121569859"</f>
        <v>19B0121569859</v>
      </c>
      <c r="F1011" t="str">
        <f>"ACCT#0121569859/JP#4"</f>
        <v>ACCT#0121569859/JP#4</v>
      </c>
      <c r="G1011" s="2">
        <v>73.84</v>
      </c>
      <c r="H1011" t="str">
        <f>"ACCT#0121569859/JP#4"</f>
        <v>ACCT#0121569859/JP#4</v>
      </c>
    </row>
    <row r="1012" spans="1:8" x14ac:dyDescent="0.25">
      <c r="E1012" t="str">
        <f>"19B0121587851"</f>
        <v>19B0121587851</v>
      </c>
      <c r="F1012" t="str">
        <f>"ACCT#0121587851/PCT#4"</f>
        <v>ACCT#0121587851/PCT#4</v>
      </c>
      <c r="G1012" s="2">
        <v>29.92</v>
      </c>
      <c r="H1012" t="str">
        <f>"ACCT#0121587851/PCT#4"</f>
        <v>ACCT#0121587851/PCT#4</v>
      </c>
    </row>
    <row r="1013" spans="1:8" x14ac:dyDescent="0.25">
      <c r="A1013" t="s">
        <v>317</v>
      </c>
      <c r="B1013">
        <v>81162</v>
      </c>
      <c r="C1013" s="2">
        <v>244.99</v>
      </c>
      <c r="D1013" s="1">
        <v>43522</v>
      </c>
      <c r="E1013" t="str">
        <f>"0794-42"</f>
        <v>0794-42</v>
      </c>
      <c r="F1013" t="str">
        <f>"SUPPLIES/PCT#3"</f>
        <v>SUPPLIES/PCT#3</v>
      </c>
      <c r="G1013" s="2">
        <v>244.99</v>
      </c>
      <c r="H1013" t="str">
        <f>"SUPPLIES/PCT#3"</f>
        <v>SUPPLIES/PCT#3</v>
      </c>
    </row>
    <row r="1014" spans="1:8" x14ac:dyDescent="0.25">
      <c r="A1014" t="s">
        <v>318</v>
      </c>
      <c r="B1014">
        <v>81163</v>
      </c>
      <c r="C1014" s="2">
        <v>2764.78</v>
      </c>
      <c r="D1014" s="1">
        <v>43522</v>
      </c>
      <c r="E1014" t="str">
        <f>"201902137423"</f>
        <v>201902137423</v>
      </c>
      <c r="F1014" t="str">
        <f>"ACCT#19610"</f>
        <v>ACCT#19610</v>
      </c>
      <c r="G1014" s="2">
        <v>943.72</v>
      </c>
      <c r="H1014" t="str">
        <f>"ACCT#19610"</f>
        <v>ACCT#19610</v>
      </c>
    </row>
    <row r="1015" spans="1:8" x14ac:dyDescent="0.25">
      <c r="E1015" t="str">
        <f>"201902137430"</f>
        <v>201902137430</v>
      </c>
      <c r="F1015" t="str">
        <f>"ACCT#19610/PCT#3"</f>
        <v>ACCT#19610/PCT#3</v>
      </c>
      <c r="G1015" s="2">
        <v>1821.06</v>
      </c>
      <c r="H1015" t="str">
        <f>"ACCT#19610/PCT#3"</f>
        <v>ACCT#19610/PCT#3</v>
      </c>
    </row>
    <row r="1016" spans="1:8" x14ac:dyDescent="0.25">
      <c r="A1016" t="s">
        <v>319</v>
      </c>
      <c r="B1016">
        <v>81164</v>
      </c>
      <c r="C1016" s="2">
        <v>1221.1500000000001</v>
      </c>
      <c r="D1016" s="1">
        <v>43522</v>
      </c>
      <c r="E1016" t="str">
        <f>"00000012593"</f>
        <v>00000012593</v>
      </c>
      <c r="F1016" t="str">
        <f>"TRUCK PM SVC/REPAIR AIR LINE"</f>
        <v>TRUCK PM SVC/REPAIR AIR LINE</v>
      </c>
      <c r="G1016" s="2">
        <v>-50</v>
      </c>
      <c r="H1016" t="str">
        <f>"TRUCK PM SVC/REPAIR AIR LINE"</f>
        <v>TRUCK PM SVC/REPAIR AIR LINE</v>
      </c>
    </row>
    <row r="1017" spans="1:8" x14ac:dyDescent="0.25">
      <c r="E1017" t="str">
        <f>"0000011505"</f>
        <v>0000011505</v>
      </c>
      <c r="F1017" t="str">
        <f>"WK ORD#0000012556/PCT#4"</f>
        <v>WK ORD#0000012556/PCT#4</v>
      </c>
      <c r="G1017" s="2">
        <v>819.15</v>
      </c>
      <c r="H1017" t="str">
        <f>"WK ORD#0000012556/PCT#4"</f>
        <v>WK ORD#0000012556/PCT#4</v>
      </c>
    </row>
    <row r="1018" spans="1:8" x14ac:dyDescent="0.25">
      <c r="E1018" t="str">
        <f>"0000011506"</f>
        <v>0000011506</v>
      </c>
      <c r="F1018" t="str">
        <f>"WORK ORD#000012557/PCT#4"</f>
        <v>WORK ORD#000012557/PCT#4</v>
      </c>
      <c r="G1018" s="2">
        <v>452</v>
      </c>
      <c r="H1018" t="str">
        <f>"WORK ORD#000012557/PCT#4"</f>
        <v>WORK ORD#000012557/PCT#4</v>
      </c>
    </row>
    <row r="1019" spans="1:8" x14ac:dyDescent="0.25">
      <c r="A1019" t="s">
        <v>320</v>
      </c>
      <c r="B1019">
        <v>81165</v>
      </c>
      <c r="C1019" s="2">
        <v>9000</v>
      </c>
      <c r="D1019" s="1">
        <v>43522</v>
      </c>
      <c r="E1019" t="str">
        <f>"201902137419"</f>
        <v>201902137419</v>
      </c>
      <c r="F1019" t="str">
        <f>"ACCT#34549337"</f>
        <v>ACCT#34549337</v>
      </c>
      <c r="G1019" s="2">
        <v>9000</v>
      </c>
      <c r="H1019" t="str">
        <f>"ACCT#34549337"</f>
        <v>ACCT#34549337</v>
      </c>
    </row>
    <row r="1020" spans="1:8" x14ac:dyDescent="0.25">
      <c r="A1020" t="s">
        <v>321</v>
      </c>
      <c r="B1020">
        <v>510</v>
      </c>
      <c r="C1020" s="2">
        <v>250</v>
      </c>
      <c r="D1020" s="1">
        <v>43523</v>
      </c>
      <c r="E1020" t="str">
        <f>"201902127377"</f>
        <v>201902127377</v>
      </c>
      <c r="F1020" t="str">
        <f>"304042018E  56 397"</f>
        <v>304042018E  56 397</v>
      </c>
      <c r="G1020" s="2">
        <v>250</v>
      </c>
      <c r="H1020" t="str">
        <f>"304042018E  56 397"</f>
        <v>304042018E  56 397</v>
      </c>
    </row>
    <row r="1021" spans="1:8" x14ac:dyDescent="0.25">
      <c r="A1021" t="s">
        <v>322</v>
      </c>
      <c r="B1021">
        <v>81166</v>
      </c>
      <c r="C1021" s="2">
        <v>1300</v>
      </c>
      <c r="D1021" s="1">
        <v>43522</v>
      </c>
      <c r="E1021" t="str">
        <f>"201902127361"</f>
        <v>201902127361</v>
      </c>
      <c r="F1021" t="str">
        <f>"16 449"</f>
        <v>16 449</v>
      </c>
      <c r="G1021" s="2">
        <v>1300</v>
      </c>
      <c r="H1021" t="str">
        <f>"16 449"</f>
        <v>16 449</v>
      </c>
    </row>
    <row r="1022" spans="1:8" x14ac:dyDescent="0.25">
      <c r="A1022" t="s">
        <v>323</v>
      </c>
      <c r="B1022">
        <v>80946</v>
      </c>
      <c r="C1022" s="2">
        <v>80</v>
      </c>
      <c r="D1022" s="1">
        <v>43507</v>
      </c>
      <c r="E1022" t="str">
        <f>"201902067185"</f>
        <v>201902067185</v>
      </c>
      <c r="F1022" t="str">
        <f>"FERAL HOGS"</f>
        <v>FERAL HOGS</v>
      </c>
      <c r="G1022" s="2">
        <v>80</v>
      </c>
      <c r="H1022" t="str">
        <f>"FERAL HOGS"</f>
        <v>FERAL HOGS</v>
      </c>
    </row>
    <row r="1023" spans="1:8" x14ac:dyDescent="0.25">
      <c r="A1023" t="s">
        <v>324</v>
      </c>
      <c r="B1023">
        <v>475</v>
      </c>
      <c r="C1023" s="2">
        <v>455.03</v>
      </c>
      <c r="D1023" s="1">
        <v>43523</v>
      </c>
      <c r="E1023" t="str">
        <f>"1079861186"</f>
        <v>1079861186</v>
      </c>
      <c r="F1023" t="str">
        <f>"inv# 1079861186"</f>
        <v>inv# 1079861186</v>
      </c>
      <c r="G1023" s="2">
        <v>455.03</v>
      </c>
      <c r="H1023" t="str">
        <f>"inv# 1079861186"</f>
        <v>inv# 1079861186</v>
      </c>
    </row>
    <row r="1024" spans="1:8" x14ac:dyDescent="0.25">
      <c r="A1024" t="s">
        <v>325</v>
      </c>
      <c r="B1024">
        <v>81167</v>
      </c>
      <c r="C1024" s="2">
        <v>7531.36</v>
      </c>
      <c r="D1024" s="1">
        <v>43522</v>
      </c>
      <c r="E1024" t="str">
        <f>"33011844"</f>
        <v>33011844</v>
      </c>
      <c r="F1024" t="str">
        <f>"CUST#2000172616"</f>
        <v>CUST#2000172616</v>
      </c>
      <c r="G1024" s="2">
        <v>7531.36</v>
      </c>
      <c r="H1024" t="str">
        <f t="shared" ref="H1024:H1051" si="13">"CUST#2000172616"</f>
        <v>CUST#2000172616</v>
      </c>
    </row>
    <row r="1025" spans="5:8" x14ac:dyDescent="0.25">
      <c r="E1025" t="str">
        <f>""</f>
        <v/>
      </c>
      <c r="F1025" t="str">
        <f>""</f>
        <v/>
      </c>
      <c r="H1025" t="str">
        <f t="shared" si="13"/>
        <v>CUST#2000172616</v>
      </c>
    </row>
    <row r="1026" spans="5:8" x14ac:dyDescent="0.25">
      <c r="E1026" t="str">
        <f>""</f>
        <v/>
      </c>
      <c r="F1026" t="str">
        <f>""</f>
        <v/>
      </c>
      <c r="H1026" t="str">
        <f t="shared" si="13"/>
        <v>CUST#2000172616</v>
      </c>
    </row>
    <row r="1027" spans="5:8" x14ac:dyDescent="0.25">
      <c r="E1027" t="str">
        <f>""</f>
        <v/>
      </c>
      <c r="F1027" t="str">
        <f>""</f>
        <v/>
      </c>
      <c r="H1027" t="str">
        <f t="shared" si="13"/>
        <v>CUST#2000172616</v>
      </c>
    </row>
    <row r="1028" spans="5:8" x14ac:dyDescent="0.25">
      <c r="E1028" t="str">
        <f>""</f>
        <v/>
      </c>
      <c r="F1028" t="str">
        <f>""</f>
        <v/>
      </c>
      <c r="H1028" t="str">
        <f t="shared" si="13"/>
        <v>CUST#2000172616</v>
      </c>
    </row>
    <row r="1029" spans="5:8" x14ac:dyDescent="0.25">
      <c r="E1029" t="str">
        <f>""</f>
        <v/>
      </c>
      <c r="F1029" t="str">
        <f>""</f>
        <v/>
      </c>
      <c r="H1029" t="str">
        <f t="shared" si="13"/>
        <v>CUST#2000172616</v>
      </c>
    </row>
    <row r="1030" spans="5:8" x14ac:dyDescent="0.25">
      <c r="E1030" t="str">
        <f>""</f>
        <v/>
      </c>
      <c r="F1030" t="str">
        <f>""</f>
        <v/>
      </c>
      <c r="H1030" t="str">
        <f t="shared" si="13"/>
        <v>CUST#2000172616</v>
      </c>
    </row>
    <row r="1031" spans="5:8" x14ac:dyDescent="0.25">
      <c r="E1031" t="str">
        <f>""</f>
        <v/>
      </c>
      <c r="F1031" t="str">
        <f>""</f>
        <v/>
      </c>
      <c r="H1031" t="str">
        <f t="shared" si="13"/>
        <v>CUST#2000172616</v>
      </c>
    </row>
    <row r="1032" spans="5:8" x14ac:dyDescent="0.25">
      <c r="E1032" t="str">
        <f>""</f>
        <v/>
      </c>
      <c r="F1032" t="str">
        <f>""</f>
        <v/>
      </c>
      <c r="H1032" t="str">
        <f t="shared" si="13"/>
        <v>CUST#2000172616</v>
      </c>
    </row>
    <row r="1033" spans="5:8" x14ac:dyDescent="0.25">
      <c r="E1033" t="str">
        <f>""</f>
        <v/>
      </c>
      <c r="F1033" t="str">
        <f>""</f>
        <v/>
      </c>
      <c r="H1033" t="str">
        <f t="shared" si="13"/>
        <v>CUST#2000172616</v>
      </c>
    </row>
    <row r="1034" spans="5:8" x14ac:dyDescent="0.25">
      <c r="E1034" t="str">
        <f>""</f>
        <v/>
      </c>
      <c r="F1034" t="str">
        <f>""</f>
        <v/>
      </c>
      <c r="H1034" t="str">
        <f t="shared" si="13"/>
        <v>CUST#2000172616</v>
      </c>
    </row>
    <row r="1035" spans="5:8" x14ac:dyDescent="0.25">
      <c r="E1035" t="str">
        <f>""</f>
        <v/>
      </c>
      <c r="F1035" t="str">
        <f>""</f>
        <v/>
      </c>
      <c r="H1035" t="str">
        <f t="shared" si="13"/>
        <v>CUST#2000172616</v>
      </c>
    </row>
    <row r="1036" spans="5:8" x14ac:dyDescent="0.25">
      <c r="E1036" t="str">
        <f>""</f>
        <v/>
      </c>
      <c r="F1036" t="str">
        <f>""</f>
        <v/>
      </c>
      <c r="H1036" t="str">
        <f t="shared" si="13"/>
        <v>CUST#2000172616</v>
      </c>
    </row>
    <row r="1037" spans="5:8" x14ac:dyDescent="0.25">
      <c r="E1037" t="str">
        <f>""</f>
        <v/>
      </c>
      <c r="F1037" t="str">
        <f>""</f>
        <v/>
      </c>
      <c r="H1037" t="str">
        <f t="shared" si="13"/>
        <v>CUST#2000172616</v>
      </c>
    </row>
    <row r="1038" spans="5:8" x14ac:dyDescent="0.25">
      <c r="E1038" t="str">
        <f>""</f>
        <v/>
      </c>
      <c r="F1038" t="str">
        <f>""</f>
        <v/>
      </c>
      <c r="H1038" t="str">
        <f t="shared" si="13"/>
        <v>CUST#2000172616</v>
      </c>
    </row>
    <row r="1039" spans="5:8" x14ac:dyDescent="0.25">
      <c r="E1039" t="str">
        <f>""</f>
        <v/>
      </c>
      <c r="F1039" t="str">
        <f>""</f>
        <v/>
      </c>
      <c r="H1039" t="str">
        <f t="shared" si="13"/>
        <v>CUST#2000172616</v>
      </c>
    </row>
    <row r="1040" spans="5:8" x14ac:dyDescent="0.25">
      <c r="E1040" t="str">
        <f>""</f>
        <v/>
      </c>
      <c r="F1040" t="str">
        <f>""</f>
        <v/>
      </c>
      <c r="H1040" t="str">
        <f t="shared" si="13"/>
        <v>CUST#2000172616</v>
      </c>
    </row>
    <row r="1041" spans="1:8" x14ac:dyDescent="0.25">
      <c r="E1041" t="str">
        <f>""</f>
        <v/>
      </c>
      <c r="F1041" t="str">
        <f>""</f>
        <v/>
      </c>
      <c r="H1041" t="str">
        <f t="shared" si="13"/>
        <v>CUST#2000172616</v>
      </c>
    </row>
    <row r="1042" spans="1:8" x14ac:dyDescent="0.25">
      <c r="E1042" t="str">
        <f>""</f>
        <v/>
      </c>
      <c r="F1042" t="str">
        <f>""</f>
        <v/>
      </c>
      <c r="H1042" t="str">
        <f t="shared" si="13"/>
        <v>CUST#2000172616</v>
      </c>
    </row>
    <row r="1043" spans="1:8" x14ac:dyDescent="0.25">
      <c r="E1043" t="str">
        <f>""</f>
        <v/>
      </c>
      <c r="F1043" t="str">
        <f>""</f>
        <v/>
      </c>
      <c r="H1043" t="str">
        <f t="shared" si="13"/>
        <v>CUST#2000172616</v>
      </c>
    </row>
    <row r="1044" spans="1:8" x14ac:dyDescent="0.25">
      <c r="E1044" t="str">
        <f>""</f>
        <v/>
      </c>
      <c r="F1044" t="str">
        <f>""</f>
        <v/>
      </c>
      <c r="H1044" t="str">
        <f t="shared" si="13"/>
        <v>CUST#2000172616</v>
      </c>
    </row>
    <row r="1045" spans="1:8" x14ac:dyDescent="0.25">
      <c r="E1045" t="str">
        <f>""</f>
        <v/>
      </c>
      <c r="F1045" t="str">
        <f>""</f>
        <v/>
      </c>
      <c r="H1045" t="str">
        <f t="shared" si="13"/>
        <v>CUST#2000172616</v>
      </c>
    </row>
    <row r="1046" spans="1:8" x14ac:dyDescent="0.25">
      <c r="E1046" t="str">
        <f>""</f>
        <v/>
      </c>
      <c r="F1046" t="str">
        <f>""</f>
        <v/>
      </c>
      <c r="H1046" t="str">
        <f t="shared" si="13"/>
        <v>CUST#2000172616</v>
      </c>
    </row>
    <row r="1047" spans="1:8" x14ac:dyDescent="0.25">
      <c r="E1047" t="str">
        <f>""</f>
        <v/>
      </c>
      <c r="F1047" t="str">
        <f>""</f>
        <v/>
      </c>
      <c r="H1047" t="str">
        <f t="shared" si="13"/>
        <v>CUST#2000172616</v>
      </c>
    </row>
    <row r="1048" spans="1:8" x14ac:dyDescent="0.25">
      <c r="E1048" t="str">
        <f>""</f>
        <v/>
      </c>
      <c r="F1048" t="str">
        <f>""</f>
        <v/>
      </c>
      <c r="H1048" t="str">
        <f t="shared" si="13"/>
        <v>CUST#2000172616</v>
      </c>
    </row>
    <row r="1049" spans="1:8" x14ac:dyDescent="0.25">
      <c r="E1049" t="str">
        <f>""</f>
        <v/>
      </c>
      <c r="F1049" t="str">
        <f>""</f>
        <v/>
      </c>
      <c r="H1049" t="str">
        <f t="shared" si="13"/>
        <v>CUST#2000172616</v>
      </c>
    </row>
    <row r="1050" spans="1:8" x14ac:dyDescent="0.25">
      <c r="E1050" t="str">
        <f>""</f>
        <v/>
      </c>
      <c r="F1050" t="str">
        <f>""</f>
        <v/>
      </c>
      <c r="H1050" t="str">
        <f t="shared" si="13"/>
        <v>CUST#2000172616</v>
      </c>
    </row>
    <row r="1051" spans="1:8" x14ac:dyDescent="0.25">
      <c r="E1051" t="str">
        <f>""</f>
        <v/>
      </c>
      <c r="F1051" t="str">
        <f>""</f>
        <v/>
      </c>
      <c r="H1051" t="str">
        <f t="shared" si="13"/>
        <v>CUST#2000172616</v>
      </c>
    </row>
    <row r="1052" spans="1:8" x14ac:dyDescent="0.25">
      <c r="A1052" t="s">
        <v>326</v>
      </c>
      <c r="B1052">
        <v>407</v>
      </c>
      <c r="C1052" s="2">
        <v>300</v>
      </c>
      <c r="D1052" s="1">
        <v>43508</v>
      </c>
      <c r="E1052" t="str">
        <f>"W012604"</f>
        <v>W012604</v>
      </c>
      <c r="F1052" t="str">
        <f>"GLASS INSTALLATION/PCT#3"</f>
        <v>GLASS INSTALLATION/PCT#3</v>
      </c>
      <c r="G1052" s="2">
        <v>300</v>
      </c>
      <c r="H1052" t="str">
        <f>"GLASS INSTALLATION/PCT#3"</f>
        <v>GLASS INSTALLATION/PCT#3</v>
      </c>
    </row>
    <row r="1053" spans="1:8" x14ac:dyDescent="0.25">
      <c r="A1053" t="s">
        <v>326</v>
      </c>
      <c r="B1053">
        <v>471</v>
      </c>
      <c r="C1053" s="2">
        <v>429.5</v>
      </c>
      <c r="D1053" s="1">
        <v>43523</v>
      </c>
      <c r="E1053" t="str">
        <f>"W012643"</f>
        <v>W012643</v>
      </c>
      <c r="F1053" t="str">
        <f>"INV W012643 UNIT 0127"</f>
        <v>INV W012643 UNIT 0127</v>
      </c>
      <c r="G1053" s="2">
        <v>429.5</v>
      </c>
      <c r="H1053" t="str">
        <f>"INV W012643 UNIT 0127"</f>
        <v>INV W012643 UNIT 0127</v>
      </c>
    </row>
    <row r="1054" spans="1:8" x14ac:dyDescent="0.25">
      <c r="A1054" t="s">
        <v>327</v>
      </c>
      <c r="B1054">
        <v>489</v>
      </c>
      <c r="C1054" s="2">
        <v>700</v>
      </c>
      <c r="D1054" s="1">
        <v>43523</v>
      </c>
      <c r="E1054" t="str">
        <f>"BCSOJAN2019"</f>
        <v>BCSOJAN2019</v>
      </c>
      <c r="F1054" t="str">
        <f>"INV BCSOJAN2019"</f>
        <v>INV BCSOJAN2019</v>
      </c>
      <c r="G1054" s="2">
        <v>700</v>
      </c>
      <c r="H1054" t="str">
        <f>"INV BCSOJAN2019"</f>
        <v>INV BCSOJAN2019</v>
      </c>
    </row>
    <row r="1055" spans="1:8" x14ac:dyDescent="0.25">
      <c r="A1055" t="s">
        <v>328</v>
      </c>
      <c r="B1055">
        <v>80947</v>
      </c>
      <c r="C1055" s="2">
        <v>40</v>
      </c>
      <c r="D1055" s="1">
        <v>43507</v>
      </c>
      <c r="E1055" t="str">
        <f>"201902067163"</f>
        <v>201902067163</v>
      </c>
      <c r="F1055" t="str">
        <f>"FERAL HOGS"</f>
        <v>FERAL HOGS</v>
      </c>
      <c r="G1055" s="2">
        <v>30</v>
      </c>
      <c r="H1055" t="str">
        <f>"FERAL HOGS"</f>
        <v>FERAL HOGS</v>
      </c>
    </row>
    <row r="1056" spans="1:8" x14ac:dyDescent="0.25">
      <c r="E1056" t="str">
        <f>"201902067164"</f>
        <v>201902067164</v>
      </c>
      <c r="F1056" t="str">
        <f>"FERAL HOGS"</f>
        <v>FERAL HOGS</v>
      </c>
      <c r="G1056" s="2">
        <v>10</v>
      </c>
      <c r="H1056" t="str">
        <f>"FERAL HOGS"</f>
        <v>FERAL HOGS</v>
      </c>
    </row>
    <row r="1057" spans="1:8" x14ac:dyDescent="0.25">
      <c r="A1057" t="s">
        <v>329</v>
      </c>
      <c r="B1057">
        <v>81168</v>
      </c>
      <c r="C1057" s="2">
        <v>143.69</v>
      </c>
      <c r="D1057" s="1">
        <v>43522</v>
      </c>
      <c r="E1057" t="str">
        <f>"4528424"</f>
        <v>4528424</v>
      </c>
      <c r="F1057" t="str">
        <f>"CUST ID:90564/GENERAL SVC"</f>
        <v>CUST ID:90564/GENERAL SVC</v>
      </c>
      <c r="G1057" s="2">
        <v>103.9</v>
      </c>
      <c r="H1057" t="str">
        <f>"CUST ID:90564/GENERAL SVC"</f>
        <v>CUST ID:90564/GENERAL SVC</v>
      </c>
    </row>
    <row r="1058" spans="1:8" x14ac:dyDescent="0.25">
      <c r="E1058" t="str">
        <f>"4534905"</f>
        <v>4534905</v>
      </c>
      <c r="F1058" t="str">
        <f>"CUST#90564/ORD#2525906"</f>
        <v>CUST#90564/ORD#2525906</v>
      </c>
      <c r="G1058" s="2">
        <v>39.79</v>
      </c>
      <c r="H1058" t="str">
        <f>"CUST#90564/ORD#2525906"</f>
        <v>CUST#90564/ORD#2525906</v>
      </c>
    </row>
    <row r="1059" spans="1:8" x14ac:dyDescent="0.25">
      <c r="A1059" t="s">
        <v>330</v>
      </c>
      <c r="B1059">
        <v>81169</v>
      </c>
      <c r="C1059" s="2">
        <v>89</v>
      </c>
      <c r="D1059" s="1">
        <v>43522</v>
      </c>
      <c r="E1059" t="str">
        <f>"190214-1"</f>
        <v>190214-1</v>
      </c>
      <c r="F1059" t="str">
        <f>"PRINTING - TSHIRTS"</f>
        <v>PRINTING - TSHIRTS</v>
      </c>
      <c r="G1059" s="2">
        <v>89</v>
      </c>
      <c r="H1059" t="str">
        <f>"PRINTING - TSHIRTS"</f>
        <v>PRINTING - TSHIRTS</v>
      </c>
    </row>
    <row r="1060" spans="1:8" x14ac:dyDescent="0.25">
      <c r="A1060" t="s">
        <v>331</v>
      </c>
      <c r="B1060">
        <v>80948</v>
      </c>
      <c r="C1060" s="2">
        <v>20</v>
      </c>
      <c r="D1060" s="1">
        <v>43507</v>
      </c>
      <c r="E1060" t="str">
        <f>"201902067186"</f>
        <v>201902067186</v>
      </c>
      <c r="F1060" t="str">
        <f>"FERAL HOGS"</f>
        <v>FERAL HOGS</v>
      </c>
      <c r="G1060" s="2">
        <v>20</v>
      </c>
      <c r="H1060" t="str">
        <f>"FERAL HOGS"</f>
        <v>FERAL HOGS</v>
      </c>
    </row>
    <row r="1061" spans="1:8" x14ac:dyDescent="0.25">
      <c r="A1061" t="s">
        <v>332</v>
      </c>
      <c r="B1061">
        <v>80949</v>
      </c>
      <c r="C1061" s="2">
        <v>235.05</v>
      </c>
      <c r="D1061" s="1">
        <v>43507</v>
      </c>
      <c r="E1061" t="str">
        <f>"201902016969"</f>
        <v>201902016969</v>
      </c>
      <c r="F1061" t="str">
        <f>"REIMBURSE HOTEL"</f>
        <v>REIMBURSE HOTEL</v>
      </c>
      <c r="G1061" s="2">
        <v>235.05</v>
      </c>
      <c r="H1061" t="str">
        <f>"REIMBURSE HOTEL"</f>
        <v>REIMBURSE HOTEL</v>
      </c>
    </row>
    <row r="1062" spans="1:8" x14ac:dyDescent="0.25">
      <c r="A1062" t="s">
        <v>333</v>
      </c>
      <c r="B1062">
        <v>80950</v>
      </c>
      <c r="C1062" s="2">
        <v>66</v>
      </c>
      <c r="D1062" s="1">
        <v>43507</v>
      </c>
      <c r="E1062" t="str">
        <f>"201902057100"</f>
        <v>201902057100</v>
      </c>
      <c r="F1062" t="str">
        <f>"LPHCP RECORDING FEES"</f>
        <v>LPHCP RECORDING FEES</v>
      </c>
      <c r="G1062" s="2">
        <v>66</v>
      </c>
      <c r="H1062" t="str">
        <f>"LPHCP RECORDING FEES"</f>
        <v>LPHCP RECORDING FEES</v>
      </c>
    </row>
    <row r="1063" spans="1:8" x14ac:dyDescent="0.25">
      <c r="A1063" t="s">
        <v>333</v>
      </c>
      <c r="B1063">
        <v>80951</v>
      </c>
      <c r="C1063" s="2">
        <v>183</v>
      </c>
      <c r="D1063" s="1">
        <v>43507</v>
      </c>
      <c r="E1063" t="str">
        <f>"201902067199"</f>
        <v>201902067199</v>
      </c>
      <c r="F1063" t="str">
        <f>"DEVELOPMENT SVCS RECORDING FEE"</f>
        <v>DEVELOPMENT SVCS RECORDING FEE</v>
      </c>
      <c r="G1063" s="2">
        <v>183</v>
      </c>
      <c r="H1063" t="str">
        <f>"DEVELOPMENT SVCS RECORDING FEE"</f>
        <v>DEVELOPMENT SVCS RECORDING FEE</v>
      </c>
    </row>
    <row r="1064" spans="1:8" x14ac:dyDescent="0.25">
      <c r="A1064" t="s">
        <v>333</v>
      </c>
      <c r="B1064">
        <v>81170</v>
      </c>
      <c r="C1064" s="2">
        <v>252</v>
      </c>
      <c r="D1064" s="1">
        <v>43522</v>
      </c>
      <c r="E1064" t="str">
        <f>"201902227488"</f>
        <v>201902227488</v>
      </c>
      <c r="F1064" t="str">
        <f>"LPHCP RECORDING FEES"</f>
        <v>LPHCP RECORDING FEES</v>
      </c>
      <c r="G1064" s="2">
        <v>252</v>
      </c>
      <c r="H1064" t="str">
        <f>"LPHCP RECORDING FEES"</f>
        <v>LPHCP RECORDING FEES</v>
      </c>
    </row>
    <row r="1065" spans="1:8" x14ac:dyDescent="0.25">
      <c r="A1065" t="s">
        <v>333</v>
      </c>
      <c r="B1065">
        <v>81171</v>
      </c>
      <c r="C1065" s="2">
        <v>244</v>
      </c>
      <c r="D1065" s="1">
        <v>43522</v>
      </c>
      <c r="E1065" t="str">
        <f>"201902227489"</f>
        <v>201902227489</v>
      </c>
      <c r="F1065" t="str">
        <f>"DEVELOPMENT SVCS RECORDING FEE"</f>
        <v>DEVELOPMENT SVCS RECORDING FEE</v>
      </c>
      <c r="G1065" s="2">
        <v>244</v>
      </c>
      <c r="H1065" t="str">
        <f>"DEVELOPMENT SVCS RECORDING FEE"</f>
        <v>DEVELOPMENT SVCS RECORDING FEE</v>
      </c>
    </row>
    <row r="1066" spans="1:8" x14ac:dyDescent="0.25">
      <c r="A1066" t="s">
        <v>334</v>
      </c>
      <c r="B1066">
        <v>80952</v>
      </c>
      <c r="C1066" s="2">
        <v>5</v>
      </c>
      <c r="D1066" s="1">
        <v>43507</v>
      </c>
      <c r="E1066" t="str">
        <f>"201902067187"</f>
        <v>201902067187</v>
      </c>
      <c r="F1066" t="str">
        <f>"FERAL HOGS"</f>
        <v>FERAL HOGS</v>
      </c>
      <c r="G1066" s="2">
        <v>5</v>
      </c>
      <c r="H1066" t="str">
        <f>"FERAL HOGS"</f>
        <v>FERAL HOGS</v>
      </c>
    </row>
    <row r="1067" spans="1:8" x14ac:dyDescent="0.25">
      <c r="A1067" t="s">
        <v>335</v>
      </c>
      <c r="B1067">
        <v>80953</v>
      </c>
      <c r="C1067" s="2">
        <v>50</v>
      </c>
      <c r="D1067" s="1">
        <v>43507</v>
      </c>
      <c r="E1067" t="str">
        <f>"201902067188"</f>
        <v>201902067188</v>
      </c>
      <c r="F1067" t="str">
        <f>"FERAL HOGS"</f>
        <v>FERAL HOGS</v>
      </c>
      <c r="G1067" s="2">
        <v>50</v>
      </c>
      <c r="H1067" t="str">
        <f>"FERAL HOGS"</f>
        <v>FERAL HOGS</v>
      </c>
    </row>
    <row r="1068" spans="1:8" x14ac:dyDescent="0.25">
      <c r="A1068" t="s">
        <v>336</v>
      </c>
      <c r="B1068">
        <v>80954</v>
      </c>
      <c r="C1068" s="2">
        <v>474.06</v>
      </c>
      <c r="D1068" s="1">
        <v>43507</v>
      </c>
      <c r="E1068" t="str">
        <f>"0000016"</f>
        <v>0000016</v>
      </c>
      <c r="F1068" t="str">
        <f>"SPANISH INTERPRETER/MILEAGE"</f>
        <v>SPANISH INTERPRETER/MILEAGE</v>
      </c>
      <c r="G1068" s="2">
        <v>249.53</v>
      </c>
      <c r="H1068" t="str">
        <f>"SPANISH INTERPRETER/MILEAGE"</f>
        <v>SPANISH INTERPRETER/MILEAGE</v>
      </c>
    </row>
    <row r="1069" spans="1:8" x14ac:dyDescent="0.25">
      <c r="E1069" t="str">
        <f>"0000017"</f>
        <v>0000017</v>
      </c>
      <c r="F1069" t="str">
        <f>"INTERPRETER/MILEAGE"</f>
        <v>INTERPRETER/MILEAGE</v>
      </c>
      <c r="G1069" s="2">
        <v>224.53</v>
      </c>
      <c r="H1069" t="str">
        <f>"INTERPRETER/MILEAGE"</f>
        <v>INTERPRETER/MILEAGE</v>
      </c>
    </row>
    <row r="1070" spans="1:8" x14ac:dyDescent="0.25">
      <c r="A1070" t="s">
        <v>337</v>
      </c>
      <c r="B1070">
        <v>80955</v>
      </c>
      <c r="C1070" s="2">
        <v>872</v>
      </c>
      <c r="D1070" s="1">
        <v>43507</v>
      </c>
      <c r="E1070" t="str">
        <f>"201902067159"</f>
        <v>201902067159</v>
      </c>
      <c r="F1070" t="str">
        <f>"SANE EXAM ACCT#2018649"</f>
        <v>SANE EXAM ACCT#2018649</v>
      </c>
      <c r="G1070" s="2">
        <v>872</v>
      </c>
      <c r="H1070" t="str">
        <f>"SANE EXAM ACCT#2018649"</f>
        <v>SANE EXAM ACCT#2018649</v>
      </c>
    </row>
    <row r="1071" spans="1:8" x14ac:dyDescent="0.25">
      <c r="A1071" t="s">
        <v>338</v>
      </c>
      <c r="B1071">
        <v>80956</v>
      </c>
      <c r="C1071" s="2">
        <v>300</v>
      </c>
      <c r="D1071" s="1">
        <v>43507</v>
      </c>
      <c r="E1071" t="str">
        <f>"1115"</f>
        <v>1115</v>
      </c>
      <c r="F1071" t="str">
        <f>"INV 1115"</f>
        <v>INV 1115</v>
      </c>
      <c r="G1071" s="2">
        <v>300</v>
      </c>
      <c r="H1071" t="str">
        <f>"INV 1115"</f>
        <v>INV 1115</v>
      </c>
    </row>
    <row r="1072" spans="1:8" x14ac:dyDescent="0.25">
      <c r="A1072" t="s">
        <v>339</v>
      </c>
      <c r="B1072">
        <v>452</v>
      </c>
      <c r="C1072" s="2">
        <v>323.72000000000003</v>
      </c>
      <c r="D1072" s="1">
        <v>43508</v>
      </c>
      <c r="E1072" t="str">
        <f>"201902057104"</f>
        <v>201902057104</v>
      </c>
      <c r="F1072" t="str">
        <f>"INDIGENT HEALTH"</f>
        <v>INDIGENT HEALTH</v>
      </c>
      <c r="G1072" s="2">
        <v>323.72000000000003</v>
      </c>
      <c r="H1072" t="str">
        <f>"INDIGENT HEALTH"</f>
        <v>INDIGENT HEALTH</v>
      </c>
    </row>
    <row r="1073" spans="1:9" x14ac:dyDescent="0.25">
      <c r="E1073" t="str">
        <f>""</f>
        <v/>
      </c>
      <c r="F1073" t="str">
        <f>""</f>
        <v/>
      </c>
      <c r="H1073" t="str">
        <f>"INDIGENT HEALTH"</f>
        <v>INDIGENT HEALTH</v>
      </c>
    </row>
    <row r="1074" spans="1:9" x14ac:dyDescent="0.25">
      <c r="A1074" t="s">
        <v>339</v>
      </c>
      <c r="B1074">
        <v>512</v>
      </c>
      <c r="C1074" s="2">
        <v>74.53</v>
      </c>
      <c r="D1074" s="1">
        <v>43523</v>
      </c>
      <c r="E1074" t="str">
        <f>"201902157455"</f>
        <v>201902157455</v>
      </c>
      <c r="F1074" t="str">
        <f>"INDIGENT HEALTH"</f>
        <v>INDIGENT HEALTH</v>
      </c>
      <c r="G1074" s="2">
        <v>74.53</v>
      </c>
      <c r="H1074" t="str">
        <f>"INDIGENT HEALTH"</f>
        <v>INDIGENT HEALTH</v>
      </c>
    </row>
    <row r="1075" spans="1:9" x14ac:dyDescent="0.25">
      <c r="A1075" t="s">
        <v>340</v>
      </c>
      <c r="B1075">
        <v>453</v>
      </c>
      <c r="C1075" s="2">
        <v>510</v>
      </c>
      <c r="D1075" s="1">
        <v>43508</v>
      </c>
      <c r="E1075" t="str">
        <f>"6216"</f>
        <v>6216</v>
      </c>
      <c r="F1075" t="str">
        <f>"panic buttons"</f>
        <v>panic buttons</v>
      </c>
      <c r="G1075" s="2">
        <v>510</v>
      </c>
      <c r="H1075" t="str">
        <f>"panic buttons"</f>
        <v>panic buttons</v>
      </c>
    </row>
    <row r="1076" spans="1:9" x14ac:dyDescent="0.25">
      <c r="E1076" t="str">
        <f>""</f>
        <v/>
      </c>
      <c r="F1076" t="str">
        <f>""</f>
        <v/>
      </c>
      <c r="H1076" t="str">
        <f>"shipping"</f>
        <v>shipping</v>
      </c>
    </row>
    <row r="1077" spans="1:9" x14ac:dyDescent="0.25">
      <c r="A1077" t="s">
        <v>341</v>
      </c>
      <c r="B1077">
        <v>419</v>
      </c>
      <c r="C1077" s="2">
        <v>4663</v>
      </c>
      <c r="D1077" s="1">
        <v>43508</v>
      </c>
      <c r="E1077" t="str">
        <f>"PPDINV0011855"</f>
        <v>PPDINV0011855</v>
      </c>
      <c r="F1077" t="str">
        <f>"INV PPDINV0011855"</f>
        <v>INV PPDINV0011855</v>
      </c>
      <c r="G1077" s="2">
        <v>4663</v>
      </c>
      <c r="H1077" t="str">
        <f>"INV PPDINV0011855"</f>
        <v>INV PPDINV0011855</v>
      </c>
    </row>
    <row r="1078" spans="1:9" x14ac:dyDescent="0.25">
      <c r="A1078" t="s">
        <v>342</v>
      </c>
      <c r="B1078">
        <v>81172</v>
      </c>
      <c r="C1078" s="2">
        <v>3333</v>
      </c>
      <c r="D1078" s="1">
        <v>43522</v>
      </c>
      <c r="E1078" t="str">
        <f>"120191"</f>
        <v>120191</v>
      </c>
      <c r="F1078" t="str">
        <f>"SETON RX ASSISTANCE PROG"</f>
        <v>SETON RX ASSISTANCE PROG</v>
      </c>
      <c r="G1078" s="2">
        <v>3333</v>
      </c>
      <c r="H1078" t="str">
        <f>"SETON RX ASSISTANCE PROG"</f>
        <v>SETON RX ASSISTANCE PROG</v>
      </c>
    </row>
    <row r="1079" spans="1:9" x14ac:dyDescent="0.25">
      <c r="A1079" t="s">
        <v>343</v>
      </c>
      <c r="B1079">
        <v>81174</v>
      </c>
      <c r="C1079" s="2">
        <v>30</v>
      </c>
      <c r="D1079" s="1">
        <v>43522</v>
      </c>
      <c r="E1079" t="s">
        <v>209</v>
      </c>
      <c r="F1079" t="s">
        <v>344</v>
      </c>
      <c r="G1079" s="2" t="str">
        <f>"RESTITUTION-DEBRA MCCOMB"</f>
        <v>RESTITUTION-DEBRA MCCOMB</v>
      </c>
      <c r="H1079" t="str">
        <f>"210-0000"</f>
        <v>210-0000</v>
      </c>
      <c r="I1079" t="str">
        <f>""</f>
        <v/>
      </c>
    </row>
    <row r="1080" spans="1:9" x14ac:dyDescent="0.25">
      <c r="A1080" t="s">
        <v>345</v>
      </c>
      <c r="B1080">
        <v>80958</v>
      </c>
      <c r="C1080" s="2">
        <v>1331.38</v>
      </c>
      <c r="D1080" s="1">
        <v>43507</v>
      </c>
      <c r="E1080" t="str">
        <f>"201901306924"</f>
        <v>201901306924</v>
      </c>
      <c r="F1080" t="str">
        <f>"ACCT#20150/PCT#1"</f>
        <v>ACCT#20150/PCT#1</v>
      </c>
      <c r="G1080" s="2">
        <v>485.12</v>
      </c>
      <c r="H1080" t="str">
        <f>"ACCT#20150/PCT#1"</f>
        <v>ACCT#20150/PCT#1</v>
      </c>
    </row>
    <row r="1081" spans="1:9" x14ac:dyDescent="0.25">
      <c r="E1081" t="str">
        <f>"201901306925"</f>
        <v>201901306925</v>
      </c>
      <c r="F1081" t="str">
        <f>"ACCT#20147/ANIMAL SERVICES"</f>
        <v>ACCT#20147/ANIMAL SERVICES</v>
      </c>
      <c r="G1081" s="2">
        <v>846.26</v>
      </c>
      <c r="H1081" t="str">
        <f>"ACCT#20147/ANIMAL SERVICES"</f>
        <v>ACCT#20147/ANIMAL SERVICES</v>
      </c>
    </row>
    <row r="1082" spans="1:9" x14ac:dyDescent="0.25">
      <c r="A1082" t="s">
        <v>346</v>
      </c>
      <c r="B1082">
        <v>80959</v>
      </c>
      <c r="C1082" s="2">
        <v>361.19</v>
      </c>
      <c r="D1082" s="1">
        <v>43507</v>
      </c>
      <c r="E1082" t="str">
        <f>"4202-3"</f>
        <v>4202-3</v>
      </c>
      <c r="F1082" t="str">
        <f>"ACCT#4220-2556-9/GEN SVCS"</f>
        <v>ACCT#4220-2556-9/GEN SVCS</v>
      </c>
      <c r="G1082" s="2">
        <v>351.56</v>
      </c>
      <c r="H1082" t="str">
        <f>"ACCT#4220-2556-9/GEN SVCS"</f>
        <v>ACCT#4220-2556-9/GEN SVCS</v>
      </c>
    </row>
    <row r="1083" spans="1:9" x14ac:dyDescent="0.25">
      <c r="E1083" t="str">
        <f>"9001-3"</f>
        <v>9001-3</v>
      </c>
      <c r="F1083" t="str">
        <f>"ACCT#4220-2556-9"</f>
        <v>ACCT#4220-2556-9</v>
      </c>
      <c r="G1083" s="2">
        <v>9.6300000000000008</v>
      </c>
      <c r="H1083" t="str">
        <f>"ACCT#4220-2556-9"</f>
        <v>ACCT#4220-2556-9</v>
      </c>
    </row>
    <row r="1084" spans="1:9" x14ac:dyDescent="0.25">
      <c r="A1084" t="s">
        <v>346</v>
      </c>
      <c r="B1084">
        <v>81175</v>
      </c>
      <c r="C1084" s="2">
        <v>390.98</v>
      </c>
      <c r="D1084" s="1">
        <v>43522</v>
      </c>
      <c r="E1084" t="str">
        <f>"201902227485"</f>
        <v>201902227485</v>
      </c>
      <c r="F1084" t="str">
        <f>"CUST#4220-2556-9"</f>
        <v>CUST#4220-2556-9</v>
      </c>
      <c r="G1084" s="2">
        <v>390.98</v>
      </c>
      <c r="H1084" t="str">
        <f>"CUST#4220-2556-9"</f>
        <v>CUST#4220-2556-9</v>
      </c>
    </row>
    <row r="1085" spans="1:9" x14ac:dyDescent="0.25">
      <c r="A1085" t="s">
        <v>347</v>
      </c>
      <c r="B1085">
        <v>80960</v>
      </c>
      <c r="C1085" s="2">
        <v>4383</v>
      </c>
      <c r="D1085" s="1">
        <v>43507</v>
      </c>
      <c r="E1085" t="str">
        <f>"GB00312799 GB00312"</f>
        <v>GB00312799 GB00312</v>
      </c>
      <c r="F1085" t="str">
        <f>"Meraki MR33"</f>
        <v>Meraki MR33</v>
      </c>
      <c r="G1085" s="2">
        <v>4179</v>
      </c>
      <c r="H1085" t="str">
        <f>"Part#: LIC-ENT-1YR"</f>
        <v>Part#: LIC-ENT-1YR</v>
      </c>
    </row>
    <row r="1086" spans="1:9" x14ac:dyDescent="0.25">
      <c r="E1086" t="str">
        <f>""</f>
        <v/>
      </c>
      <c r="F1086" t="str">
        <f>""</f>
        <v/>
      </c>
      <c r="H1086" t="str">
        <f>"Part#: LIC-ENT-3YR"</f>
        <v>Part#: LIC-ENT-3YR</v>
      </c>
    </row>
    <row r="1087" spans="1:9" x14ac:dyDescent="0.25">
      <c r="E1087" t="str">
        <f>""</f>
        <v/>
      </c>
      <c r="F1087" t="str">
        <f>""</f>
        <v/>
      </c>
      <c r="H1087" t="str">
        <f>"Part#: MR33-HW"</f>
        <v>Part#: MR33-HW</v>
      </c>
    </row>
    <row r="1088" spans="1:9" x14ac:dyDescent="0.25">
      <c r="E1088" t="str">
        <f>"GB00312875"</f>
        <v>GB00312875</v>
      </c>
      <c r="F1088" t="str">
        <f>"PlantronicsHeadset w lift"</f>
        <v>PlantronicsHeadset w lift</v>
      </c>
      <c r="G1088" s="2">
        <v>204</v>
      </c>
      <c r="H1088" t="str">
        <f>"Plantronics CS 530"</f>
        <v>Plantronics CS 530</v>
      </c>
    </row>
    <row r="1089" spans="1:8" x14ac:dyDescent="0.25">
      <c r="A1089" t="s">
        <v>347</v>
      </c>
      <c r="B1089">
        <v>81176</v>
      </c>
      <c r="C1089" s="2">
        <v>624</v>
      </c>
      <c r="D1089" s="1">
        <v>43522</v>
      </c>
      <c r="E1089" t="str">
        <f>"GB00314680"</f>
        <v>GB00314680</v>
      </c>
      <c r="F1089" t="str">
        <f>"Plantronics Headset - Juv"</f>
        <v>Plantronics Headset - Juv</v>
      </c>
      <c r="G1089" s="2">
        <v>204</v>
      </c>
      <c r="H1089" t="str">
        <f>"Part#: 86305-11"</f>
        <v>Part#: 86305-11</v>
      </c>
    </row>
    <row r="1090" spans="1:8" x14ac:dyDescent="0.25">
      <c r="E1090" t="str">
        <f>"GB00314791"</f>
        <v>GB00314791</v>
      </c>
      <c r="F1090" t="str">
        <f>"Cisco power supply"</f>
        <v>Cisco power supply</v>
      </c>
      <c r="G1090" s="2">
        <v>92</v>
      </c>
      <c r="H1090" t="str">
        <f>"PWR-30W-AC="</f>
        <v>PWR-30W-AC=</v>
      </c>
    </row>
    <row r="1091" spans="1:8" x14ac:dyDescent="0.25">
      <c r="E1091" t="str">
        <f>"GB00314948"</f>
        <v>GB00314948</v>
      </c>
      <c r="F1091" t="str">
        <f>"Adobe Acrobat Professiona"</f>
        <v>Adobe Acrobat Professiona</v>
      </c>
      <c r="G1091" s="2">
        <v>328</v>
      </c>
      <c r="H1091" t="str">
        <f>"Part#65280374AC02A00"</f>
        <v>Part#65280374AC02A00</v>
      </c>
    </row>
    <row r="1092" spans="1:8" x14ac:dyDescent="0.25">
      <c r="A1092" t="s">
        <v>348</v>
      </c>
      <c r="B1092">
        <v>80961</v>
      </c>
      <c r="C1092" s="2">
        <v>72.599999999999994</v>
      </c>
      <c r="D1092" s="1">
        <v>43507</v>
      </c>
      <c r="E1092" t="str">
        <f>"934734"</f>
        <v>934734</v>
      </c>
      <c r="F1092" t="str">
        <f>"ACCT#550615/GEN SVCS"</f>
        <v>ACCT#550615/GEN SVCS</v>
      </c>
      <c r="G1092" s="2">
        <v>72.599999999999994</v>
      </c>
      <c r="H1092" t="str">
        <f>"ACCT#550615/GEN SVCS"</f>
        <v>ACCT#550615/GEN SVCS</v>
      </c>
    </row>
    <row r="1093" spans="1:8" x14ac:dyDescent="0.25">
      <c r="A1093" t="s">
        <v>349</v>
      </c>
      <c r="B1093">
        <v>80962</v>
      </c>
      <c r="C1093" s="2">
        <v>925.1</v>
      </c>
      <c r="D1093" s="1">
        <v>43507</v>
      </c>
      <c r="E1093" t="str">
        <f>"8126568818"</f>
        <v>8126568818</v>
      </c>
      <c r="F1093" t="str">
        <f>"INV 8126568818"</f>
        <v>INV 8126568818</v>
      </c>
      <c r="G1093" s="2">
        <v>122</v>
      </c>
      <c r="H1093" t="str">
        <f>"INV 8126568818"</f>
        <v>INV 8126568818</v>
      </c>
    </row>
    <row r="1094" spans="1:8" x14ac:dyDescent="0.25">
      <c r="E1094" t="str">
        <f>""</f>
        <v/>
      </c>
      <c r="F1094" t="str">
        <f>""</f>
        <v/>
      </c>
      <c r="H1094" t="str">
        <f>"INV 8126568818"</f>
        <v>INV 8126568818</v>
      </c>
    </row>
    <row r="1095" spans="1:8" x14ac:dyDescent="0.25">
      <c r="E1095" t="str">
        <f>"8126569395"</f>
        <v>8126569395</v>
      </c>
      <c r="F1095" t="str">
        <f>"CUST#16154438/D.A.'S OFFICE"</f>
        <v>CUST#16154438/D.A.'S OFFICE</v>
      </c>
      <c r="G1095" s="2">
        <v>648.6</v>
      </c>
      <c r="H1095" t="str">
        <f>"CUST#16154438/D.A.'S OFFICE"</f>
        <v>CUST#16154438/D.A.'S OFFICE</v>
      </c>
    </row>
    <row r="1096" spans="1:8" x14ac:dyDescent="0.25">
      <c r="E1096" t="str">
        <f>"8126569453"</f>
        <v>8126569453</v>
      </c>
      <c r="F1096" t="str">
        <f>"CUST#16155373"</f>
        <v>CUST#16155373</v>
      </c>
      <c r="G1096" s="2">
        <v>103</v>
      </c>
      <c r="H1096" t="str">
        <f t="shared" ref="H1096:H1101" si="14">"CUST#16155373"</f>
        <v>CUST#16155373</v>
      </c>
    </row>
    <row r="1097" spans="1:8" x14ac:dyDescent="0.25">
      <c r="E1097" t="str">
        <f>""</f>
        <v/>
      </c>
      <c r="F1097" t="str">
        <f>""</f>
        <v/>
      </c>
      <c r="H1097" t="str">
        <f t="shared" si="14"/>
        <v>CUST#16155373</v>
      </c>
    </row>
    <row r="1098" spans="1:8" x14ac:dyDescent="0.25">
      <c r="E1098" t="str">
        <f>""</f>
        <v/>
      </c>
      <c r="F1098" t="str">
        <f>""</f>
        <v/>
      </c>
      <c r="H1098" t="str">
        <f t="shared" si="14"/>
        <v>CUST#16155373</v>
      </c>
    </row>
    <row r="1099" spans="1:8" x14ac:dyDescent="0.25">
      <c r="E1099" t="str">
        <f>""</f>
        <v/>
      </c>
      <c r="F1099" t="str">
        <f>""</f>
        <v/>
      </c>
      <c r="H1099" t="str">
        <f t="shared" si="14"/>
        <v>CUST#16155373</v>
      </c>
    </row>
    <row r="1100" spans="1:8" x14ac:dyDescent="0.25">
      <c r="E1100" t="str">
        <f>""</f>
        <v/>
      </c>
      <c r="F1100" t="str">
        <f>""</f>
        <v/>
      </c>
      <c r="H1100" t="str">
        <f t="shared" si="14"/>
        <v>CUST#16155373</v>
      </c>
    </row>
    <row r="1101" spans="1:8" x14ac:dyDescent="0.25">
      <c r="E1101" t="str">
        <f>""</f>
        <v/>
      </c>
      <c r="F1101" t="str">
        <f>""</f>
        <v/>
      </c>
      <c r="H1101" t="str">
        <f t="shared" si="14"/>
        <v>CUST#16155373</v>
      </c>
    </row>
    <row r="1102" spans="1:8" x14ac:dyDescent="0.25">
      <c r="E1102" t="str">
        <f>"8126569578"</f>
        <v>8126569578</v>
      </c>
      <c r="F1102" t="str">
        <f>"CUST#16158670/JP#4"</f>
        <v>CUST#16158670/JP#4</v>
      </c>
      <c r="G1102" s="2">
        <v>51.5</v>
      </c>
      <c r="H1102" t="str">
        <f>"CUST#16158670/JP#4"</f>
        <v>CUST#16158670/JP#4</v>
      </c>
    </row>
    <row r="1103" spans="1:8" x14ac:dyDescent="0.25">
      <c r="A1103" t="s">
        <v>349</v>
      </c>
      <c r="B1103">
        <v>81177</v>
      </c>
      <c r="C1103" s="2">
        <v>64</v>
      </c>
      <c r="D1103" s="1">
        <v>43522</v>
      </c>
      <c r="E1103" t="str">
        <f>"8126569497"</f>
        <v>8126569497</v>
      </c>
      <c r="F1103" t="str">
        <f>"CUST#16156071/TAX OFFICE"</f>
        <v>CUST#16156071/TAX OFFICE</v>
      </c>
      <c r="G1103" s="2">
        <v>64</v>
      </c>
      <c r="H1103" t="str">
        <f>"CUST#16156071/TAX OFFICE"</f>
        <v>CUST#16156071/TAX OFFICE</v>
      </c>
    </row>
    <row r="1104" spans="1:8" x14ac:dyDescent="0.25">
      <c r="A1104" t="s">
        <v>350</v>
      </c>
      <c r="B1104">
        <v>80963</v>
      </c>
      <c r="C1104" s="2">
        <v>366.28</v>
      </c>
      <c r="D1104" s="1">
        <v>43507</v>
      </c>
      <c r="E1104" t="str">
        <f>"201902057110"</f>
        <v>201902057110</v>
      </c>
      <c r="F1104" t="str">
        <f>"INDIGENT HEALTH"</f>
        <v>INDIGENT HEALTH</v>
      </c>
      <c r="G1104" s="2">
        <v>366.28</v>
      </c>
      <c r="H1104" t="str">
        <f>"INDIGENT HEALTH"</f>
        <v>INDIGENT HEALTH</v>
      </c>
    </row>
    <row r="1105" spans="1:8" x14ac:dyDescent="0.25">
      <c r="A1105" t="s">
        <v>351</v>
      </c>
      <c r="B1105">
        <v>80964</v>
      </c>
      <c r="C1105" s="2">
        <v>276594.76</v>
      </c>
      <c r="D1105" s="1">
        <v>43507</v>
      </c>
      <c r="E1105" t="str">
        <f>"201902057145"</f>
        <v>201902057145</v>
      </c>
      <c r="F1105" t="str">
        <f>"SILSBEE FORD"</f>
        <v>SILSBEE FORD</v>
      </c>
      <c r="G1105" s="2">
        <v>276594.76</v>
      </c>
      <c r="H1105" t="str">
        <f>"Chevrolet Tahoe"</f>
        <v>Chevrolet Tahoe</v>
      </c>
    </row>
    <row r="1106" spans="1:8" x14ac:dyDescent="0.25">
      <c r="E1106" t="str">
        <f>""</f>
        <v/>
      </c>
      <c r="F1106" t="str">
        <f>""</f>
        <v/>
      </c>
      <c r="H1106" t="str">
        <f>"Delivery Charge"</f>
        <v>Delivery Charge</v>
      </c>
    </row>
    <row r="1107" spans="1:8" x14ac:dyDescent="0.25">
      <c r="E1107" t="str">
        <f>""</f>
        <v/>
      </c>
      <c r="F1107" t="str">
        <f>""</f>
        <v/>
      </c>
      <c r="H1107" t="str">
        <f>"Good Buy Fee"</f>
        <v>Good Buy Fee</v>
      </c>
    </row>
    <row r="1108" spans="1:8" x14ac:dyDescent="0.25">
      <c r="A1108" t="s">
        <v>351</v>
      </c>
      <c r="B1108">
        <v>81178</v>
      </c>
      <c r="C1108" s="2">
        <v>4630</v>
      </c>
      <c r="D1108" s="1">
        <v>43522</v>
      </c>
      <c r="E1108" t="str">
        <f>"201902157447"</f>
        <v>201902157447</v>
      </c>
      <c r="F1108" t="str">
        <f>"Tamara Batot"</f>
        <v>Tamara Batot</v>
      </c>
      <c r="G1108" s="2">
        <v>4630</v>
      </c>
      <c r="H1108" t="str">
        <f>"HARD REAR SEAT"</f>
        <v>HARD REAR SEAT</v>
      </c>
    </row>
    <row r="1109" spans="1:8" x14ac:dyDescent="0.25">
      <c r="E1109" t="str">
        <f>""</f>
        <v/>
      </c>
      <c r="F1109" t="str">
        <f>""</f>
        <v/>
      </c>
      <c r="H1109" t="str">
        <f>"HARD REAR SEAT"</f>
        <v>HARD REAR SEAT</v>
      </c>
    </row>
    <row r="1110" spans="1:8" x14ac:dyDescent="0.25">
      <c r="A1110" t="s">
        <v>352</v>
      </c>
      <c r="B1110">
        <v>80965</v>
      </c>
      <c r="C1110" s="2">
        <v>500</v>
      </c>
      <c r="D1110" s="1">
        <v>43507</v>
      </c>
      <c r="E1110" t="str">
        <f>"821247"</f>
        <v>821247</v>
      </c>
      <c r="F1110" t="str">
        <f>"PUMPED SEPTIC/GEN SVCS"</f>
        <v>PUMPED SEPTIC/GEN SVCS</v>
      </c>
      <c r="G1110" s="2">
        <v>500</v>
      </c>
    </row>
    <row r="1111" spans="1:8" x14ac:dyDescent="0.25">
      <c r="A1111" t="s">
        <v>352</v>
      </c>
      <c r="B1111">
        <v>80965</v>
      </c>
      <c r="C1111" s="2">
        <v>500</v>
      </c>
      <c r="D1111" s="1">
        <v>43518</v>
      </c>
      <c r="E1111" t="str">
        <f>"CHECK"</f>
        <v>CHECK</v>
      </c>
      <c r="F1111" t="str">
        <f>""</f>
        <v/>
      </c>
      <c r="G1111" s="2">
        <v>500</v>
      </c>
    </row>
    <row r="1112" spans="1:8" x14ac:dyDescent="0.25">
      <c r="A1112" t="s">
        <v>353</v>
      </c>
      <c r="B1112">
        <v>80966</v>
      </c>
      <c r="C1112" s="2">
        <v>210.95</v>
      </c>
      <c r="D1112" s="1">
        <v>43507</v>
      </c>
      <c r="E1112" t="str">
        <f>"201902057084"</f>
        <v>201902057084</v>
      </c>
      <c r="F1112" t="str">
        <f>"STATEMENT#29564/PCT#2"</f>
        <v>STATEMENT#29564/PCT#2</v>
      </c>
      <c r="G1112" s="2">
        <v>210.95</v>
      </c>
      <c r="H1112" t="str">
        <f>"STATEMENT#29564/PCT#2"</f>
        <v>STATEMENT#29564/PCT#2</v>
      </c>
    </row>
    <row r="1113" spans="1:8" x14ac:dyDescent="0.25">
      <c r="A1113" t="s">
        <v>354</v>
      </c>
      <c r="B1113">
        <v>81179</v>
      </c>
      <c r="C1113" s="2">
        <v>728.65</v>
      </c>
      <c r="D1113" s="1">
        <v>43522</v>
      </c>
      <c r="E1113" t="str">
        <f>"201902137427"</f>
        <v>201902137427</v>
      </c>
      <c r="F1113" t="str">
        <f>"ACCT#260/PCT#2"</f>
        <v>ACCT#260/PCT#2</v>
      </c>
      <c r="G1113" s="2">
        <v>728.65</v>
      </c>
      <c r="H1113" t="str">
        <f>"ACCT#260/PCT#2"</f>
        <v>ACCT#260/PCT#2</v>
      </c>
    </row>
    <row r="1114" spans="1:8" x14ac:dyDescent="0.25">
      <c r="A1114" t="s">
        <v>355</v>
      </c>
      <c r="B1114">
        <v>80967</v>
      </c>
      <c r="C1114" s="2">
        <v>17.98</v>
      </c>
      <c r="D1114" s="1">
        <v>43507</v>
      </c>
      <c r="E1114" t="str">
        <f>"201901296897"</f>
        <v>201901296897</v>
      </c>
      <c r="F1114" t="str">
        <f>"ARREST FEES 10/01-12/31"</f>
        <v>ARREST FEES 10/01-12/31</v>
      </c>
      <c r="G1114" s="2">
        <v>17.98</v>
      </c>
      <c r="H1114" t="str">
        <f>"ARREST FEES 10/01-12/31"</f>
        <v>ARREST FEES 10/01-12/31</v>
      </c>
    </row>
    <row r="1115" spans="1:8" x14ac:dyDescent="0.25">
      <c r="A1115" t="s">
        <v>356</v>
      </c>
      <c r="B1115">
        <v>80968</v>
      </c>
      <c r="C1115" s="2">
        <v>1560</v>
      </c>
      <c r="D1115" s="1">
        <v>43507</v>
      </c>
      <c r="E1115" t="str">
        <f>"7342"</f>
        <v>7342</v>
      </c>
      <c r="F1115" t="str">
        <f>"GOVERNORS CREDENZA"</f>
        <v>GOVERNORS CREDENZA</v>
      </c>
      <c r="G1115" s="2">
        <v>1560</v>
      </c>
      <c r="H1115" t="str">
        <f>"Flexsteel DMI7350-02"</f>
        <v>Flexsteel DMI7350-02</v>
      </c>
    </row>
    <row r="1116" spans="1:8" x14ac:dyDescent="0.25">
      <c r="E1116" t="str">
        <f>""</f>
        <v/>
      </c>
      <c r="F1116" t="str">
        <f>""</f>
        <v/>
      </c>
      <c r="H1116" t="str">
        <f>"Freight / Install"</f>
        <v>Freight / Install</v>
      </c>
    </row>
    <row r="1117" spans="1:8" x14ac:dyDescent="0.25">
      <c r="A1117" t="s">
        <v>357</v>
      </c>
      <c r="B1117">
        <v>80969</v>
      </c>
      <c r="C1117" s="2">
        <v>250</v>
      </c>
      <c r="D1117" s="1">
        <v>43507</v>
      </c>
      <c r="E1117" t="str">
        <f>"TCP-20-479"</f>
        <v>TCP-20-479</v>
      </c>
      <c r="F1117" t="str">
        <f>"ADDITIONAL REP BADGES"</f>
        <v>ADDITIONAL REP BADGES</v>
      </c>
      <c r="G1117" s="2">
        <v>250</v>
      </c>
      <c r="H1117" t="str">
        <f>"ADDITIONAL REP BADGES"</f>
        <v>ADDITIONAL REP BADGES</v>
      </c>
    </row>
    <row r="1118" spans="1:8" x14ac:dyDescent="0.25">
      <c r="A1118" t="s">
        <v>358</v>
      </c>
      <c r="B1118">
        <v>80970</v>
      </c>
      <c r="C1118" s="2">
        <v>1489.4</v>
      </c>
      <c r="D1118" s="1">
        <v>43507</v>
      </c>
      <c r="E1118" t="str">
        <f>"4650000227"</f>
        <v>4650000227</v>
      </c>
      <c r="F1118" t="str">
        <f>"CUST#52157/PCT#3"</f>
        <v>CUST#52157/PCT#3</v>
      </c>
      <c r="G1118" s="2">
        <v>1489.4</v>
      </c>
      <c r="H1118" t="str">
        <f>"CUST#52157/PCT#3"</f>
        <v>CUST#52157/PCT#3</v>
      </c>
    </row>
    <row r="1119" spans="1:8" x14ac:dyDescent="0.25">
      <c r="A1119" t="s">
        <v>358</v>
      </c>
      <c r="B1119">
        <v>81180</v>
      </c>
      <c r="C1119" s="2">
        <v>234</v>
      </c>
      <c r="D1119" s="1">
        <v>43522</v>
      </c>
      <c r="E1119" t="str">
        <f>"63270187"</f>
        <v>63270187</v>
      </c>
      <c r="F1119" t="str">
        <f>"CUST#52157/PCT#3"</f>
        <v>CUST#52157/PCT#3</v>
      </c>
      <c r="G1119" s="2">
        <v>234</v>
      </c>
      <c r="H1119" t="str">
        <f>"CUST#52157/PCT#3"</f>
        <v>CUST#52157/PCT#3</v>
      </c>
    </row>
    <row r="1120" spans="1:8" x14ac:dyDescent="0.25">
      <c r="A1120" t="s">
        <v>359</v>
      </c>
      <c r="B1120">
        <v>81181</v>
      </c>
      <c r="C1120" s="2">
        <v>49.46</v>
      </c>
      <c r="D1120" s="1">
        <v>43522</v>
      </c>
      <c r="E1120" t="str">
        <f>"9604456 013119"</f>
        <v>9604456 013119</v>
      </c>
      <c r="F1120" t="str">
        <f>"ACCT#46668439604456/JP#2"</f>
        <v>ACCT#46668439604456/JP#2</v>
      </c>
      <c r="G1120" s="2">
        <v>49.46</v>
      </c>
      <c r="H1120" t="str">
        <f>"ACCT#46668439604456/JP#2"</f>
        <v>ACCT#46668439604456/JP#2</v>
      </c>
    </row>
    <row r="1121" spans="1:8" x14ac:dyDescent="0.25">
      <c r="A1121" t="s">
        <v>361</v>
      </c>
      <c r="B1121">
        <v>516</v>
      </c>
      <c r="C1121" s="2">
        <v>449.96</v>
      </c>
      <c r="D1121" s="1">
        <v>43523</v>
      </c>
      <c r="E1121" t="str">
        <f>"21303"</f>
        <v>21303</v>
      </c>
      <c r="F1121" t="str">
        <f>"BARS/LABOR/IT DEPT"</f>
        <v>BARS/LABOR/IT DEPT</v>
      </c>
      <c r="G1121" s="2">
        <v>449.96</v>
      </c>
      <c r="H1121" t="str">
        <f>"BARS/LABOR/IT DEPT"</f>
        <v>BARS/LABOR/IT DEPT</v>
      </c>
    </row>
    <row r="1122" spans="1:8" x14ac:dyDescent="0.25">
      <c r="A1122" t="s">
        <v>362</v>
      </c>
      <c r="B1122">
        <v>80972</v>
      </c>
      <c r="C1122" s="2">
        <v>512.13</v>
      </c>
      <c r="D1122" s="1">
        <v>43507</v>
      </c>
      <c r="E1122" t="str">
        <f>"201902057111"</f>
        <v>201902057111</v>
      </c>
      <c r="F1122" t="str">
        <f>"INDIGENT HEALTH"</f>
        <v>INDIGENT HEALTH</v>
      </c>
      <c r="G1122" s="2">
        <v>512.13</v>
      </c>
      <c r="H1122" t="str">
        <f>"INDIGENT HEALTH"</f>
        <v>INDIGENT HEALTH</v>
      </c>
    </row>
    <row r="1123" spans="1:8" x14ac:dyDescent="0.25">
      <c r="E1123" t="str">
        <f>""</f>
        <v/>
      </c>
      <c r="F1123" t="str">
        <f>""</f>
        <v/>
      </c>
      <c r="H1123" t="str">
        <f>"INDIGENT HEALTH"</f>
        <v>INDIGENT HEALTH</v>
      </c>
    </row>
    <row r="1124" spans="1:8" x14ac:dyDescent="0.25">
      <c r="A1124" t="s">
        <v>362</v>
      </c>
      <c r="B1124">
        <v>81183</v>
      </c>
      <c r="C1124" s="2">
        <v>92.45</v>
      </c>
      <c r="D1124" s="1">
        <v>43522</v>
      </c>
      <c r="E1124" t="str">
        <f>"201902157459"</f>
        <v>201902157459</v>
      </c>
      <c r="F1124" t="str">
        <f>"INDIGENT HEALTH"</f>
        <v>INDIGENT HEALTH</v>
      </c>
      <c r="G1124" s="2">
        <v>92.45</v>
      </c>
      <c r="H1124" t="str">
        <f>"INDIGENT HEALTH"</f>
        <v>INDIGENT HEALTH</v>
      </c>
    </row>
    <row r="1125" spans="1:8" x14ac:dyDescent="0.25">
      <c r="A1125" t="s">
        <v>363</v>
      </c>
      <c r="B1125">
        <v>80971</v>
      </c>
      <c r="C1125" s="2">
        <v>6816.96</v>
      </c>
      <c r="D1125" s="1">
        <v>43507</v>
      </c>
      <c r="E1125" t="str">
        <f>"201902057112"</f>
        <v>201902057112</v>
      </c>
      <c r="F1125" t="str">
        <f>"INDIGENT HEALTH"</f>
        <v>INDIGENT HEALTH</v>
      </c>
      <c r="G1125" s="2">
        <v>6816.96</v>
      </c>
      <c r="H1125" t="str">
        <f>"INDIGENT HEALTH"</f>
        <v>INDIGENT HEALTH</v>
      </c>
    </row>
    <row r="1126" spans="1:8" x14ac:dyDescent="0.25">
      <c r="A1126" t="s">
        <v>363</v>
      </c>
      <c r="B1126">
        <v>81182</v>
      </c>
      <c r="C1126" s="2">
        <v>1213.2</v>
      </c>
      <c r="D1126" s="1">
        <v>43522</v>
      </c>
      <c r="E1126" t="str">
        <f>"201902157460"</f>
        <v>201902157460</v>
      </c>
      <c r="F1126" t="str">
        <f>"INDIGENT HEALTH"</f>
        <v>INDIGENT HEALTH</v>
      </c>
      <c r="G1126" s="2">
        <v>1213.2</v>
      </c>
      <c r="H1126" t="str">
        <f>"INDIGENT HEALTH"</f>
        <v>INDIGENT HEALTH</v>
      </c>
    </row>
    <row r="1127" spans="1:8" x14ac:dyDescent="0.25">
      <c r="A1127" t="s">
        <v>360</v>
      </c>
      <c r="B1127">
        <v>80973</v>
      </c>
      <c r="C1127" s="2">
        <v>122.46</v>
      </c>
      <c r="D1127" s="1">
        <v>43507</v>
      </c>
      <c r="E1127" t="str">
        <f>"11969495 011819"</f>
        <v>11969495 011819</v>
      </c>
      <c r="F1127" t="str">
        <f>"ACCT#556850411969495/DA'S OFF"</f>
        <v>ACCT#556850411969495/DA'S OFF</v>
      </c>
      <c r="G1127" s="2">
        <v>122.46</v>
      </c>
      <c r="H1127" t="str">
        <f>"ACCT#556850411969495/DA'S OFF"</f>
        <v>ACCT#556850411969495/DA'S OFF</v>
      </c>
    </row>
    <row r="1128" spans="1:8" x14ac:dyDescent="0.25">
      <c r="A1128" t="s">
        <v>364</v>
      </c>
      <c r="B1128">
        <v>80974</v>
      </c>
      <c r="C1128" s="2">
        <v>1618.18</v>
      </c>
      <c r="D1128" s="1">
        <v>43507</v>
      </c>
      <c r="E1128" t="str">
        <f>"8052889022"</f>
        <v>8052889022</v>
      </c>
      <c r="F1128" t="str">
        <f>"Sum Inv# 8052889022"</f>
        <v>Sum Inv# 8052889022</v>
      </c>
      <c r="G1128" s="2">
        <v>1618.18</v>
      </c>
      <c r="H1128" t="str">
        <f>"inv# 3402012188"</f>
        <v>inv# 3402012188</v>
      </c>
    </row>
    <row r="1129" spans="1:8" x14ac:dyDescent="0.25">
      <c r="E1129" t="str">
        <f>""</f>
        <v/>
      </c>
      <c r="F1129" t="str">
        <f>""</f>
        <v/>
      </c>
      <c r="H1129" t="str">
        <f>"inv# 3402012183"</f>
        <v>inv# 3402012183</v>
      </c>
    </row>
    <row r="1130" spans="1:8" x14ac:dyDescent="0.25">
      <c r="E1130" t="str">
        <f>""</f>
        <v/>
      </c>
      <c r="F1130" t="str">
        <f>""</f>
        <v/>
      </c>
      <c r="H1130" t="str">
        <f>"inv# 3402012185"</f>
        <v>inv# 3402012185</v>
      </c>
    </row>
    <row r="1131" spans="1:8" x14ac:dyDescent="0.25">
      <c r="E1131" t="str">
        <f>""</f>
        <v/>
      </c>
      <c r="F1131" t="str">
        <f>""</f>
        <v/>
      </c>
      <c r="H1131" t="str">
        <f>"inv# 3402012186"</f>
        <v>inv# 3402012186</v>
      </c>
    </row>
    <row r="1132" spans="1:8" x14ac:dyDescent="0.25">
      <c r="E1132" t="str">
        <f>""</f>
        <v/>
      </c>
      <c r="F1132" t="str">
        <f>""</f>
        <v/>
      </c>
      <c r="H1132" t="str">
        <f>"inv# 3402012193"</f>
        <v>inv# 3402012193</v>
      </c>
    </row>
    <row r="1133" spans="1:8" x14ac:dyDescent="0.25">
      <c r="E1133" t="str">
        <f>""</f>
        <v/>
      </c>
      <c r="F1133" t="str">
        <f>""</f>
        <v/>
      </c>
      <c r="H1133" t="str">
        <f>"inv# 3402012189"</f>
        <v>inv# 3402012189</v>
      </c>
    </row>
    <row r="1134" spans="1:8" x14ac:dyDescent="0.25">
      <c r="E1134" t="str">
        <f>""</f>
        <v/>
      </c>
      <c r="F1134" t="str">
        <f>""</f>
        <v/>
      </c>
      <c r="H1134" t="str">
        <f>"inv# 3402012190"</f>
        <v>inv# 3402012190</v>
      </c>
    </row>
    <row r="1135" spans="1:8" x14ac:dyDescent="0.25">
      <c r="E1135" t="str">
        <f>""</f>
        <v/>
      </c>
      <c r="F1135" t="str">
        <f>""</f>
        <v/>
      </c>
      <c r="H1135" t="str">
        <f>"inv# 3402012192"</f>
        <v>inv# 3402012192</v>
      </c>
    </row>
    <row r="1136" spans="1:8" x14ac:dyDescent="0.25">
      <c r="E1136" t="str">
        <f>""</f>
        <v/>
      </c>
      <c r="F1136" t="str">
        <f>""</f>
        <v/>
      </c>
      <c r="H1136" t="str">
        <f>"inv# 3402012191"</f>
        <v>inv# 3402012191</v>
      </c>
    </row>
    <row r="1137" spans="1:8" x14ac:dyDescent="0.25">
      <c r="E1137" t="str">
        <f>""</f>
        <v/>
      </c>
      <c r="F1137" t="str">
        <f>""</f>
        <v/>
      </c>
      <c r="H1137" t="str">
        <f>"inv# 3402012184"</f>
        <v>inv# 3402012184</v>
      </c>
    </row>
    <row r="1138" spans="1:8" x14ac:dyDescent="0.25">
      <c r="A1138" t="s">
        <v>364</v>
      </c>
      <c r="B1138">
        <v>81184</v>
      </c>
      <c r="C1138" s="2">
        <v>2140.04</v>
      </c>
      <c r="D1138" s="1">
        <v>43522</v>
      </c>
      <c r="E1138" t="str">
        <f>"8053089564"</f>
        <v>8053089564</v>
      </c>
      <c r="F1138" t="str">
        <f>"Sum Inv# 8053089564"</f>
        <v>Sum Inv# 8053089564</v>
      </c>
      <c r="G1138" s="2">
        <v>2140.04</v>
      </c>
      <c r="H1138" t="str">
        <f>"inv# 3403822486"</f>
        <v>inv# 3403822486</v>
      </c>
    </row>
    <row r="1139" spans="1:8" x14ac:dyDescent="0.25">
      <c r="E1139" t="str">
        <f>""</f>
        <v/>
      </c>
      <c r="F1139" t="str">
        <f>""</f>
        <v/>
      </c>
      <c r="H1139" t="str">
        <f>"inv# 3403822497"</f>
        <v>inv# 3403822497</v>
      </c>
    </row>
    <row r="1140" spans="1:8" x14ac:dyDescent="0.25">
      <c r="E1140" t="str">
        <f>""</f>
        <v/>
      </c>
      <c r="F1140" t="str">
        <f>""</f>
        <v/>
      </c>
      <c r="H1140" t="str">
        <f>"inv# 3403822488"</f>
        <v>inv# 3403822488</v>
      </c>
    </row>
    <row r="1141" spans="1:8" x14ac:dyDescent="0.25">
      <c r="E1141" t="str">
        <f>""</f>
        <v/>
      </c>
      <c r="F1141" t="str">
        <f>""</f>
        <v/>
      </c>
      <c r="H1141" t="str">
        <f>"inv# 3403822492"</f>
        <v>inv# 3403822492</v>
      </c>
    </row>
    <row r="1142" spans="1:8" x14ac:dyDescent="0.25">
      <c r="E1142" t="str">
        <f>""</f>
        <v/>
      </c>
      <c r="F1142" t="str">
        <f>""</f>
        <v/>
      </c>
      <c r="H1142" t="str">
        <f>"inv# 3403822493"</f>
        <v>inv# 3403822493</v>
      </c>
    </row>
    <row r="1143" spans="1:8" x14ac:dyDescent="0.25">
      <c r="E1143" t="str">
        <f>""</f>
        <v/>
      </c>
      <c r="F1143" t="str">
        <f>""</f>
        <v/>
      </c>
      <c r="H1143" t="str">
        <f>"inv# 3403822494"</f>
        <v>inv# 3403822494</v>
      </c>
    </row>
    <row r="1144" spans="1:8" x14ac:dyDescent="0.25">
      <c r="E1144" t="str">
        <f>""</f>
        <v/>
      </c>
      <c r="F1144" t="str">
        <f>""</f>
        <v/>
      </c>
      <c r="H1144" t="str">
        <f>"inv# 3403822495"</f>
        <v>inv# 3403822495</v>
      </c>
    </row>
    <row r="1145" spans="1:8" x14ac:dyDescent="0.25">
      <c r="E1145" t="str">
        <f>""</f>
        <v/>
      </c>
      <c r="F1145" t="str">
        <f>""</f>
        <v/>
      </c>
      <c r="H1145" t="str">
        <f>"inv# 3403822496"</f>
        <v>inv# 3403822496</v>
      </c>
    </row>
    <row r="1146" spans="1:8" x14ac:dyDescent="0.25">
      <c r="E1146" t="str">
        <f>""</f>
        <v/>
      </c>
      <c r="F1146" t="str">
        <f>""</f>
        <v/>
      </c>
      <c r="H1146" t="str">
        <f>"inv# 3403822483"</f>
        <v>inv# 3403822483</v>
      </c>
    </row>
    <row r="1147" spans="1:8" x14ac:dyDescent="0.25">
      <c r="E1147" t="str">
        <f>""</f>
        <v/>
      </c>
      <c r="F1147" t="str">
        <f>""</f>
        <v/>
      </c>
      <c r="H1147" t="str">
        <f>"inv# 3403822484"</f>
        <v>inv# 3403822484</v>
      </c>
    </row>
    <row r="1148" spans="1:8" x14ac:dyDescent="0.25">
      <c r="E1148" t="str">
        <f>""</f>
        <v/>
      </c>
      <c r="F1148" t="str">
        <f>""</f>
        <v/>
      </c>
      <c r="H1148" t="str">
        <f>"inv# 3403822485"</f>
        <v>inv# 3403822485</v>
      </c>
    </row>
    <row r="1149" spans="1:8" x14ac:dyDescent="0.25">
      <c r="E1149" t="str">
        <f>""</f>
        <v/>
      </c>
      <c r="F1149" t="str">
        <f>""</f>
        <v/>
      </c>
      <c r="H1149" t="str">
        <f>"inv# 3403822490"</f>
        <v>inv# 3403822490</v>
      </c>
    </row>
    <row r="1150" spans="1:8" x14ac:dyDescent="0.25">
      <c r="E1150" t="str">
        <f>""</f>
        <v/>
      </c>
      <c r="F1150" t="str">
        <f>""</f>
        <v/>
      </c>
      <c r="H1150" t="str">
        <f>"inv# 3403822482"</f>
        <v>inv# 3403822482</v>
      </c>
    </row>
    <row r="1151" spans="1:8" x14ac:dyDescent="0.25">
      <c r="E1151" t="str">
        <f>""</f>
        <v/>
      </c>
      <c r="F1151" t="str">
        <f>""</f>
        <v/>
      </c>
      <c r="H1151" t="str">
        <f>"inv# 3403822489"</f>
        <v>inv# 3403822489</v>
      </c>
    </row>
    <row r="1152" spans="1:8" x14ac:dyDescent="0.25">
      <c r="E1152" t="str">
        <f>""</f>
        <v/>
      </c>
      <c r="F1152" t="str">
        <f>""</f>
        <v/>
      </c>
      <c r="H1152" t="str">
        <f>"inv# 340822487"</f>
        <v>inv# 340822487</v>
      </c>
    </row>
    <row r="1153" spans="1:8" x14ac:dyDescent="0.25">
      <c r="A1153" t="s">
        <v>365</v>
      </c>
      <c r="B1153">
        <v>81185</v>
      </c>
      <c r="C1153" s="2">
        <v>595.54</v>
      </c>
      <c r="D1153" s="1">
        <v>43522</v>
      </c>
      <c r="E1153" t="str">
        <f>"201902227494"</f>
        <v>201902227494</v>
      </c>
      <c r="F1153" t="str">
        <f>"JANUARY 2019"</f>
        <v>JANUARY 2019</v>
      </c>
      <c r="G1153" s="2">
        <v>595.54</v>
      </c>
      <c r="H1153" t="str">
        <f>"JANUARY 2019"</f>
        <v>JANUARY 2019</v>
      </c>
    </row>
    <row r="1154" spans="1:8" x14ac:dyDescent="0.25">
      <c r="A1154" t="s">
        <v>366</v>
      </c>
      <c r="B1154">
        <v>80975</v>
      </c>
      <c r="C1154" s="2">
        <v>40</v>
      </c>
      <c r="D1154" s="1">
        <v>43507</v>
      </c>
      <c r="E1154" t="str">
        <f>"201902067189"</f>
        <v>201902067189</v>
      </c>
      <c r="F1154" t="str">
        <f>"FERAL HOGS"</f>
        <v>FERAL HOGS</v>
      </c>
      <c r="G1154" s="2">
        <v>5</v>
      </c>
      <c r="H1154" t="str">
        <f>"FERAL HOGS"</f>
        <v>FERAL HOGS</v>
      </c>
    </row>
    <row r="1155" spans="1:8" x14ac:dyDescent="0.25">
      <c r="E1155" t="str">
        <f>"201902067190"</f>
        <v>201902067190</v>
      </c>
      <c r="F1155" t="str">
        <f>"FERAL HOGS"</f>
        <v>FERAL HOGS</v>
      </c>
      <c r="G1155" s="2">
        <v>10</v>
      </c>
      <c r="H1155" t="str">
        <f>"FERAL HOGS"</f>
        <v>FERAL HOGS</v>
      </c>
    </row>
    <row r="1156" spans="1:8" x14ac:dyDescent="0.25">
      <c r="E1156" t="str">
        <f>"201902067191"</f>
        <v>201902067191</v>
      </c>
      <c r="F1156" t="str">
        <f>"FERAL HOGS"</f>
        <v>FERAL HOGS</v>
      </c>
      <c r="G1156" s="2">
        <v>25</v>
      </c>
      <c r="H1156" t="str">
        <f>"FERAL HOGS"</f>
        <v>FERAL HOGS</v>
      </c>
    </row>
    <row r="1157" spans="1:8" x14ac:dyDescent="0.25">
      <c r="A1157" t="s">
        <v>367</v>
      </c>
      <c r="B1157">
        <v>80976</v>
      </c>
      <c r="C1157" s="2">
        <v>758.72</v>
      </c>
      <c r="D1157" s="1">
        <v>43507</v>
      </c>
      <c r="E1157" t="str">
        <f>"4008361293"</f>
        <v>4008361293</v>
      </c>
      <c r="F1157" t="str">
        <f>"INV 4008361293"</f>
        <v>INV 4008361293</v>
      </c>
      <c r="G1157" s="2">
        <v>758.72</v>
      </c>
      <c r="H1157" t="str">
        <f>"INV 4008361293"</f>
        <v>INV 4008361293</v>
      </c>
    </row>
    <row r="1158" spans="1:8" x14ac:dyDescent="0.25">
      <c r="A1158" t="s">
        <v>368</v>
      </c>
      <c r="B1158">
        <v>80977</v>
      </c>
      <c r="C1158" s="2">
        <v>422.5</v>
      </c>
      <c r="D1158" s="1">
        <v>43507</v>
      </c>
      <c r="E1158" t="str">
        <f>"201902057086"</f>
        <v>201902057086</v>
      </c>
      <c r="F1158" t="str">
        <f>"TRASH REMOVAL 01/28-01/31/P4"</f>
        <v>TRASH REMOVAL 01/28-01/31/P4</v>
      </c>
      <c r="G1158" s="2">
        <v>214.5</v>
      </c>
      <c r="H1158" t="str">
        <f>"TRASH REMOVAL 01/28-01/31/P4"</f>
        <v>TRASH REMOVAL 01/28-01/31/P4</v>
      </c>
    </row>
    <row r="1159" spans="1:8" x14ac:dyDescent="0.25">
      <c r="E1159" t="str">
        <f>"201902057087"</f>
        <v>201902057087</v>
      </c>
      <c r="F1159" t="str">
        <f>"TRASH REMOVAL 02/01-02/08/P4"</f>
        <v>TRASH REMOVAL 02/01-02/08/P4</v>
      </c>
      <c r="G1159" s="2">
        <v>208</v>
      </c>
      <c r="H1159" t="str">
        <f>"TRASH REMOVAL 02/01-02/08/P4"</f>
        <v>TRASH REMOVAL 02/01-02/08/P4</v>
      </c>
    </row>
    <row r="1160" spans="1:8" x14ac:dyDescent="0.25">
      <c r="A1160" t="s">
        <v>368</v>
      </c>
      <c r="B1160">
        <v>81186</v>
      </c>
      <c r="C1160" s="2">
        <v>429</v>
      </c>
      <c r="D1160" s="1">
        <v>43522</v>
      </c>
      <c r="E1160" t="str">
        <f>"201902227503"</f>
        <v>201902227503</v>
      </c>
      <c r="F1160" t="str">
        <f>"TRASH REMOVAL 02/11-02/22/P4"</f>
        <v>TRASH REMOVAL 02/11-02/22/P4</v>
      </c>
      <c r="G1160" s="2">
        <v>429</v>
      </c>
      <c r="H1160" t="str">
        <f>"TRASH REMOVAL 02/11-02/22/P4"</f>
        <v>TRASH REMOVAL 02/11-02/22/P4</v>
      </c>
    </row>
    <row r="1161" spans="1:8" x14ac:dyDescent="0.25">
      <c r="A1161" t="s">
        <v>369</v>
      </c>
      <c r="B1161">
        <v>426</v>
      </c>
      <c r="C1161" s="2">
        <v>3640</v>
      </c>
      <c r="D1161" s="1">
        <v>43508</v>
      </c>
      <c r="E1161" t="str">
        <f>"270"</f>
        <v>270</v>
      </c>
      <c r="F1161" t="str">
        <f>"CUT LIMBS/BRUSH/DEAD TREES/P2"</f>
        <v>CUT LIMBS/BRUSH/DEAD TREES/P2</v>
      </c>
      <c r="G1161" s="2">
        <v>3640</v>
      </c>
      <c r="H1161" t="str">
        <f>"CUT LIMBS/BRUSH/DEAD TREES/P2"</f>
        <v>CUT LIMBS/BRUSH/DEAD TREES/P2</v>
      </c>
    </row>
    <row r="1162" spans="1:8" x14ac:dyDescent="0.25">
      <c r="A1162" t="s">
        <v>370</v>
      </c>
      <c r="B1162">
        <v>434</v>
      </c>
      <c r="C1162" s="2">
        <v>7651.94</v>
      </c>
      <c r="D1162" s="1">
        <v>43508</v>
      </c>
      <c r="E1162" t="str">
        <f>"95140736"</f>
        <v>95140736</v>
      </c>
      <c r="F1162" t="str">
        <f>"ACCT#10187718/PCT#2"</f>
        <v>ACCT#10187718/PCT#2</v>
      </c>
      <c r="G1162" s="2">
        <v>3287.72</v>
      </c>
      <c r="H1162" t="str">
        <f>"ACCT#10187718/PCT#2"</f>
        <v>ACCT#10187718/PCT#2</v>
      </c>
    </row>
    <row r="1163" spans="1:8" x14ac:dyDescent="0.25">
      <c r="E1163" t="str">
        <f>"95149051"</f>
        <v>95149051</v>
      </c>
      <c r="F1163" t="str">
        <f>"ACCT#10187718/PCT#2"</f>
        <v>ACCT#10187718/PCT#2</v>
      </c>
      <c r="G1163" s="2">
        <v>4364.22</v>
      </c>
      <c r="H1163" t="str">
        <f>"ACCT#10187718/PCT#2"</f>
        <v>ACCT#10187718/PCT#2</v>
      </c>
    </row>
    <row r="1164" spans="1:8" x14ac:dyDescent="0.25">
      <c r="A1164" t="s">
        <v>370</v>
      </c>
      <c r="B1164">
        <v>493</v>
      </c>
      <c r="C1164" s="2">
        <v>5180.4399999999996</v>
      </c>
      <c r="D1164" s="1">
        <v>43523</v>
      </c>
      <c r="E1164" t="str">
        <f>"95156036"</f>
        <v>95156036</v>
      </c>
      <c r="F1164" t="str">
        <f>"ACCT#10187718/PCT#2"</f>
        <v>ACCT#10187718/PCT#2</v>
      </c>
      <c r="G1164" s="2">
        <v>2901.36</v>
      </c>
      <c r="H1164" t="str">
        <f>"ACCT#10187718/PCT#2"</f>
        <v>ACCT#10187718/PCT#2</v>
      </c>
    </row>
    <row r="1165" spans="1:8" x14ac:dyDescent="0.25">
      <c r="E1165" t="str">
        <f>"95163718"</f>
        <v>95163718</v>
      </c>
      <c r="F1165" t="str">
        <f>"ACCT#10187718/PCT#2"</f>
        <v>ACCT#10187718/PCT#2</v>
      </c>
      <c r="G1165" s="2">
        <v>2279.08</v>
      </c>
      <c r="H1165" t="str">
        <f>"ACCT#10187718/PCT#2"</f>
        <v>ACCT#10187718/PCT#2</v>
      </c>
    </row>
    <row r="1166" spans="1:8" x14ac:dyDescent="0.25">
      <c r="A1166" t="s">
        <v>371</v>
      </c>
      <c r="B1166">
        <v>81187</v>
      </c>
      <c r="C1166" s="2">
        <v>51</v>
      </c>
      <c r="D1166" s="1">
        <v>43522</v>
      </c>
      <c r="E1166" t="str">
        <f>"9347070177"</f>
        <v>9347070177</v>
      </c>
      <c r="F1166" t="str">
        <f>"INV 9347070177"</f>
        <v>INV 9347070177</v>
      </c>
      <c r="G1166" s="2">
        <v>51</v>
      </c>
      <c r="H1166" t="str">
        <f>"INV 9347070177"</f>
        <v>INV 9347070177</v>
      </c>
    </row>
    <row r="1167" spans="1:8" x14ac:dyDescent="0.25">
      <c r="A1167" t="s">
        <v>372</v>
      </c>
      <c r="B1167">
        <v>80978</v>
      </c>
      <c r="C1167" s="2">
        <v>75</v>
      </c>
      <c r="D1167" s="1">
        <v>43507</v>
      </c>
      <c r="E1167" t="str">
        <f>"12749"</f>
        <v>12749</v>
      </c>
      <c r="F1167" t="str">
        <f>"SERVICE"</f>
        <v>SERVICE</v>
      </c>
      <c r="G1167" s="2">
        <v>75</v>
      </c>
      <c r="H1167" t="str">
        <f>"SERVICE"</f>
        <v>SERVICE</v>
      </c>
    </row>
    <row r="1168" spans="1:8" x14ac:dyDescent="0.25">
      <c r="A1168" t="s">
        <v>373</v>
      </c>
      <c r="B1168">
        <v>423</v>
      </c>
      <c r="C1168" s="2">
        <v>58.56</v>
      </c>
      <c r="D1168" s="1">
        <v>43508</v>
      </c>
      <c r="E1168" t="str">
        <f>"19020104"</f>
        <v>19020104</v>
      </c>
      <c r="F1168" t="str">
        <f>"SVC CONTRACT 01/02/19-02/01/19"</f>
        <v>SVC CONTRACT 01/02/19-02/01/19</v>
      </c>
      <c r="G1168" s="2">
        <v>58.56</v>
      </c>
      <c r="H1168" t="str">
        <f>"SVC CONTRACT 01/02/19-02/01/19"</f>
        <v>SVC CONTRACT 01/02/19-02/01/19</v>
      </c>
    </row>
    <row r="1169" spans="1:8" x14ac:dyDescent="0.25">
      <c r="A1169" t="s">
        <v>374</v>
      </c>
      <c r="B1169">
        <v>80979</v>
      </c>
      <c r="C1169" s="2">
        <v>2002.08</v>
      </c>
      <c r="D1169" s="1">
        <v>43507</v>
      </c>
      <c r="E1169" t="str">
        <f>"76928  76929"</f>
        <v>76928  76929</v>
      </c>
      <c r="F1169" t="str">
        <f>"Inv# 76928 &amp; 76929"</f>
        <v>Inv# 76928 &amp; 76929</v>
      </c>
      <c r="G1169" s="2">
        <v>2002.08</v>
      </c>
      <c r="H1169" t="str">
        <f>"Inv# 76928"</f>
        <v>Inv# 76928</v>
      </c>
    </row>
    <row r="1170" spans="1:8" x14ac:dyDescent="0.25">
      <c r="E1170" t="str">
        <f>""</f>
        <v/>
      </c>
      <c r="F1170" t="str">
        <f>""</f>
        <v/>
      </c>
      <c r="H1170" t="str">
        <f>"Inv# 76929"</f>
        <v>Inv# 76929</v>
      </c>
    </row>
    <row r="1171" spans="1:8" x14ac:dyDescent="0.25">
      <c r="A1171" t="s">
        <v>375</v>
      </c>
      <c r="B1171">
        <v>80980</v>
      </c>
      <c r="C1171" s="2">
        <v>910</v>
      </c>
      <c r="D1171" s="1">
        <v>43507</v>
      </c>
      <c r="E1171" t="str">
        <f>"201902016975"</f>
        <v>201902016975</v>
      </c>
      <c r="F1171" t="str">
        <f>"MEMBERSHIP DUES"</f>
        <v>MEMBERSHIP DUES</v>
      </c>
      <c r="G1171" s="2">
        <v>910</v>
      </c>
      <c r="H1171" t="str">
        <f>"MEMBERSHIP DUES"</f>
        <v>MEMBERSHIP DUES</v>
      </c>
    </row>
    <row r="1172" spans="1:8" x14ac:dyDescent="0.25">
      <c r="A1172" t="s">
        <v>376</v>
      </c>
      <c r="B1172">
        <v>523</v>
      </c>
      <c r="C1172" s="2">
        <v>209</v>
      </c>
      <c r="D1172" s="1">
        <v>43523</v>
      </c>
      <c r="E1172" t="str">
        <f>"1903059"</f>
        <v>1903059</v>
      </c>
      <c r="F1172" t="str">
        <f>"MONTHLY CONTRACT BILLING"</f>
        <v>MONTHLY CONTRACT BILLING</v>
      </c>
      <c r="G1172" s="2">
        <v>209</v>
      </c>
      <c r="H1172" t="str">
        <f>"MONTHLY CONTRACT BILLING"</f>
        <v>MONTHLY CONTRACT BILLING</v>
      </c>
    </row>
    <row r="1173" spans="1:8" x14ac:dyDescent="0.25">
      <c r="A1173" t="s">
        <v>377</v>
      </c>
      <c r="B1173">
        <v>81188</v>
      </c>
      <c r="C1173" s="2">
        <v>436.48</v>
      </c>
      <c r="D1173" s="1">
        <v>43522</v>
      </c>
      <c r="E1173" t="str">
        <f>"201902127366"</f>
        <v>201902127366</v>
      </c>
      <c r="F1173" t="str">
        <f>"COURT REPORTING/MILEAGE"</f>
        <v>COURT REPORTING/MILEAGE</v>
      </c>
      <c r="G1173" s="2">
        <v>436.48</v>
      </c>
      <c r="H1173" t="str">
        <f>"COURT REPORTING/MILEAGE"</f>
        <v>COURT REPORTING/MILEAGE</v>
      </c>
    </row>
    <row r="1174" spans="1:8" x14ac:dyDescent="0.25">
      <c r="A1174" t="s">
        <v>378</v>
      </c>
      <c r="B1174">
        <v>80981</v>
      </c>
      <c r="C1174" s="2">
        <v>15842.36</v>
      </c>
      <c r="D1174" s="1">
        <v>43507</v>
      </c>
      <c r="E1174" t="str">
        <f>"0821331-IN"</f>
        <v>0821331-IN</v>
      </c>
      <c r="F1174" t="str">
        <f>"ACCT#01-0112917/BOL#604546/P1"</f>
        <v>ACCT#01-0112917/BOL#604546/P1</v>
      </c>
      <c r="G1174" s="2">
        <v>5600.88</v>
      </c>
      <c r="H1174" t="str">
        <f>"ACCT#01-0112917/BOL#604546/P1"</f>
        <v>ACCT#01-0112917/BOL#604546/P1</v>
      </c>
    </row>
    <row r="1175" spans="1:8" x14ac:dyDescent="0.25">
      <c r="E1175" t="str">
        <f>"0821641-IN"</f>
        <v>0821641-IN</v>
      </c>
      <c r="F1175" t="str">
        <f>"ACCT#01-0112917"</f>
        <v>ACCT#01-0112917</v>
      </c>
      <c r="G1175" s="2">
        <v>857.2</v>
      </c>
      <c r="H1175" t="str">
        <f>"ACCT#01-0112917"</f>
        <v>ACCT#01-0112917</v>
      </c>
    </row>
    <row r="1176" spans="1:8" x14ac:dyDescent="0.25">
      <c r="E1176" t="str">
        <f>"0822238-IN"</f>
        <v>0822238-IN</v>
      </c>
      <c r="F1176" t="str">
        <f>"ACCT#01-0112917/FUEL/PCT#4"</f>
        <v>ACCT#01-0112917/FUEL/PCT#4</v>
      </c>
      <c r="G1176" s="2">
        <v>5376.34</v>
      </c>
      <c r="H1176" t="str">
        <f>"ACCT#01-0112917/FUEL/PCT#4"</f>
        <v>ACCT#01-0112917/FUEL/PCT#4</v>
      </c>
    </row>
    <row r="1177" spans="1:8" x14ac:dyDescent="0.25">
      <c r="E1177" t="str">
        <f>"0824468-IN"</f>
        <v>0824468-IN</v>
      </c>
      <c r="F1177" t="str">
        <f>"ACCT#01-0112917/FUEL/PCT#3"</f>
        <v>ACCT#01-0112917/FUEL/PCT#3</v>
      </c>
      <c r="G1177" s="2">
        <v>4007.94</v>
      </c>
      <c r="H1177" t="str">
        <f>"ACCT#01-0112917/FUEL/PCT#3"</f>
        <v>ACCT#01-0112917/FUEL/PCT#3</v>
      </c>
    </row>
    <row r="1178" spans="1:8" x14ac:dyDescent="0.25">
      <c r="A1178" t="s">
        <v>378</v>
      </c>
      <c r="B1178">
        <v>81189</v>
      </c>
      <c r="C1178" s="2">
        <v>15408.49</v>
      </c>
      <c r="D1178" s="1">
        <v>43522</v>
      </c>
      <c r="E1178" t="str">
        <f>"0824032-IN"</f>
        <v>0824032-IN</v>
      </c>
      <c r="F1178" t="str">
        <f>"ACCT#01-0112917/FUEL/PCT#4"</f>
        <v>ACCT#01-0112917/FUEL/PCT#4</v>
      </c>
      <c r="G1178" s="2">
        <v>4937.8</v>
      </c>
      <c r="H1178" t="str">
        <f>"ACCT#01-0112917/FUEL/PCT#4"</f>
        <v>ACCT#01-0112917/FUEL/PCT#4</v>
      </c>
    </row>
    <row r="1179" spans="1:8" x14ac:dyDescent="0.25">
      <c r="E1179" t="str">
        <f>"0824395-IN"</f>
        <v>0824395-IN</v>
      </c>
      <c r="F1179" t="str">
        <f>"ACCT#01-0112917/PCT#1"</f>
        <v>ACCT#01-0112917/PCT#1</v>
      </c>
      <c r="G1179" s="2">
        <v>936</v>
      </c>
      <c r="H1179" t="str">
        <f>"ACCT#01-0112917/PCT#1"</f>
        <v>ACCT#01-0112917/PCT#1</v>
      </c>
    </row>
    <row r="1180" spans="1:8" x14ac:dyDescent="0.25">
      <c r="E1180" t="str">
        <f>"0827107-IN"</f>
        <v>0827107-IN</v>
      </c>
      <c r="F1180" t="str">
        <f>"ACCT#01-0112917/FUEL/PCT#3"</f>
        <v>ACCT#01-0112917/FUEL/PCT#3</v>
      </c>
      <c r="G1180" s="2">
        <v>4111.4399999999996</v>
      </c>
      <c r="H1180" t="str">
        <f>"ACCT#01-0112917/FUEL/PCT#3"</f>
        <v>ACCT#01-0112917/FUEL/PCT#3</v>
      </c>
    </row>
    <row r="1181" spans="1:8" x14ac:dyDescent="0.25">
      <c r="E1181" t="str">
        <f>"0829111-IN"</f>
        <v>0829111-IN</v>
      </c>
      <c r="F1181" t="str">
        <f>"ACCT#01-0112917/FUEL/PCT#1"</f>
        <v>ACCT#01-0112917/FUEL/PCT#1</v>
      </c>
      <c r="G1181" s="2">
        <v>5423.25</v>
      </c>
      <c r="H1181" t="str">
        <f>"ACCT#01-0112917/PCT#1"</f>
        <v>ACCT#01-0112917/PCT#1</v>
      </c>
    </row>
    <row r="1182" spans="1:8" x14ac:dyDescent="0.25">
      <c r="A1182" t="s">
        <v>379</v>
      </c>
      <c r="B1182">
        <v>459</v>
      </c>
      <c r="C1182" s="2">
        <v>234</v>
      </c>
      <c r="D1182" s="1">
        <v>43508</v>
      </c>
      <c r="E1182" t="str">
        <f>"1044473"</f>
        <v>1044473</v>
      </c>
      <c r="F1182" t="str">
        <f>"CUST#EM-431"</f>
        <v>CUST#EM-431</v>
      </c>
      <c r="G1182" s="2">
        <v>234</v>
      </c>
      <c r="H1182" t="str">
        <f>"CUST#EM-431"</f>
        <v>CUST#EM-431</v>
      </c>
    </row>
    <row r="1183" spans="1:8" x14ac:dyDescent="0.25">
      <c r="A1183" t="s">
        <v>380</v>
      </c>
      <c r="B1183">
        <v>80982</v>
      </c>
      <c r="C1183" s="2">
        <v>300</v>
      </c>
      <c r="D1183" s="1">
        <v>43507</v>
      </c>
      <c r="E1183" t="str">
        <f>"201902067148"</f>
        <v>201902067148</v>
      </c>
      <c r="F1183" t="str">
        <f>"INV FEB. RENEWAL"</f>
        <v>INV FEB. RENEWAL</v>
      </c>
      <c r="G1183" s="2">
        <v>200</v>
      </c>
      <c r="H1183" t="str">
        <f>"INV FEB. RENEWAL"</f>
        <v>INV FEB. RENEWAL</v>
      </c>
    </row>
    <row r="1184" spans="1:8" x14ac:dyDescent="0.25">
      <c r="E1184" t="str">
        <f>"2584"</f>
        <v>2584</v>
      </c>
      <c r="F1184" t="str">
        <f>"ITEM#56621/BOND RNWL-SUE COOPE"</f>
        <v>ITEM#56621/BOND RNWL-SUE COOPE</v>
      </c>
      <c r="G1184" s="2">
        <v>50</v>
      </c>
      <c r="H1184" t="str">
        <f>"ITEM#56621/BOND RNWL-SUE COOPE"</f>
        <v>ITEM#56621/BOND RNWL-SUE COOPE</v>
      </c>
    </row>
    <row r="1185" spans="1:8" x14ac:dyDescent="0.25">
      <c r="E1185" t="str">
        <f>"2620"</f>
        <v>2620</v>
      </c>
      <c r="F1185" t="str">
        <f>"INV 2620"</f>
        <v>INV 2620</v>
      </c>
      <c r="G1185" s="2">
        <v>50</v>
      </c>
      <c r="H1185" t="str">
        <f>"INV 2620"</f>
        <v>INV 2620</v>
      </c>
    </row>
    <row r="1186" spans="1:8" x14ac:dyDescent="0.25">
      <c r="A1186" t="s">
        <v>380</v>
      </c>
      <c r="B1186">
        <v>81190</v>
      </c>
      <c r="C1186" s="2">
        <v>400</v>
      </c>
      <c r="D1186" s="1">
        <v>43522</v>
      </c>
      <c r="E1186" t="str">
        <f>"201902227523"</f>
        <v>201902227523</v>
      </c>
      <c r="F1186" t="str">
        <f>"MARCH BOND RENEWALS"</f>
        <v>MARCH BOND RENEWALS</v>
      </c>
      <c r="G1186" s="2">
        <v>250</v>
      </c>
      <c r="H1186" t="str">
        <f>"MARCH BOND RENEWALS"</f>
        <v>MARCH BOND RENEWALS</v>
      </c>
    </row>
    <row r="1187" spans="1:8" x14ac:dyDescent="0.25">
      <c r="E1187" t="str">
        <f>"2710"</f>
        <v>2710</v>
      </c>
      <c r="F1187" t="str">
        <f>"INV 2710"</f>
        <v>INV 2710</v>
      </c>
      <c r="G1187" s="2">
        <v>50</v>
      </c>
      <c r="H1187" t="str">
        <f>"INV 2710"</f>
        <v>INV 2710</v>
      </c>
    </row>
    <row r="1188" spans="1:8" x14ac:dyDescent="0.25">
      <c r="E1188" t="str">
        <f>"2748"</f>
        <v>2748</v>
      </c>
      <c r="F1188" t="str">
        <f>"ACCT#BASTCOU-08/BOND-V.FUENTES"</f>
        <v>ACCT#BASTCOU-08/BOND-V.FUENTES</v>
      </c>
      <c r="G1188" s="2">
        <v>50</v>
      </c>
      <c r="H1188" t="str">
        <f>"ACCT#BASTCOU-08/BOND-V.FUENTES"</f>
        <v>ACCT#BASTCOU-08/BOND-V.FUENTES</v>
      </c>
    </row>
    <row r="1189" spans="1:8" x14ac:dyDescent="0.25">
      <c r="E1189" t="str">
        <f>"2749"</f>
        <v>2749</v>
      </c>
      <c r="F1189" t="str">
        <f>"ACCT#BASTCOU-08/BOND A.QUINLEY"</f>
        <v>ACCT#BASTCOU-08/BOND A.QUINLEY</v>
      </c>
      <c r="G1189" s="2">
        <v>50</v>
      </c>
      <c r="H1189" t="str">
        <f>"ACCT#BASTCOU-08/BOND A.QUINLEY"</f>
        <v>ACCT#BASTCOU-08/BOND A.QUINLEY</v>
      </c>
    </row>
    <row r="1190" spans="1:8" x14ac:dyDescent="0.25">
      <c r="A1190" t="s">
        <v>381</v>
      </c>
      <c r="B1190">
        <v>80983</v>
      </c>
      <c r="C1190" s="2">
        <v>60</v>
      </c>
      <c r="D1190" s="1">
        <v>43507</v>
      </c>
      <c r="E1190" t="str">
        <f>"191454  01/01/2019"</f>
        <v>191454  01/01/2019</v>
      </c>
      <c r="F1190" t="str">
        <f>"JPCA MEMBERSHIP-LARRY DUNNE"</f>
        <v>JPCA MEMBERSHIP-LARRY DUNNE</v>
      </c>
      <c r="G1190" s="2">
        <v>60</v>
      </c>
      <c r="H1190" t="str">
        <f>"JPCA MEMBERSHIP-LARRY DUNNE"</f>
        <v>JPCA MEMBERSHIP-LARRY DUNNE</v>
      </c>
    </row>
    <row r="1191" spans="1:8" x14ac:dyDescent="0.25">
      <c r="A1191" t="s">
        <v>381</v>
      </c>
      <c r="B1191">
        <v>80984</v>
      </c>
      <c r="C1191" s="2">
        <v>1560</v>
      </c>
      <c r="D1191" s="1">
        <v>43507</v>
      </c>
      <c r="E1191" t="str">
        <f>"57808"</f>
        <v>57808</v>
      </c>
      <c r="F1191" t="str">
        <f>"236245/110 MBSHP-PAUL PAPE"</f>
        <v>236245/110 MBSHP-PAUL PAPE</v>
      </c>
      <c r="G1191" s="2">
        <v>1560</v>
      </c>
      <c r="H1191" t="str">
        <f>"236245/110 MBSHP-PAUL PAPE"</f>
        <v>236245/110 MBSHP-PAUL PAPE</v>
      </c>
    </row>
    <row r="1192" spans="1:8" x14ac:dyDescent="0.25">
      <c r="A1192" t="s">
        <v>382</v>
      </c>
      <c r="B1192">
        <v>80985</v>
      </c>
      <c r="C1192" s="2">
        <v>750</v>
      </c>
      <c r="D1192" s="1">
        <v>43507</v>
      </c>
      <c r="E1192" t="str">
        <f>"201902016971"</f>
        <v>201902016971</v>
      </c>
      <c r="F1192" t="str">
        <f>"2 REGISTRATIONS"</f>
        <v>2 REGISTRATIONS</v>
      </c>
      <c r="G1192" s="2">
        <v>750</v>
      </c>
      <c r="H1192" t="str">
        <f>"2 REGISTRATIONS"</f>
        <v>2 REGISTRATIONS</v>
      </c>
    </row>
    <row r="1193" spans="1:8" x14ac:dyDescent="0.25">
      <c r="A1193" t="s">
        <v>383</v>
      </c>
      <c r="B1193">
        <v>81191</v>
      </c>
      <c r="C1193" s="2">
        <v>200</v>
      </c>
      <c r="D1193" s="1">
        <v>43522</v>
      </c>
      <c r="E1193" t="str">
        <f>"9714"</f>
        <v>9714</v>
      </c>
      <c r="F1193" t="str">
        <f>"MEMBERSHIP DUES-YOLANDA MORALE"</f>
        <v>MEMBERSHIP DUES-YOLANDA MORALE</v>
      </c>
      <c r="G1193" s="2">
        <v>200</v>
      </c>
      <c r="H1193" t="str">
        <f>"MEMBERSHIP DUES-YOLANDA MORALE"</f>
        <v>MEMBERSHIP DUES-YOLANDA MORALE</v>
      </c>
    </row>
    <row r="1194" spans="1:8" x14ac:dyDescent="0.25">
      <c r="A1194" t="s">
        <v>384</v>
      </c>
      <c r="B1194">
        <v>80986</v>
      </c>
      <c r="C1194" s="2">
        <v>3169.92</v>
      </c>
      <c r="D1194" s="1">
        <v>43507</v>
      </c>
      <c r="E1194" t="str">
        <f>"109970"</f>
        <v>109970</v>
      </c>
      <c r="F1194" t="str">
        <f>"CUST#1574/STONE/PCT#4"</f>
        <v>CUST#1574/STONE/PCT#4</v>
      </c>
      <c r="G1194" s="2">
        <v>1454.22</v>
      </c>
      <c r="H1194" t="str">
        <f>"CUST#1574/STONE/PCT#4"</f>
        <v>CUST#1574/STONE/PCT#4</v>
      </c>
    </row>
    <row r="1195" spans="1:8" x14ac:dyDescent="0.25">
      <c r="E1195" t="str">
        <f>"110193"</f>
        <v>110193</v>
      </c>
      <c r="F1195" t="str">
        <f>"CUST#1574/HARD STONE/PCT#4"</f>
        <v>CUST#1574/HARD STONE/PCT#4</v>
      </c>
      <c r="G1195" s="2">
        <v>1715.7</v>
      </c>
      <c r="H1195" t="str">
        <f>"CUST#1574/HARD STONE/PCT#4"</f>
        <v>CUST#1574/HARD STONE/PCT#4</v>
      </c>
    </row>
    <row r="1196" spans="1:8" x14ac:dyDescent="0.25">
      <c r="A1196" t="s">
        <v>384</v>
      </c>
      <c r="B1196">
        <v>81192</v>
      </c>
      <c r="C1196" s="2">
        <v>3919.04</v>
      </c>
      <c r="D1196" s="1">
        <v>43522</v>
      </c>
      <c r="E1196" t="str">
        <f>"113261"</f>
        <v>113261</v>
      </c>
      <c r="F1196" t="str">
        <f>"CUST#1574/STONE/PCT#4"</f>
        <v>CUST#1574/STONE/PCT#4</v>
      </c>
      <c r="G1196" s="2">
        <v>1114.81</v>
      </c>
      <c r="H1196" t="str">
        <f>"CUST#1574/STONE/PCT#4"</f>
        <v>CUST#1574/STONE/PCT#4</v>
      </c>
    </row>
    <row r="1197" spans="1:8" x14ac:dyDescent="0.25">
      <c r="E1197" t="str">
        <f>"113447"</f>
        <v>113447</v>
      </c>
      <c r="F1197" t="str">
        <f>"CUST#1574/STONE/PCT#4"</f>
        <v>CUST#1574/STONE/PCT#4</v>
      </c>
      <c r="G1197" s="2">
        <v>1134.0899999999999</v>
      </c>
      <c r="H1197" t="str">
        <f>"CUST#1574/STONE/PCT#4"</f>
        <v>CUST#1574/STONE/PCT#4</v>
      </c>
    </row>
    <row r="1198" spans="1:8" x14ac:dyDescent="0.25">
      <c r="E1198" t="str">
        <f>"113670"</f>
        <v>113670</v>
      </c>
      <c r="F1198" t="str">
        <f>"CUST#1574/STONE/PCT#4"</f>
        <v>CUST#1574/STONE/PCT#4</v>
      </c>
      <c r="G1198" s="2">
        <v>554.61</v>
      </c>
      <c r="H1198" t="str">
        <f>"CUST#1574/STONE/PCT#4"</f>
        <v>CUST#1574/STONE/PCT#4</v>
      </c>
    </row>
    <row r="1199" spans="1:8" x14ac:dyDescent="0.25">
      <c r="E1199" t="str">
        <f>"113923"</f>
        <v>113923</v>
      </c>
      <c r="F1199" t="str">
        <f>"CUST#1574/STONE/PCT#4"</f>
        <v>CUST#1574/STONE/PCT#4</v>
      </c>
      <c r="G1199" s="2">
        <v>1115.53</v>
      </c>
      <c r="H1199" t="str">
        <f>"CUST#1574/STONE/PCT#4"</f>
        <v>CUST#1574/STONE/PCT#4</v>
      </c>
    </row>
    <row r="1200" spans="1:8" x14ac:dyDescent="0.25">
      <c r="A1200" t="s">
        <v>385</v>
      </c>
      <c r="B1200">
        <v>80987</v>
      </c>
      <c r="C1200" s="2">
        <v>12</v>
      </c>
      <c r="D1200" s="1">
        <v>43507</v>
      </c>
      <c r="E1200" t="str">
        <f>"CRS-201812-161495"</f>
        <v>CRS-201812-161495</v>
      </c>
      <c r="F1200" t="str">
        <f>"SECURE SITE CCH NAME"</f>
        <v>SECURE SITE CCH NAME</v>
      </c>
      <c r="G1200" s="2">
        <v>12</v>
      </c>
      <c r="H1200" t="str">
        <f>"SECURE SITE CCH NAME"</f>
        <v>SECURE SITE CCH NAME</v>
      </c>
    </row>
    <row r="1201" spans="1:9" x14ac:dyDescent="0.25">
      <c r="A1201" t="s">
        <v>385</v>
      </c>
      <c r="B1201">
        <v>81193</v>
      </c>
      <c r="C1201" s="2">
        <v>210</v>
      </c>
      <c r="D1201" s="1">
        <v>43522</v>
      </c>
      <c r="E1201" t="s">
        <v>225</v>
      </c>
      <c r="F1201" t="s">
        <v>386</v>
      </c>
      <c r="G1201" s="2" t="str">
        <f>"RESTITUTION-SHAWN RIDDLE"</f>
        <v>RESTITUTION-SHAWN RIDDLE</v>
      </c>
      <c r="H1201" t="str">
        <f>"210-0000"</f>
        <v>210-0000</v>
      </c>
      <c r="I1201" t="str">
        <f>""</f>
        <v/>
      </c>
    </row>
    <row r="1202" spans="1:9" x14ac:dyDescent="0.25">
      <c r="E1202" t="s">
        <v>225</v>
      </c>
      <c r="F1202" t="s">
        <v>387</v>
      </c>
      <c r="G1202" s="2" t="str">
        <f>"RESTITUTION-JOSE SALAS-GARCIA"</f>
        <v>RESTITUTION-JOSE SALAS-GARCIA</v>
      </c>
      <c r="H1202" t="str">
        <f>"210-0000"</f>
        <v>210-0000</v>
      </c>
      <c r="I1202" t="str">
        <f>""</f>
        <v/>
      </c>
    </row>
    <row r="1203" spans="1:9" x14ac:dyDescent="0.25">
      <c r="A1203" t="s">
        <v>388</v>
      </c>
      <c r="B1203">
        <v>80988</v>
      </c>
      <c r="C1203" s="2">
        <v>375</v>
      </c>
      <c r="D1203" s="1">
        <v>43507</v>
      </c>
      <c r="E1203" t="str">
        <f>"17296"</f>
        <v>17296</v>
      </c>
      <c r="F1203" t="str">
        <f>"2019 MEMBERSHIP DUES-R. DAVIS"</f>
        <v>2019 MEMBERSHIP DUES-R. DAVIS</v>
      </c>
      <c r="G1203" s="2">
        <v>75</v>
      </c>
      <c r="H1203" t="str">
        <f>"2019 MEMBERSHIP DUES-R. DAVIS"</f>
        <v>2019 MEMBERSHIP DUES-R. DAVIS</v>
      </c>
    </row>
    <row r="1204" spans="1:9" x14ac:dyDescent="0.25">
      <c r="E1204" t="str">
        <f>"17439"</f>
        <v>17439</v>
      </c>
      <c r="F1204" t="str">
        <f>"2019 DUES-KATHERINE HANNA"</f>
        <v>2019 DUES-KATHERINE HANNA</v>
      </c>
      <c r="G1204" s="2">
        <v>75</v>
      </c>
      <c r="H1204" t="str">
        <f>"2019 DUES-KATHERINE HANNA"</f>
        <v>2019 DUES-KATHERINE HANNA</v>
      </c>
    </row>
    <row r="1205" spans="1:9" x14ac:dyDescent="0.25">
      <c r="E1205" t="str">
        <f>"17934"</f>
        <v>17934</v>
      </c>
      <c r="F1205" t="str">
        <f>"2019 MEMBERSHIP DUES-DENA TINE"</f>
        <v>2019 MEMBERSHIP DUES-DENA TINE</v>
      </c>
      <c r="G1205" s="2">
        <v>75</v>
      </c>
      <c r="H1205" t="str">
        <f>"2019 MEMBERSHIP DUES-DENA TINE"</f>
        <v>2019 MEMBERSHIP DUES-DENA TINE</v>
      </c>
    </row>
    <row r="1206" spans="1:9" x14ac:dyDescent="0.25">
      <c r="E1206" t="str">
        <f>"201901306922"</f>
        <v>201901306922</v>
      </c>
      <c r="F1206" t="str">
        <f>"COURT CLERK-AMELIA BROWN"</f>
        <v>COURT CLERK-AMELIA BROWN</v>
      </c>
      <c r="G1206" s="2">
        <v>75</v>
      </c>
      <c r="H1206" t="str">
        <f>"COURT CLERK-AMELIA BROWN"</f>
        <v>COURT CLERK-AMELIA BROWN</v>
      </c>
    </row>
    <row r="1207" spans="1:9" x14ac:dyDescent="0.25">
      <c r="E1207" t="str">
        <f>"201901306923"</f>
        <v>201901306923</v>
      </c>
      <c r="F1207" t="str">
        <f>"COURT CLERK-DIANE MONTOYA"</f>
        <v>COURT CLERK-DIANE MONTOYA</v>
      </c>
      <c r="G1207" s="2">
        <v>75</v>
      </c>
      <c r="H1207" t="str">
        <f>"COURT CLERK-DIANE MONTOYA"</f>
        <v>COURT CLERK-DIANE MONTOYA</v>
      </c>
    </row>
    <row r="1208" spans="1:9" x14ac:dyDescent="0.25">
      <c r="A1208" t="s">
        <v>389</v>
      </c>
      <c r="B1208">
        <v>81194</v>
      </c>
      <c r="C1208" s="2">
        <v>325</v>
      </c>
      <c r="D1208" s="1">
        <v>43522</v>
      </c>
      <c r="E1208" t="str">
        <f>"201902227473"</f>
        <v>201902227473</v>
      </c>
      <c r="F1208" t="str">
        <f>"ACCT#O-87446/MEMBERSHIP DUES"</f>
        <v>ACCT#O-87446/MEMBERSHIP DUES</v>
      </c>
      <c r="G1208" s="2">
        <v>325</v>
      </c>
      <c r="H1208" t="str">
        <f>"ACCT#O-87446/MEMBERSHIP DUES"</f>
        <v>ACCT#O-87446/MEMBERSHIP DUES</v>
      </c>
    </row>
    <row r="1209" spans="1:9" x14ac:dyDescent="0.25">
      <c r="A1209" t="s">
        <v>390</v>
      </c>
      <c r="B1209">
        <v>80989</v>
      </c>
      <c r="C1209" s="2">
        <v>314.5</v>
      </c>
      <c r="D1209" s="1">
        <v>43507</v>
      </c>
      <c r="E1209" t="str">
        <f>"1CO-0071-19"</f>
        <v>1CO-0071-19</v>
      </c>
      <c r="F1209" t="str">
        <f>"A8245782 - M.S. CARR"</f>
        <v>A8245782 - M.S. CARR</v>
      </c>
      <c r="G1209" s="2">
        <v>157.25</v>
      </c>
      <c r="H1209" t="str">
        <f>"A8245782 - M.S. CARR"</f>
        <v>A8245782 - M.S. CARR</v>
      </c>
    </row>
    <row r="1210" spans="1:9" x14ac:dyDescent="0.25">
      <c r="E1210" t="str">
        <f>"1CO-0405-18"</f>
        <v>1CO-0405-18</v>
      </c>
      <c r="F1210" t="str">
        <f>"A8243979 - J.H. BROOKS JR"</f>
        <v>A8243979 - J.H. BROOKS JR</v>
      </c>
      <c r="G1210" s="2">
        <v>157.25</v>
      </c>
      <c r="H1210" t="str">
        <f>"A8243979 - J.H. BROOKS JR"</f>
        <v>A8243979 - J.H. BROOKS JR</v>
      </c>
    </row>
    <row r="1211" spans="1:9" x14ac:dyDescent="0.25">
      <c r="A1211" t="s">
        <v>391</v>
      </c>
      <c r="B1211">
        <v>80990</v>
      </c>
      <c r="C1211" s="2">
        <v>810</v>
      </c>
      <c r="D1211" s="1">
        <v>43507</v>
      </c>
      <c r="E1211" t="str">
        <f>"201902067147"</f>
        <v>201902067147</v>
      </c>
      <c r="F1211" t="str">
        <f>"INV TPA19-021"</f>
        <v>INV TPA19-021</v>
      </c>
      <c r="G1211" s="2">
        <v>810</v>
      </c>
      <c r="H1211" t="str">
        <f>"SHERIFF M.C. COOK"</f>
        <v>SHERIFF M.C. COOK</v>
      </c>
    </row>
    <row r="1212" spans="1:9" x14ac:dyDescent="0.25">
      <c r="E1212" t="str">
        <f>""</f>
        <v/>
      </c>
      <c r="F1212" t="str">
        <f>""</f>
        <v/>
      </c>
      <c r="H1212" t="str">
        <f>"S. SUGARS &amp; L. CRIM"</f>
        <v>S. SUGARS &amp; L. CRIM</v>
      </c>
    </row>
    <row r="1213" spans="1:9" x14ac:dyDescent="0.25">
      <c r="A1213" t="s">
        <v>392</v>
      </c>
      <c r="B1213">
        <v>80991</v>
      </c>
      <c r="C1213" s="2">
        <v>447.46</v>
      </c>
      <c r="D1213" s="1">
        <v>43507</v>
      </c>
      <c r="E1213" t="str">
        <f>"201902057113"</f>
        <v>201902057113</v>
      </c>
      <c r="F1213" t="str">
        <f>"INDIGENT HEALTH"</f>
        <v>INDIGENT HEALTH</v>
      </c>
      <c r="G1213" s="2">
        <v>447.46</v>
      </c>
      <c r="H1213" t="str">
        <f>"INDIGENT HEALTH"</f>
        <v>INDIGENT HEALTH</v>
      </c>
    </row>
    <row r="1214" spans="1:9" x14ac:dyDescent="0.25">
      <c r="A1214" t="s">
        <v>393</v>
      </c>
      <c r="B1214">
        <v>80992</v>
      </c>
      <c r="C1214" s="2">
        <v>1251.5</v>
      </c>
      <c r="D1214" s="1">
        <v>43507</v>
      </c>
      <c r="E1214" t="str">
        <f>"90650"</f>
        <v>90650</v>
      </c>
      <c r="F1214" t="str">
        <f>"ACCT#188757/STONY POINT PARK"</f>
        <v>ACCT#188757/STONY POINT PARK</v>
      </c>
      <c r="G1214" s="2">
        <v>95</v>
      </c>
      <c r="H1214" t="str">
        <f>"ACCT#188757/STONY POINT PARK"</f>
        <v>ACCT#188757/STONY POINT PARK</v>
      </c>
    </row>
    <row r="1215" spans="1:9" x14ac:dyDescent="0.25">
      <c r="E1215" t="str">
        <f>"90693"</f>
        <v>90693</v>
      </c>
      <c r="F1215" t="str">
        <f>"ACCT#188757/P4 ROAD &amp; BRIDGE"</f>
        <v>ACCT#188757/P4 ROAD &amp; BRIDGE</v>
      </c>
      <c r="G1215" s="2">
        <v>95.5</v>
      </c>
      <c r="H1215" t="str">
        <f>"ACCT#188757/P4 ROAD &amp; BRIDGE"</f>
        <v>ACCT#188757/P4 ROAD &amp; BRIDGE</v>
      </c>
    </row>
    <row r="1216" spans="1:9" x14ac:dyDescent="0.25">
      <c r="E1216" t="str">
        <f>"90718"</f>
        <v>90718</v>
      </c>
      <c r="F1216" t="str">
        <f>"ACCT#188757/TAX OFFICE"</f>
        <v>ACCT#188757/TAX OFFICE</v>
      </c>
      <c r="G1216" s="2">
        <v>102</v>
      </c>
      <c r="H1216" t="str">
        <f>"ACCT#188757/TAX OFFICE"</f>
        <v>ACCT#188757/TAX OFFICE</v>
      </c>
    </row>
    <row r="1217" spans="1:8" x14ac:dyDescent="0.25">
      <c r="E1217" t="str">
        <f>"90735"</f>
        <v>90735</v>
      </c>
      <c r="F1217" t="str">
        <f>"ACCT#188757/JP4/TAX OFFICE"</f>
        <v>ACCT#188757/JP4/TAX OFFICE</v>
      </c>
      <c r="G1217" s="2">
        <v>95</v>
      </c>
      <c r="H1217" t="str">
        <f>"ACCT#188757/JP4/TAX OFFICE"</f>
        <v>ACCT#188757/JP4/TAX OFFICE</v>
      </c>
    </row>
    <row r="1218" spans="1:8" x14ac:dyDescent="0.25">
      <c r="E1218" t="str">
        <f>"90764"</f>
        <v>90764</v>
      </c>
      <c r="F1218" t="str">
        <f>"ACCT#188757/LBJ BLDG/HLTH DPT"</f>
        <v>ACCT#188757/LBJ BLDG/HLTH DPT</v>
      </c>
      <c r="G1218" s="2">
        <v>69</v>
      </c>
      <c r="H1218" t="str">
        <f>"ACCT#188757/LBJ BLDG/HLTH DPT"</f>
        <v>ACCT#188757/LBJ BLDG/HLTH DPT</v>
      </c>
    </row>
    <row r="1219" spans="1:8" x14ac:dyDescent="0.25">
      <c r="E1219" t="str">
        <f>"90772"</f>
        <v>90772</v>
      </c>
      <c r="F1219" t="str">
        <f>"ACCT#188757/JP2 ANNEX BUILDING"</f>
        <v>ACCT#188757/JP2 ANNEX BUILDING</v>
      </c>
      <c r="G1219" s="2">
        <v>95</v>
      </c>
      <c r="H1219" t="str">
        <f>"ACCT#188757/JP2 ANNEX BUILDING"</f>
        <v>ACCT#188757/JP2 ANNEX BUILDING</v>
      </c>
    </row>
    <row r="1220" spans="1:8" x14ac:dyDescent="0.25">
      <c r="E1220" t="str">
        <f>"90919"</f>
        <v>90919</v>
      </c>
      <c r="F1220" t="str">
        <f>"ACCT#188757/PCT#2 MAINT BARN"</f>
        <v>ACCT#188757/PCT#2 MAINT BARN</v>
      </c>
      <c r="G1220" s="2">
        <v>95</v>
      </c>
      <c r="H1220" t="str">
        <f>"ACCT#188757/PCT#2 MAINT BARN"</f>
        <v>ACCT#188757/PCT#2 MAINT BARN</v>
      </c>
    </row>
    <row r="1221" spans="1:8" x14ac:dyDescent="0.25">
      <c r="E1221" t="str">
        <f>"91130"</f>
        <v>91130</v>
      </c>
      <c r="F1221" t="str">
        <f>"ACCT#188757/JUVENILE PROBATION"</f>
        <v>ACCT#188757/JUVENILE PROBATION</v>
      </c>
      <c r="G1221" s="2">
        <v>132</v>
      </c>
      <c r="H1221" t="str">
        <f>"ACCT#188757/JUVENILE PROBATION"</f>
        <v>ACCT#188757/JUVENILE PROBATION</v>
      </c>
    </row>
    <row r="1222" spans="1:8" x14ac:dyDescent="0.25">
      <c r="E1222" t="str">
        <f>"91136"</f>
        <v>91136</v>
      </c>
      <c r="F1222" t="str">
        <f>"ACCT#188757/DPS/TDL"</f>
        <v>ACCT#188757/DPS/TDL</v>
      </c>
      <c r="G1222" s="2">
        <v>76</v>
      </c>
      <c r="H1222" t="str">
        <f>"ACCT#188757/DPS/TDL"</f>
        <v>ACCT#188757/DPS/TDL</v>
      </c>
    </row>
    <row r="1223" spans="1:8" x14ac:dyDescent="0.25">
      <c r="E1223" t="str">
        <f>"91154"</f>
        <v>91154</v>
      </c>
      <c r="F1223" t="str">
        <f>"ACCT#188757/EXTEN HABITAT OFF"</f>
        <v>ACCT#188757/EXTEN HABITAT OFF</v>
      </c>
      <c r="G1223" s="2">
        <v>89</v>
      </c>
      <c r="H1223" t="str">
        <f>"ACCT#188757/EXTEN HABITAT OFF"</f>
        <v>ACCT#188757/EXTEN HABITAT OFF</v>
      </c>
    </row>
    <row r="1224" spans="1:8" x14ac:dyDescent="0.25">
      <c r="E1224" t="str">
        <f>"91171"</f>
        <v>91171</v>
      </c>
      <c r="F1224" t="str">
        <f>"ACCT#188757/HISTORIC JAIL"</f>
        <v>ACCT#188757/HISTORIC JAIL</v>
      </c>
      <c r="G1224" s="2">
        <v>76</v>
      </c>
      <c r="H1224" t="str">
        <f>"ACCT#188757/HISTORIC JAIL"</f>
        <v>ACCT#188757/HISTORIC JAIL</v>
      </c>
    </row>
    <row r="1225" spans="1:8" x14ac:dyDescent="0.25">
      <c r="E1225" t="str">
        <f>"91187"</f>
        <v>91187</v>
      </c>
      <c r="F1225" t="str">
        <f>"ACCT#188757/COURTHOUSE"</f>
        <v>ACCT#188757/COURTHOUSE</v>
      </c>
      <c r="G1225" s="2">
        <v>137</v>
      </c>
      <c r="H1225" t="str">
        <f>"ACCT#188757/COURTHOUSE"</f>
        <v>ACCT#188757/COURTHOUSE</v>
      </c>
    </row>
    <row r="1226" spans="1:8" x14ac:dyDescent="0.25">
      <c r="E1226" t="str">
        <f>"91210"</f>
        <v>91210</v>
      </c>
      <c r="F1226" t="str">
        <f>"ACCT#188757/PCT#3 WAREHOUSE"</f>
        <v>ACCT#188757/PCT#3 WAREHOUSE</v>
      </c>
      <c r="G1226" s="2">
        <v>95</v>
      </c>
      <c r="H1226" t="str">
        <f>"ACCT#188757/PCT#3 WAREHOUSE"</f>
        <v>ACCT#188757/PCT#3 WAREHOUSE</v>
      </c>
    </row>
    <row r="1227" spans="1:8" x14ac:dyDescent="0.25">
      <c r="A1227" t="s">
        <v>393</v>
      </c>
      <c r="B1227">
        <v>81195</v>
      </c>
      <c r="C1227" s="2">
        <v>690.5</v>
      </c>
      <c r="D1227" s="1">
        <v>43522</v>
      </c>
      <c r="E1227" t="str">
        <f>"92227"</f>
        <v>92227</v>
      </c>
      <c r="F1227" t="str">
        <f>"ACCT#188757/ANIMAL SHELTER"</f>
        <v>ACCT#188757/ANIMAL SHELTER</v>
      </c>
      <c r="G1227" s="2">
        <v>290</v>
      </c>
      <c r="H1227" t="str">
        <f>"ACCT#188757/ANIMAL SHELTER"</f>
        <v>ACCT#188757/ANIMAL SHELTER</v>
      </c>
    </row>
    <row r="1228" spans="1:8" x14ac:dyDescent="0.25">
      <c r="E1228" t="str">
        <f>"92484"</f>
        <v>92484</v>
      </c>
      <c r="F1228" t="str">
        <f>"ACCT#188757/LOST PINES PARK"</f>
        <v>ACCT#188757/LOST PINES PARK</v>
      </c>
      <c r="G1228" s="2">
        <v>75</v>
      </c>
      <c r="H1228" t="str">
        <f>"ACCT#188757/LOST PINES PARK"</f>
        <v>ACCT#188757/LOST PINES PARK</v>
      </c>
    </row>
    <row r="1229" spans="1:8" x14ac:dyDescent="0.25">
      <c r="E1229" t="str">
        <f>"93665"</f>
        <v>93665</v>
      </c>
      <c r="F1229" t="str">
        <f>"ACCT#188757/RD &amp; BRIDGE/SIGN S"</f>
        <v>ACCT#188757/RD &amp; BRIDGE/SIGN S</v>
      </c>
      <c r="G1229" s="2">
        <v>95</v>
      </c>
      <c r="H1229" t="str">
        <f>"ACCT#188757/RD &amp; BRIDGE/SIGN S"</f>
        <v>ACCT#188757/RD &amp; BRIDGE/SIGN S</v>
      </c>
    </row>
    <row r="1230" spans="1:8" x14ac:dyDescent="0.25">
      <c r="E1230" t="str">
        <f>"93667"</f>
        <v>93667</v>
      </c>
      <c r="F1230" t="str">
        <f>"ACCT#188757/JUVENILE BOOT CAMP"</f>
        <v>ACCT#188757/JUVENILE BOOT CAMP</v>
      </c>
      <c r="G1230" s="2">
        <v>118.5</v>
      </c>
      <c r="H1230" t="str">
        <f>"ACCT#188757/JUVENILE BOOT CAMP"</f>
        <v>ACCT#188757/JUVENILE BOOT CAMP</v>
      </c>
    </row>
    <row r="1231" spans="1:8" x14ac:dyDescent="0.25">
      <c r="E1231" t="str">
        <f>"93745"</f>
        <v>93745</v>
      </c>
      <c r="F1231" t="str">
        <f>"ACCT#188757/MIKE FISHER BLDG"</f>
        <v>ACCT#188757/MIKE FISHER BLDG</v>
      </c>
      <c r="G1231" s="2">
        <v>112</v>
      </c>
      <c r="H1231" t="str">
        <f>"ACCT#188757/MIKE FISHER BLDG"</f>
        <v>ACCT#188757/MIKE FISHER BLDG</v>
      </c>
    </row>
    <row r="1232" spans="1:8" x14ac:dyDescent="0.25">
      <c r="A1232" t="s">
        <v>394</v>
      </c>
      <c r="B1232">
        <v>80993</v>
      </c>
      <c r="C1232" s="2">
        <v>1000</v>
      </c>
      <c r="D1232" s="1">
        <v>43507</v>
      </c>
      <c r="E1232" t="str">
        <f>"201901296878"</f>
        <v>201901296878</v>
      </c>
      <c r="F1232" t="str">
        <f>"1JP615180"</f>
        <v>1JP615180</v>
      </c>
      <c r="G1232" s="2">
        <v>250</v>
      </c>
      <c r="H1232" t="str">
        <f>"1JP615180"</f>
        <v>1JP615180</v>
      </c>
    </row>
    <row r="1233" spans="1:8" x14ac:dyDescent="0.25">
      <c r="E1233" t="str">
        <f>"201901296879"</f>
        <v>201901296879</v>
      </c>
      <c r="F1233" t="str">
        <f>"56388"</f>
        <v>56388</v>
      </c>
      <c r="G1233" s="2">
        <v>250</v>
      </c>
      <c r="H1233" t="str">
        <f>"56388"</f>
        <v>56388</v>
      </c>
    </row>
    <row r="1234" spans="1:8" x14ac:dyDescent="0.25">
      <c r="E1234" t="str">
        <f>"201901296881"</f>
        <v>201901296881</v>
      </c>
      <c r="F1234" t="str">
        <f>"56072"</f>
        <v>56072</v>
      </c>
      <c r="G1234" s="2">
        <v>250</v>
      </c>
      <c r="H1234" t="str">
        <f>"56072"</f>
        <v>56072</v>
      </c>
    </row>
    <row r="1235" spans="1:8" x14ac:dyDescent="0.25">
      <c r="E1235" t="str">
        <f>"201902016987"</f>
        <v>201902016987</v>
      </c>
      <c r="F1235" t="str">
        <f>"55470"</f>
        <v>55470</v>
      </c>
      <c r="G1235" s="2">
        <v>250</v>
      </c>
      <c r="H1235" t="str">
        <f>"55470"</f>
        <v>55470</v>
      </c>
    </row>
    <row r="1236" spans="1:8" x14ac:dyDescent="0.25">
      <c r="A1236" t="s">
        <v>394</v>
      </c>
      <c r="B1236">
        <v>81196</v>
      </c>
      <c r="C1236" s="2">
        <v>625</v>
      </c>
      <c r="D1236" s="1">
        <v>43522</v>
      </c>
      <c r="E1236" t="str">
        <f>"201902127385"</f>
        <v>201902127385</v>
      </c>
      <c r="F1236" t="str">
        <f>"54733  55901"</f>
        <v>54733  55901</v>
      </c>
      <c r="G1236" s="2">
        <v>375</v>
      </c>
      <c r="H1236" t="str">
        <f>"54733  55901"</f>
        <v>54733  55901</v>
      </c>
    </row>
    <row r="1237" spans="1:8" x14ac:dyDescent="0.25">
      <c r="E1237" t="str">
        <f>"201902127386"</f>
        <v>201902127386</v>
      </c>
      <c r="F1237" t="str">
        <f>"55 254"</f>
        <v>55 254</v>
      </c>
      <c r="G1237" s="2">
        <v>250</v>
      </c>
      <c r="H1237" t="str">
        <f>"55 254"</f>
        <v>55 254</v>
      </c>
    </row>
    <row r="1238" spans="1:8" x14ac:dyDescent="0.25">
      <c r="A1238" t="s">
        <v>395</v>
      </c>
      <c r="B1238">
        <v>80994</v>
      </c>
      <c r="C1238" s="2">
        <v>125</v>
      </c>
      <c r="D1238" s="1">
        <v>43507</v>
      </c>
      <c r="E1238" t="str">
        <f>"201902047035"</f>
        <v>201902047035</v>
      </c>
      <c r="F1238" t="str">
        <f>"MEMBERSHIP DUES FOR 2019"</f>
        <v>MEMBERSHIP DUES FOR 2019</v>
      </c>
      <c r="G1238" s="2">
        <v>125</v>
      </c>
      <c r="H1238" t="str">
        <f>"MEMBERSHIP DUES FOR 2019"</f>
        <v>MEMBERSHIP DUES FOR 2019</v>
      </c>
    </row>
    <row r="1239" spans="1:8" x14ac:dyDescent="0.25">
      <c r="A1239" t="s">
        <v>396</v>
      </c>
      <c r="B1239">
        <v>414</v>
      </c>
      <c r="C1239" s="2">
        <v>3475</v>
      </c>
      <c r="D1239" s="1">
        <v>43508</v>
      </c>
      <c r="E1239" t="str">
        <f>"201901296858"</f>
        <v>201901296858</v>
      </c>
      <c r="F1239" t="str">
        <f>"18-18961"</f>
        <v>18-18961</v>
      </c>
      <c r="G1239" s="2">
        <v>175</v>
      </c>
      <c r="H1239" t="str">
        <f>"18-18961"</f>
        <v>18-18961</v>
      </c>
    </row>
    <row r="1240" spans="1:8" x14ac:dyDescent="0.25">
      <c r="E1240" t="str">
        <f>"201901296861"</f>
        <v>201901296861</v>
      </c>
      <c r="F1240" t="str">
        <f>"17-18617"</f>
        <v>17-18617</v>
      </c>
      <c r="G1240" s="2">
        <v>325</v>
      </c>
      <c r="H1240" t="str">
        <f>"17-18617"</f>
        <v>17-18617</v>
      </c>
    </row>
    <row r="1241" spans="1:8" x14ac:dyDescent="0.25">
      <c r="E1241" t="str">
        <f>"201901296862"</f>
        <v>201901296862</v>
      </c>
      <c r="F1241" t="str">
        <f>"18-18996"</f>
        <v>18-18996</v>
      </c>
      <c r="G1241" s="2">
        <v>175</v>
      </c>
      <c r="H1241" t="str">
        <f>"18-18996"</f>
        <v>18-18996</v>
      </c>
    </row>
    <row r="1242" spans="1:8" x14ac:dyDescent="0.25">
      <c r="E1242" t="str">
        <f>"201901296863"</f>
        <v>201901296863</v>
      </c>
      <c r="F1242" t="str">
        <f>"19-19441"</f>
        <v>19-19441</v>
      </c>
      <c r="G1242" s="2">
        <v>175</v>
      </c>
      <c r="H1242" t="str">
        <f>"19-19441"</f>
        <v>19-19441</v>
      </c>
    </row>
    <row r="1243" spans="1:8" x14ac:dyDescent="0.25">
      <c r="E1243" t="str">
        <f>"201901296865"</f>
        <v>201901296865</v>
      </c>
      <c r="F1243" t="str">
        <f>"53 747"</f>
        <v>53 747</v>
      </c>
      <c r="G1243" s="2">
        <v>250</v>
      </c>
      <c r="H1243" t="str">
        <f>"53 747"</f>
        <v>53 747</v>
      </c>
    </row>
    <row r="1244" spans="1:8" x14ac:dyDescent="0.25">
      <c r="E1244" t="str">
        <f>"201901296884"</f>
        <v>201901296884</v>
      </c>
      <c r="F1244" t="str">
        <f>"55 192"</f>
        <v>55 192</v>
      </c>
      <c r="G1244" s="2">
        <v>250</v>
      </c>
      <c r="H1244" t="str">
        <f>"55 192"</f>
        <v>55 192</v>
      </c>
    </row>
    <row r="1245" spans="1:8" x14ac:dyDescent="0.25">
      <c r="E1245" t="str">
        <f>"201901296889"</f>
        <v>201901296889</v>
      </c>
      <c r="F1245" t="str">
        <f>"1JP9418  C180066"</f>
        <v>1JP9418  C180066</v>
      </c>
      <c r="G1245" s="2">
        <v>375</v>
      </c>
      <c r="H1245" t="str">
        <f>"1JP9418  C180066"</f>
        <v>1JP9418  C180066</v>
      </c>
    </row>
    <row r="1246" spans="1:8" x14ac:dyDescent="0.25">
      <c r="E1246" t="str">
        <f>"201901296890"</f>
        <v>201901296890</v>
      </c>
      <c r="F1246" t="str">
        <f>"20181003B"</f>
        <v>20181003B</v>
      </c>
      <c r="G1246" s="2">
        <v>250</v>
      </c>
      <c r="H1246" t="str">
        <f>"20181003B"</f>
        <v>20181003B</v>
      </c>
    </row>
    <row r="1247" spans="1:8" x14ac:dyDescent="0.25">
      <c r="E1247" t="str">
        <f>"201901316963"</f>
        <v>201901316963</v>
      </c>
      <c r="F1247" t="str">
        <f>"16 400"</f>
        <v>16 400</v>
      </c>
      <c r="G1247" s="2">
        <v>1000</v>
      </c>
      <c r="H1247" t="str">
        <f>"16 400"</f>
        <v>16 400</v>
      </c>
    </row>
    <row r="1248" spans="1:8" x14ac:dyDescent="0.25">
      <c r="E1248" t="str">
        <f>"201902057060"</f>
        <v>201902057060</v>
      </c>
      <c r="F1248" t="str">
        <f>"55 301"</f>
        <v>55 301</v>
      </c>
      <c r="G1248" s="2">
        <v>250</v>
      </c>
      <c r="H1248" t="str">
        <f>"55 301"</f>
        <v>55 301</v>
      </c>
    </row>
    <row r="1249" spans="1:8" x14ac:dyDescent="0.25">
      <c r="E1249" t="str">
        <f>"201902057069"</f>
        <v>201902057069</v>
      </c>
      <c r="F1249" t="str">
        <f>"310112013E"</f>
        <v>310112013E</v>
      </c>
      <c r="G1249" s="2">
        <v>250</v>
      </c>
      <c r="H1249" t="str">
        <f>"310112013E"</f>
        <v>310112013E</v>
      </c>
    </row>
    <row r="1250" spans="1:8" x14ac:dyDescent="0.25">
      <c r="A1250" t="s">
        <v>396</v>
      </c>
      <c r="B1250">
        <v>479</v>
      </c>
      <c r="C1250" s="2">
        <v>800</v>
      </c>
      <c r="D1250" s="1">
        <v>43523</v>
      </c>
      <c r="E1250" t="str">
        <f>"201902127356"</f>
        <v>201902127356</v>
      </c>
      <c r="F1250" t="str">
        <f>"16 484"</f>
        <v>16 484</v>
      </c>
      <c r="G1250" s="2">
        <v>400</v>
      </c>
      <c r="H1250" t="str">
        <f>"16 484"</f>
        <v>16 484</v>
      </c>
    </row>
    <row r="1251" spans="1:8" x14ac:dyDescent="0.25">
      <c r="E1251" t="str">
        <f>"201902227480"</f>
        <v>201902227480</v>
      </c>
      <c r="F1251" t="str">
        <f>"18-19013"</f>
        <v>18-19013</v>
      </c>
      <c r="G1251" s="2">
        <v>400</v>
      </c>
      <c r="H1251" t="str">
        <f>"18-19013"</f>
        <v>18-19013</v>
      </c>
    </row>
    <row r="1252" spans="1:8" x14ac:dyDescent="0.25">
      <c r="A1252" t="s">
        <v>397</v>
      </c>
      <c r="B1252">
        <v>81197</v>
      </c>
      <c r="C1252" s="2">
        <v>6276</v>
      </c>
      <c r="D1252" s="1">
        <v>43522</v>
      </c>
      <c r="E1252" t="str">
        <f>"000552050"</f>
        <v>000552050</v>
      </c>
      <c r="F1252" t="str">
        <f>"THE TRAVELERS INDEMNITY COMPAN"</f>
        <v>THE TRAVELERS INDEMNITY COMPAN</v>
      </c>
      <c r="G1252" s="2">
        <v>6276</v>
      </c>
      <c r="H1252" t="str">
        <f>"CLAIM CER2425"</f>
        <v>CLAIM CER2425</v>
      </c>
    </row>
    <row r="1253" spans="1:8" x14ac:dyDescent="0.25">
      <c r="E1253" t="str">
        <f>""</f>
        <v/>
      </c>
      <c r="F1253" t="str">
        <f>""</f>
        <v/>
      </c>
      <c r="H1253" t="str">
        <f>"CLAIM E7C2454"</f>
        <v>CLAIM E7C2454</v>
      </c>
    </row>
    <row r="1254" spans="1:8" x14ac:dyDescent="0.25">
      <c r="E1254" t="str">
        <f>""</f>
        <v/>
      </c>
      <c r="F1254" t="str">
        <f>""</f>
        <v/>
      </c>
      <c r="H1254" t="str">
        <f>"CLAIM E7C9208"</f>
        <v>CLAIM E7C9208</v>
      </c>
    </row>
    <row r="1255" spans="1:8" x14ac:dyDescent="0.25">
      <c r="A1255" t="s">
        <v>398</v>
      </c>
      <c r="B1255">
        <v>81198</v>
      </c>
      <c r="C1255" s="2">
        <v>1096</v>
      </c>
      <c r="D1255" s="1">
        <v>43522</v>
      </c>
      <c r="E1255" t="str">
        <f>"839330471"</f>
        <v>839330471</v>
      </c>
      <c r="F1255" t="str">
        <f>"ACCT#1000648597/WEST INFO CHRG"</f>
        <v>ACCT#1000648597/WEST INFO CHRG</v>
      </c>
      <c r="G1255" s="2">
        <v>548</v>
      </c>
      <c r="H1255" t="str">
        <f>"ACCT#1000648597/WEST INFO CHRG"</f>
        <v>ACCT#1000648597/WEST INFO CHRG</v>
      </c>
    </row>
    <row r="1256" spans="1:8" x14ac:dyDescent="0.25">
      <c r="E1256" t="str">
        <f>"839685842"</f>
        <v>839685842</v>
      </c>
      <c r="F1256" t="str">
        <f>"ACCT#1000648597/WEST INFO CHRG"</f>
        <v>ACCT#1000648597/WEST INFO CHRG</v>
      </c>
      <c r="G1256" s="2">
        <v>548</v>
      </c>
      <c r="H1256" t="str">
        <f>"ACCT#1000648597/WEST INFO CHRG"</f>
        <v>ACCT#1000648597/WEST INFO CHRG</v>
      </c>
    </row>
    <row r="1257" spans="1:8" x14ac:dyDescent="0.25">
      <c r="A1257" t="s">
        <v>399</v>
      </c>
      <c r="B1257">
        <v>80995</v>
      </c>
      <c r="C1257" s="2">
        <v>831.7</v>
      </c>
      <c r="D1257" s="1">
        <v>43507</v>
      </c>
      <c r="E1257" t="str">
        <f>"201901316959"</f>
        <v>201901316959</v>
      </c>
      <c r="F1257" t="str">
        <f>"423-2327"</f>
        <v>423-2327</v>
      </c>
      <c r="G1257" s="2">
        <v>831.7</v>
      </c>
      <c r="H1257" t="str">
        <f>"423-2327"</f>
        <v>423-2327</v>
      </c>
    </row>
    <row r="1258" spans="1:8" x14ac:dyDescent="0.25">
      <c r="A1258" t="s">
        <v>400</v>
      </c>
      <c r="B1258">
        <v>80996</v>
      </c>
      <c r="C1258" s="2">
        <v>11409.89</v>
      </c>
      <c r="D1258" s="1">
        <v>43507</v>
      </c>
      <c r="E1258" t="str">
        <f>"201902057092"</f>
        <v>201902057092</v>
      </c>
      <c r="F1258" t="str">
        <f>"ACCT#8260163000003669"</f>
        <v>ACCT#8260163000003669</v>
      </c>
      <c r="G1258" s="2">
        <v>11409.89</v>
      </c>
      <c r="H1258" t="str">
        <f>"ACCT#8260163000003669"</f>
        <v>ACCT#8260163000003669</v>
      </c>
    </row>
    <row r="1259" spans="1:8" x14ac:dyDescent="0.25">
      <c r="E1259" t="str">
        <f>""</f>
        <v/>
      </c>
      <c r="F1259" t="str">
        <f>""</f>
        <v/>
      </c>
      <c r="H1259" t="str">
        <f>"ACCT#8260163000003669"</f>
        <v>ACCT#8260163000003669</v>
      </c>
    </row>
    <row r="1260" spans="1:8" x14ac:dyDescent="0.25">
      <c r="E1260" t="str">
        <f>""</f>
        <v/>
      </c>
      <c r="F1260" t="str">
        <f>""</f>
        <v/>
      </c>
      <c r="H1260" t="str">
        <f>"ACCT#8260163000003669"</f>
        <v>ACCT#8260163000003669</v>
      </c>
    </row>
    <row r="1261" spans="1:8" x14ac:dyDescent="0.25">
      <c r="A1261" t="s">
        <v>401</v>
      </c>
      <c r="B1261">
        <v>81199</v>
      </c>
      <c r="C1261" s="2">
        <v>399</v>
      </c>
      <c r="D1261" s="1">
        <v>43522</v>
      </c>
      <c r="E1261" t="str">
        <f>"38543"</f>
        <v>38543</v>
      </c>
      <c r="F1261" t="str">
        <f>"WINDOW TINTING"</f>
        <v>WINDOW TINTING</v>
      </c>
      <c r="G1261" s="2">
        <v>399</v>
      </c>
      <c r="H1261" t="str">
        <f>"WINDOW TINTING"</f>
        <v>WINDOW TINTING</v>
      </c>
    </row>
    <row r="1262" spans="1:8" x14ac:dyDescent="0.25">
      <c r="A1262" t="s">
        <v>402</v>
      </c>
      <c r="B1262">
        <v>80997</v>
      </c>
      <c r="C1262" s="2">
        <v>358.58</v>
      </c>
      <c r="D1262" s="1">
        <v>43507</v>
      </c>
      <c r="E1262" t="str">
        <f>"201902067200"</f>
        <v>201902067200</v>
      </c>
      <c r="F1262" t="str">
        <f>"acct# 6035301200167268"</f>
        <v>acct# 6035301200167268</v>
      </c>
      <c r="G1262" s="2">
        <v>358.58</v>
      </c>
      <c r="H1262" t="str">
        <f>"inv# 200545249"</f>
        <v>inv# 200545249</v>
      </c>
    </row>
    <row r="1263" spans="1:8" x14ac:dyDescent="0.25">
      <c r="E1263" t="str">
        <f>""</f>
        <v/>
      </c>
      <c r="F1263" t="str">
        <f>""</f>
        <v/>
      </c>
      <c r="H1263" t="str">
        <f>"inv# 100575764"</f>
        <v>inv# 100575764</v>
      </c>
    </row>
    <row r="1264" spans="1:8" x14ac:dyDescent="0.25">
      <c r="E1264" t="str">
        <f>""</f>
        <v/>
      </c>
      <c r="F1264" t="str">
        <f>""</f>
        <v/>
      </c>
      <c r="H1264" t="str">
        <f>"inv# 300512044"</f>
        <v>inv# 300512044</v>
      </c>
    </row>
    <row r="1265" spans="1:8" x14ac:dyDescent="0.25">
      <c r="E1265" t="str">
        <f>""</f>
        <v/>
      </c>
      <c r="F1265" t="str">
        <f>""</f>
        <v/>
      </c>
      <c r="H1265" t="str">
        <f>"inv# 200544867"</f>
        <v>inv# 200544867</v>
      </c>
    </row>
    <row r="1266" spans="1:8" x14ac:dyDescent="0.25">
      <c r="E1266" t="str">
        <f>""</f>
        <v/>
      </c>
      <c r="F1266" t="str">
        <f>""</f>
        <v/>
      </c>
      <c r="H1266" t="str">
        <f>"inv# 10077378"</f>
        <v>inv# 10077378</v>
      </c>
    </row>
    <row r="1267" spans="1:8" x14ac:dyDescent="0.25">
      <c r="E1267" t="str">
        <f>""</f>
        <v/>
      </c>
      <c r="F1267" t="str">
        <f>""</f>
        <v/>
      </c>
      <c r="H1267" t="str">
        <f>"inv# 10079732"</f>
        <v>inv# 10079732</v>
      </c>
    </row>
    <row r="1268" spans="1:8" x14ac:dyDescent="0.25">
      <c r="A1268" t="s">
        <v>403</v>
      </c>
      <c r="B1268">
        <v>80998</v>
      </c>
      <c r="C1268" s="2">
        <v>1380</v>
      </c>
      <c r="D1268" s="1">
        <v>43507</v>
      </c>
      <c r="E1268" t="str">
        <f>"12109"</f>
        <v>12109</v>
      </c>
      <c r="F1268" t="str">
        <f t="shared" ref="F1268:F1281" si="15">"SERVICE"</f>
        <v>SERVICE</v>
      </c>
      <c r="G1268" s="2">
        <v>75</v>
      </c>
      <c r="H1268" t="str">
        <f t="shared" ref="H1268:H1281" si="16">"SERVICE"</f>
        <v>SERVICE</v>
      </c>
    </row>
    <row r="1269" spans="1:8" x14ac:dyDescent="0.25">
      <c r="E1269" t="str">
        <f>"12205  12/28/18"</f>
        <v>12205  12/28/18</v>
      </c>
      <c r="F1269" t="str">
        <f t="shared" si="15"/>
        <v>SERVICE</v>
      </c>
      <c r="G1269" s="2">
        <v>30</v>
      </c>
      <c r="H1269" t="str">
        <f t="shared" si="16"/>
        <v>SERVICE</v>
      </c>
    </row>
    <row r="1270" spans="1:8" x14ac:dyDescent="0.25">
      <c r="E1270" t="str">
        <f>"12239"</f>
        <v>12239</v>
      </c>
      <c r="F1270" t="str">
        <f t="shared" si="15"/>
        <v>SERVICE</v>
      </c>
      <c r="G1270" s="2">
        <v>75</v>
      </c>
      <c r="H1270" t="str">
        <f t="shared" si="16"/>
        <v>SERVICE</v>
      </c>
    </row>
    <row r="1271" spans="1:8" x14ac:dyDescent="0.25">
      <c r="E1271" t="str">
        <f>"12472"</f>
        <v>12472</v>
      </c>
      <c r="F1271" t="str">
        <f t="shared" si="15"/>
        <v>SERVICE</v>
      </c>
      <c r="G1271" s="2">
        <v>75</v>
      </c>
      <c r="H1271" t="str">
        <f t="shared" si="16"/>
        <v>SERVICE</v>
      </c>
    </row>
    <row r="1272" spans="1:8" x14ac:dyDescent="0.25">
      <c r="E1272" t="str">
        <f>"12478"</f>
        <v>12478</v>
      </c>
      <c r="F1272" t="str">
        <f t="shared" si="15"/>
        <v>SERVICE</v>
      </c>
      <c r="G1272" s="2">
        <v>150</v>
      </c>
      <c r="H1272" t="str">
        <f t="shared" si="16"/>
        <v>SERVICE</v>
      </c>
    </row>
    <row r="1273" spans="1:8" x14ac:dyDescent="0.25">
      <c r="E1273" t="str">
        <f>"12678"</f>
        <v>12678</v>
      </c>
      <c r="F1273" t="str">
        <f t="shared" si="15"/>
        <v>SERVICE</v>
      </c>
      <c r="G1273" s="2">
        <v>75</v>
      </c>
      <c r="H1273" t="str">
        <f t="shared" si="16"/>
        <v>SERVICE</v>
      </c>
    </row>
    <row r="1274" spans="1:8" x14ac:dyDescent="0.25">
      <c r="E1274" t="str">
        <f>"12715"</f>
        <v>12715</v>
      </c>
      <c r="F1274" t="str">
        <f t="shared" si="15"/>
        <v>SERVICE</v>
      </c>
      <c r="G1274" s="2">
        <v>75</v>
      </c>
      <c r="H1274" t="str">
        <f t="shared" si="16"/>
        <v>SERVICE</v>
      </c>
    </row>
    <row r="1275" spans="1:8" x14ac:dyDescent="0.25">
      <c r="E1275" t="str">
        <f>"12749"</f>
        <v>12749</v>
      </c>
      <c r="F1275" t="str">
        <f t="shared" si="15"/>
        <v>SERVICE</v>
      </c>
      <c r="G1275" s="2">
        <v>150</v>
      </c>
      <c r="H1275" t="str">
        <f t="shared" si="16"/>
        <v>SERVICE</v>
      </c>
    </row>
    <row r="1276" spans="1:8" x14ac:dyDescent="0.25">
      <c r="E1276" t="str">
        <f>"12820"</f>
        <v>12820</v>
      </c>
      <c r="F1276" t="str">
        <f t="shared" si="15"/>
        <v>SERVICE</v>
      </c>
      <c r="G1276" s="2">
        <v>75</v>
      </c>
      <c r="H1276" t="str">
        <f t="shared" si="16"/>
        <v>SERVICE</v>
      </c>
    </row>
    <row r="1277" spans="1:8" x14ac:dyDescent="0.25">
      <c r="E1277" t="str">
        <f>"12837"</f>
        <v>12837</v>
      </c>
      <c r="F1277" t="str">
        <f t="shared" si="15"/>
        <v>SERVICE</v>
      </c>
      <c r="G1277" s="2">
        <v>150</v>
      </c>
      <c r="H1277" t="str">
        <f t="shared" si="16"/>
        <v>SERVICE</v>
      </c>
    </row>
    <row r="1278" spans="1:8" x14ac:dyDescent="0.25">
      <c r="E1278" t="str">
        <f>"12864"</f>
        <v>12864</v>
      </c>
      <c r="F1278" t="str">
        <f t="shared" si="15"/>
        <v>SERVICE</v>
      </c>
      <c r="G1278" s="2">
        <v>75</v>
      </c>
      <c r="H1278" t="str">
        <f t="shared" si="16"/>
        <v>SERVICE</v>
      </c>
    </row>
    <row r="1279" spans="1:8" x14ac:dyDescent="0.25">
      <c r="E1279" t="str">
        <f>"12893"</f>
        <v>12893</v>
      </c>
      <c r="F1279" t="str">
        <f t="shared" si="15"/>
        <v>SERVICE</v>
      </c>
      <c r="G1279" s="2">
        <v>150</v>
      </c>
      <c r="H1279" t="str">
        <f t="shared" si="16"/>
        <v>SERVICE</v>
      </c>
    </row>
    <row r="1280" spans="1:8" x14ac:dyDescent="0.25">
      <c r="E1280" t="str">
        <f>"13051"</f>
        <v>13051</v>
      </c>
      <c r="F1280" t="str">
        <f t="shared" si="15"/>
        <v>SERVICE</v>
      </c>
      <c r="G1280" s="2">
        <v>225</v>
      </c>
      <c r="H1280" t="str">
        <f t="shared" si="16"/>
        <v>SERVICE</v>
      </c>
    </row>
    <row r="1281" spans="1:8" x14ac:dyDescent="0.25">
      <c r="A1281" t="s">
        <v>403</v>
      </c>
      <c r="B1281">
        <v>81200</v>
      </c>
      <c r="C1281" s="2">
        <v>75</v>
      </c>
      <c r="D1281" s="1">
        <v>43522</v>
      </c>
      <c r="E1281" t="str">
        <f>"11314  01/03/19"</f>
        <v>11314  01/03/19</v>
      </c>
      <c r="F1281" t="str">
        <f t="shared" si="15"/>
        <v>SERVICE</v>
      </c>
      <c r="G1281" s="2">
        <v>75</v>
      </c>
      <c r="H1281" t="str">
        <f t="shared" si="16"/>
        <v>SERVICE</v>
      </c>
    </row>
    <row r="1282" spans="1:8" x14ac:dyDescent="0.25">
      <c r="A1282" t="s">
        <v>404</v>
      </c>
      <c r="B1282">
        <v>80999</v>
      </c>
      <c r="C1282" s="2">
        <v>79.62</v>
      </c>
      <c r="D1282" s="1">
        <v>43507</v>
      </c>
      <c r="E1282" t="str">
        <f>"4475*98082*1"</f>
        <v>4475*98082*1</v>
      </c>
      <c r="F1282" t="str">
        <f>"JAIL MEDICAL"</f>
        <v>JAIL MEDICAL</v>
      </c>
      <c r="G1282" s="2">
        <v>79.62</v>
      </c>
      <c r="H1282" t="str">
        <f>"JAIL MEDICAL"</f>
        <v>JAIL MEDICAL</v>
      </c>
    </row>
    <row r="1283" spans="1:8" x14ac:dyDescent="0.25">
      <c r="A1283" t="s">
        <v>404</v>
      </c>
      <c r="B1283">
        <v>81201</v>
      </c>
      <c r="C1283" s="2">
        <v>79.62</v>
      </c>
      <c r="D1283" s="1">
        <v>43522</v>
      </c>
      <c r="E1283" t="str">
        <f>"4490*98082*1"</f>
        <v>4490*98082*1</v>
      </c>
      <c r="F1283" t="str">
        <f>"JAIL MEDICAL"</f>
        <v>JAIL MEDICAL</v>
      </c>
      <c r="G1283" s="2">
        <v>79.62</v>
      </c>
      <c r="H1283" t="str">
        <f>"JAIL MEDICAL"</f>
        <v>JAIL MEDICAL</v>
      </c>
    </row>
    <row r="1284" spans="1:8" x14ac:dyDescent="0.25">
      <c r="A1284" t="s">
        <v>405</v>
      </c>
      <c r="B1284">
        <v>81000</v>
      </c>
      <c r="C1284" s="2">
        <v>8700</v>
      </c>
      <c r="D1284" s="1">
        <v>43507</v>
      </c>
      <c r="E1284" t="str">
        <f>"3300002007"</f>
        <v>3300002007</v>
      </c>
      <c r="F1284" t="str">
        <f>"CUST#100010/INV#3300002007"</f>
        <v>CUST#100010/INV#3300002007</v>
      </c>
      <c r="G1284" s="2">
        <v>2900</v>
      </c>
      <c r="H1284" t="str">
        <f>"CUST#100010/INV#3300002007"</f>
        <v>CUST#100010/INV#3300002007</v>
      </c>
    </row>
    <row r="1285" spans="1:8" x14ac:dyDescent="0.25">
      <c r="E1285" t="str">
        <f>"3300002014"</f>
        <v>3300002014</v>
      </c>
      <c r="F1285" t="str">
        <f>"CUST#100733/INV#3300002014"</f>
        <v>CUST#100733/INV#3300002014</v>
      </c>
      <c r="G1285" s="2">
        <v>5800</v>
      </c>
      <c r="H1285" t="str">
        <f>"CUST#100733/INV#3300002014"</f>
        <v>CUST#100733/INV#3300002014</v>
      </c>
    </row>
    <row r="1286" spans="1:8" x14ac:dyDescent="0.25">
      <c r="A1286" t="s">
        <v>406</v>
      </c>
      <c r="B1286">
        <v>81001</v>
      </c>
      <c r="C1286" s="2">
        <v>5</v>
      </c>
      <c r="D1286" s="1">
        <v>43507</v>
      </c>
      <c r="E1286" t="str">
        <f>"201902067192"</f>
        <v>201902067192</v>
      </c>
      <c r="F1286" t="str">
        <f>"FERAL HOGS"</f>
        <v>FERAL HOGS</v>
      </c>
      <c r="G1286" s="2">
        <v>5</v>
      </c>
      <c r="H1286" t="str">
        <f>"FERAL HOGS"</f>
        <v>FERAL HOGS</v>
      </c>
    </row>
    <row r="1287" spans="1:8" x14ac:dyDescent="0.25">
      <c r="A1287" t="s">
        <v>407</v>
      </c>
      <c r="B1287">
        <v>417</v>
      </c>
      <c r="C1287" s="2">
        <v>1221.02</v>
      </c>
      <c r="D1287" s="1">
        <v>43508</v>
      </c>
      <c r="E1287" t="str">
        <f>"747589"</f>
        <v>747589</v>
      </c>
      <c r="F1287" t="str">
        <f>"INV 747589 / UNIT 0127"</f>
        <v>INV 747589 / UNIT 0127</v>
      </c>
      <c r="G1287" s="2">
        <v>138.24</v>
      </c>
      <c r="H1287" t="str">
        <f>"INV 747589 / UNIT 0127"</f>
        <v>INV 747589 / UNIT 0127</v>
      </c>
    </row>
    <row r="1288" spans="1:8" x14ac:dyDescent="0.25">
      <c r="E1288" t="str">
        <f>"969782"</f>
        <v>969782</v>
      </c>
      <c r="F1288" t="str">
        <f>"INV 969782 UNIT 1672"</f>
        <v>INV 969782 UNIT 1672</v>
      </c>
      <c r="G1288" s="2">
        <v>138.24</v>
      </c>
      <c r="H1288" t="str">
        <f>"INV 969782 UNIT 1672"</f>
        <v>INV 969782 UNIT 1672</v>
      </c>
    </row>
    <row r="1289" spans="1:8" x14ac:dyDescent="0.25">
      <c r="E1289" t="str">
        <f>"971413"</f>
        <v>971413</v>
      </c>
      <c r="F1289" t="str">
        <f>"INV 971413 / UNIT 0126"</f>
        <v>INV 971413 / UNIT 0126</v>
      </c>
      <c r="G1289" s="2">
        <v>623.64</v>
      </c>
      <c r="H1289" t="str">
        <f>"INV 971413 / UNIT 0126"</f>
        <v>INV 971413 / UNIT 0126</v>
      </c>
    </row>
    <row r="1290" spans="1:8" x14ac:dyDescent="0.25">
      <c r="E1290" t="str">
        <f>"972790"</f>
        <v>972790</v>
      </c>
      <c r="F1290" t="str">
        <f>"INV 972790 / UNIT 0118"</f>
        <v>INV 972790 / UNIT 0118</v>
      </c>
      <c r="G1290" s="2">
        <v>138.24</v>
      </c>
      <c r="H1290" t="str">
        <f>"INV 972790 / UNIT 0118"</f>
        <v>INV 972790 / UNIT 0118</v>
      </c>
    </row>
    <row r="1291" spans="1:8" x14ac:dyDescent="0.25">
      <c r="E1291" t="str">
        <f>"974370"</f>
        <v>974370</v>
      </c>
      <c r="F1291" t="str">
        <f>"INV 974370 / UNIT 80"</f>
        <v>INV 974370 / UNIT 80</v>
      </c>
      <c r="G1291" s="2">
        <v>182.66</v>
      </c>
      <c r="H1291" t="str">
        <f>"INV 974370 / UNIT 80"</f>
        <v>INV 974370 / UNIT 80</v>
      </c>
    </row>
    <row r="1292" spans="1:8" x14ac:dyDescent="0.25">
      <c r="A1292" t="s">
        <v>407</v>
      </c>
      <c r="B1292">
        <v>480</v>
      </c>
      <c r="C1292" s="2">
        <v>1328.24</v>
      </c>
      <c r="D1292" s="1">
        <v>43523</v>
      </c>
      <c r="E1292" t="str">
        <f>"747753"</f>
        <v>747753</v>
      </c>
      <c r="F1292" t="str">
        <f>"INV 747753 UNIT 4718"</f>
        <v>INV 747753 UNIT 4718</v>
      </c>
      <c r="G1292" s="2">
        <v>138.24</v>
      </c>
      <c r="H1292" t="str">
        <f>"INV 747753 UNIT 4718"</f>
        <v>INV 747753 UNIT 4718</v>
      </c>
    </row>
    <row r="1293" spans="1:8" x14ac:dyDescent="0.25">
      <c r="E1293" t="str">
        <f>"748124"</f>
        <v>748124</v>
      </c>
      <c r="F1293" t="str">
        <f>"INV 748124 UNIT 8948/8953"</f>
        <v>INV 748124 UNIT 8948/8953</v>
      </c>
      <c r="G1293" s="2">
        <v>714</v>
      </c>
      <c r="H1293" t="str">
        <f>"INV 748124 UNIT 8948/8953"</f>
        <v>INV 748124 UNIT 8948/8953</v>
      </c>
    </row>
    <row r="1294" spans="1:8" x14ac:dyDescent="0.25">
      <c r="E1294" t="str">
        <f>"748125"</f>
        <v>748125</v>
      </c>
      <c r="F1294" t="str">
        <f>"INV 748125 UNIT 6424"</f>
        <v>INV 748125 UNIT 6424</v>
      </c>
      <c r="G1294" s="2">
        <v>476</v>
      </c>
      <c r="H1294" t="str">
        <f>"INV 748125"</f>
        <v>INV 748125</v>
      </c>
    </row>
    <row r="1295" spans="1:8" x14ac:dyDescent="0.25">
      <c r="A1295" t="s">
        <v>408</v>
      </c>
      <c r="B1295">
        <v>81002</v>
      </c>
      <c r="C1295" s="2">
        <v>95</v>
      </c>
      <c r="D1295" s="1">
        <v>43507</v>
      </c>
      <c r="E1295" t="str">
        <f>"201902067193"</f>
        <v>201902067193</v>
      </c>
      <c r="F1295" t="str">
        <f>"FERAL HOGS"</f>
        <v>FERAL HOGS</v>
      </c>
      <c r="G1295" s="2">
        <v>65</v>
      </c>
      <c r="H1295" t="str">
        <f>"FERAL HOGS"</f>
        <v>FERAL HOGS</v>
      </c>
    </row>
    <row r="1296" spans="1:8" x14ac:dyDescent="0.25">
      <c r="E1296" t="str">
        <f>"201902067194"</f>
        <v>201902067194</v>
      </c>
      <c r="F1296" t="str">
        <f>"FERAL HOGS"</f>
        <v>FERAL HOGS</v>
      </c>
      <c r="G1296" s="2">
        <v>20</v>
      </c>
      <c r="H1296" t="str">
        <f>"FERAL HOGS"</f>
        <v>FERAL HOGS</v>
      </c>
    </row>
    <row r="1297" spans="1:8" x14ac:dyDescent="0.25">
      <c r="E1297" t="str">
        <f>"201902067195"</f>
        <v>201902067195</v>
      </c>
      <c r="F1297" t="str">
        <f>"FERAL HOGS"</f>
        <v>FERAL HOGS</v>
      </c>
      <c r="G1297" s="2">
        <v>10</v>
      </c>
      <c r="H1297" t="str">
        <f>"FERAL HOGS"</f>
        <v>FERAL HOGS</v>
      </c>
    </row>
    <row r="1298" spans="1:8" x14ac:dyDescent="0.25">
      <c r="A1298" t="s">
        <v>409</v>
      </c>
      <c r="B1298">
        <v>81003</v>
      </c>
      <c r="C1298" s="2">
        <v>33.270000000000003</v>
      </c>
      <c r="D1298" s="1">
        <v>43507</v>
      </c>
      <c r="E1298" t="str">
        <f>"201902057108"</f>
        <v>201902057108</v>
      </c>
      <c r="F1298" t="str">
        <f>"INDIGENT HEALTH"</f>
        <v>INDIGENT HEALTH</v>
      </c>
      <c r="G1298" s="2">
        <v>33.270000000000003</v>
      </c>
      <c r="H1298" t="str">
        <f>"INDIGENT HEALTH"</f>
        <v>INDIGENT HEALTH</v>
      </c>
    </row>
    <row r="1299" spans="1:8" x14ac:dyDescent="0.25">
      <c r="A1299" t="s">
        <v>410</v>
      </c>
      <c r="B1299">
        <v>433</v>
      </c>
      <c r="C1299" s="2">
        <v>25309.96</v>
      </c>
      <c r="D1299" s="1">
        <v>43508</v>
      </c>
      <c r="E1299" t="str">
        <f>"Pay App: 03"</f>
        <v>Pay App: 03</v>
      </c>
      <c r="F1299" t="str">
        <f>"WATER DAMAGE REPAIRS"</f>
        <v>WATER DAMAGE REPAIRS</v>
      </c>
      <c r="G1299" s="2">
        <v>25309.96</v>
      </c>
      <c r="H1299" t="str">
        <f>"WATER DAMAGE REPAIRS"</f>
        <v>WATER DAMAGE REPAIRS</v>
      </c>
    </row>
    <row r="1300" spans="1:8" x14ac:dyDescent="0.25">
      <c r="A1300" t="s">
        <v>411</v>
      </c>
      <c r="B1300">
        <v>491</v>
      </c>
      <c r="C1300" s="2">
        <v>42.77</v>
      </c>
      <c r="D1300" s="1">
        <v>43523</v>
      </c>
      <c r="E1300" t="str">
        <f>"1430"</f>
        <v>1430</v>
      </c>
      <c r="F1300" t="str">
        <f>"INSPECTION/PCT#2"</f>
        <v>INSPECTION/PCT#2</v>
      </c>
      <c r="G1300" s="2">
        <v>14</v>
      </c>
      <c r="H1300" t="str">
        <f>"INSPECTION/PCT#2"</f>
        <v>INSPECTION/PCT#2</v>
      </c>
    </row>
    <row r="1301" spans="1:8" x14ac:dyDescent="0.25">
      <c r="E1301" t="str">
        <f>"1431"</f>
        <v>1431</v>
      </c>
      <c r="F1301" t="str">
        <f>"HOURS/SALES/PCT#2"</f>
        <v>HOURS/SALES/PCT#2</v>
      </c>
      <c r="G1301" s="2">
        <v>28.77</v>
      </c>
      <c r="H1301" t="str">
        <f>"HOURS/SALES/PCT#2"</f>
        <v>HOURS/SALES/PCT#2</v>
      </c>
    </row>
    <row r="1302" spans="1:8" x14ac:dyDescent="0.25">
      <c r="A1302" t="s">
        <v>412</v>
      </c>
      <c r="B1302">
        <v>81004</v>
      </c>
      <c r="C1302" s="2">
        <v>294.27999999999997</v>
      </c>
      <c r="D1302" s="1">
        <v>43507</v>
      </c>
      <c r="E1302" t="str">
        <f>"105302440"</f>
        <v>105302440</v>
      </c>
      <c r="F1302" t="str">
        <f>"BOGUS PAPER"</f>
        <v>BOGUS PAPER</v>
      </c>
      <c r="G1302" s="2">
        <v>294.27999999999997</v>
      </c>
      <c r="H1302" t="str">
        <f>"S-12832"</f>
        <v>S-12832</v>
      </c>
    </row>
    <row r="1303" spans="1:8" x14ac:dyDescent="0.25">
      <c r="E1303" t="str">
        <f>""</f>
        <v/>
      </c>
      <c r="F1303" t="str">
        <f>""</f>
        <v/>
      </c>
      <c r="H1303" t="str">
        <f>"SHIPPING"</f>
        <v>SHIPPING</v>
      </c>
    </row>
    <row r="1304" spans="1:8" x14ac:dyDescent="0.25">
      <c r="A1304" t="s">
        <v>139</v>
      </c>
      <c r="B1304">
        <v>80957</v>
      </c>
      <c r="C1304" s="2">
        <v>16867.16</v>
      </c>
      <c r="D1304" s="1">
        <v>43507</v>
      </c>
      <c r="E1304" t="str">
        <f>"201902057109"</f>
        <v>201902057109</v>
      </c>
      <c r="F1304" t="str">
        <f>"INDIGENT HEALTH"</f>
        <v>INDIGENT HEALTH</v>
      </c>
      <c r="G1304" s="2">
        <v>16091.35</v>
      </c>
      <c r="H1304" t="str">
        <f>"INDIGENT HEALTH"</f>
        <v>INDIGENT HEALTH</v>
      </c>
    </row>
    <row r="1305" spans="1:8" x14ac:dyDescent="0.25">
      <c r="E1305" t="str">
        <f>"4490*98041*1"</f>
        <v>4490*98041*1</v>
      </c>
      <c r="F1305" t="str">
        <f>"JAIL MEDICAL"</f>
        <v>JAIL MEDICAL</v>
      </c>
      <c r="G1305" s="2">
        <v>775.81</v>
      </c>
      <c r="H1305" t="str">
        <f>"JAIL MEDICAL"</f>
        <v>JAIL MEDICAL</v>
      </c>
    </row>
    <row r="1306" spans="1:8" x14ac:dyDescent="0.25">
      <c r="A1306" t="s">
        <v>139</v>
      </c>
      <c r="B1306">
        <v>81173</v>
      </c>
      <c r="C1306" s="2">
        <v>1656.08</v>
      </c>
      <c r="D1306" s="1">
        <v>43522</v>
      </c>
      <c r="E1306" t="str">
        <f>"201902157458"</f>
        <v>201902157458</v>
      </c>
      <c r="F1306" t="str">
        <f>"INDIGENT HEALTH"</f>
        <v>INDIGENT HEALTH</v>
      </c>
      <c r="G1306" s="2">
        <v>1656.08</v>
      </c>
      <c r="H1306" t="str">
        <f>"INDIGENT HEALTH"</f>
        <v>INDIGENT HEALTH</v>
      </c>
    </row>
    <row r="1307" spans="1:8" x14ac:dyDescent="0.25">
      <c r="A1307" t="s">
        <v>413</v>
      </c>
      <c r="B1307">
        <v>81202</v>
      </c>
      <c r="C1307" s="2">
        <v>26.01</v>
      </c>
      <c r="D1307" s="1">
        <v>43522</v>
      </c>
      <c r="E1307" t="str">
        <f>"000018VW63079"</f>
        <v>000018VW63079</v>
      </c>
      <c r="F1307" t="str">
        <f>"INTERNET SHIPPING"</f>
        <v>INTERNET SHIPPING</v>
      </c>
      <c r="G1307" s="2">
        <v>26.01</v>
      </c>
      <c r="H1307" t="str">
        <f>"INTERNET SHIPPING"</f>
        <v>INTERNET SHIPPING</v>
      </c>
    </row>
    <row r="1308" spans="1:8" x14ac:dyDescent="0.25">
      <c r="A1308" t="s">
        <v>414</v>
      </c>
      <c r="B1308">
        <v>81005</v>
      </c>
      <c r="C1308" s="2">
        <v>75</v>
      </c>
      <c r="D1308" s="1">
        <v>43507</v>
      </c>
      <c r="E1308" t="str">
        <f>"12715"</f>
        <v>12715</v>
      </c>
      <c r="F1308" t="str">
        <f>"SERVICE"</f>
        <v>SERVICE</v>
      </c>
      <c r="G1308" s="2">
        <v>75</v>
      </c>
      <c r="H1308" t="str">
        <f>"SERVICE"</f>
        <v>SERVICE</v>
      </c>
    </row>
    <row r="1309" spans="1:8" x14ac:dyDescent="0.25">
      <c r="A1309" t="s">
        <v>415</v>
      </c>
      <c r="B1309">
        <v>81006</v>
      </c>
      <c r="C1309" s="2">
        <v>135.41999999999999</v>
      </c>
      <c r="D1309" s="1">
        <v>43507</v>
      </c>
      <c r="E1309" t="str">
        <f>"2005546"</f>
        <v>2005546</v>
      </c>
      <c r="F1309" t="str">
        <f>"ACCT#17460002268 003/REMOTE BI"</f>
        <v>ACCT#17460002268 003/REMOTE BI</v>
      </c>
      <c r="G1309" s="2">
        <v>135.41999999999999</v>
      </c>
      <c r="H1309" t="str">
        <f>"ACCT#17460002268 003/REMOTE BI"</f>
        <v>ACCT#17460002268 003/REMOTE BI</v>
      </c>
    </row>
    <row r="1310" spans="1:8" x14ac:dyDescent="0.25">
      <c r="A1310" t="s">
        <v>416</v>
      </c>
      <c r="B1310">
        <v>81007</v>
      </c>
      <c r="C1310" s="2">
        <v>26506.13</v>
      </c>
      <c r="D1310" s="1">
        <v>43507</v>
      </c>
      <c r="E1310" t="str">
        <f>"869395921904"</f>
        <v>869395921904</v>
      </c>
      <c r="F1310" t="str">
        <f>"inv# 869395921904"</f>
        <v>inv# 869395921904</v>
      </c>
      <c r="G1310" s="2">
        <v>26506.13</v>
      </c>
      <c r="H1310" t="str">
        <f>"Fuel"</f>
        <v>Fuel</v>
      </c>
    </row>
    <row r="1311" spans="1:8" x14ac:dyDescent="0.25">
      <c r="E1311" t="str">
        <f>""</f>
        <v/>
      </c>
      <c r="F1311" t="str">
        <f>""</f>
        <v/>
      </c>
      <c r="H1311" t="str">
        <f>"Fuel"</f>
        <v>Fuel</v>
      </c>
    </row>
    <row r="1312" spans="1:8" x14ac:dyDescent="0.25">
      <c r="E1312" t="str">
        <f>""</f>
        <v/>
      </c>
      <c r="F1312" t="str">
        <f>""</f>
        <v/>
      </c>
      <c r="H1312" t="str">
        <f>"Main"</f>
        <v>Main</v>
      </c>
    </row>
    <row r="1313" spans="1:8" x14ac:dyDescent="0.25">
      <c r="E1313" t="str">
        <f>""</f>
        <v/>
      </c>
      <c r="F1313" t="str">
        <f>""</f>
        <v/>
      </c>
      <c r="H1313" t="str">
        <f>"Fuel"</f>
        <v>Fuel</v>
      </c>
    </row>
    <row r="1314" spans="1:8" x14ac:dyDescent="0.25">
      <c r="E1314" t="str">
        <f>""</f>
        <v/>
      </c>
      <c r="F1314" t="str">
        <f>""</f>
        <v/>
      </c>
      <c r="H1314" t="str">
        <f>"fuel"</f>
        <v>fuel</v>
      </c>
    </row>
    <row r="1315" spans="1:8" x14ac:dyDescent="0.25">
      <c r="E1315" t="str">
        <f>""</f>
        <v/>
      </c>
      <c r="F1315" t="str">
        <f>""</f>
        <v/>
      </c>
      <c r="H1315" t="str">
        <f>"Main"</f>
        <v>Main</v>
      </c>
    </row>
    <row r="1316" spans="1:8" x14ac:dyDescent="0.25">
      <c r="E1316" t="str">
        <f>""</f>
        <v/>
      </c>
      <c r="F1316" t="str">
        <f>""</f>
        <v/>
      </c>
      <c r="H1316" t="str">
        <f>"Fuel"</f>
        <v>Fuel</v>
      </c>
    </row>
    <row r="1317" spans="1:8" x14ac:dyDescent="0.25">
      <c r="E1317" t="str">
        <f>""</f>
        <v/>
      </c>
      <c r="F1317" t="str">
        <f>""</f>
        <v/>
      </c>
      <c r="H1317" t="str">
        <f>"Main"</f>
        <v>Main</v>
      </c>
    </row>
    <row r="1318" spans="1:8" x14ac:dyDescent="0.25">
      <c r="E1318" t="str">
        <f>""</f>
        <v/>
      </c>
      <c r="F1318" t="str">
        <f>""</f>
        <v/>
      </c>
      <c r="H1318" t="str">
        <f>"fuel"</f>
        <v>fuel</v>
      </c>
    </row>
    <row r="1319" spans="1:8" x14ac:dyDescent="0.25">
      <c r="E1319" t="str">
        <f>""</f>
        <v/>
      </c>
      <c r="F1319" t="str">
        <f>""</f>
        <v/>
      </c>
      <c r="H1319" t="str">
        <f>"main."</f>
        <v>main.</v>
      </c>
    </row>
    <row r="1320" spans="1:8" x14ac:dyDescent="0.25">
      <c r="E1320" t="str">
        <f>""</f>
        <v/>
      </c>
      <c r="F1320" t="str">
        <f>""</f>
        <v/>
      </c>
      <c r="H1320" t="str">
        <f>"Fuel"</f>
        <v>Fuel</v>
      </c>
    </row>
    <row r="1321" spans="1:8" x14ac:dyDescent="0.25">
      <c r="E1321" t="str">
        <f>""</f>
        <v/>
      </c>
      <c r="F1321" t="str">
        <f>""</f>
        <v/>
      </c>
      <c r="H1321" t="str">
        <f>"fuel"</f>
        <v>fuel</v>
      </c>
    </row>
    <row r="1322" spans="1:8" x14ac:dyDescent="0.25">
      <c r="E1322" t="str">
        <f>""</f>
        <v/>
      </c>
      <c r="F1322" t="str">
        <f>""</f>
        <v/>
      </c>
      <c r="H1322" t="str">
        <f>"Fuel Rebate"</f>
        <v>Fuel Rebate</v>
      </c>
    </row>
    <row r="1323" spans="1:8" x14ac:dyDescent="0.25">
      <c r="E1323" t="str">
        <f>""</f>
        <v/>
      </c>
      <c r="F1323" t="str">
        <f>""</f>
        <v/>
      </c>
      <c r="H1323" t="str">
        <f>"Fuel"</f>
        <v>Fuel</v>
      </c>
    </row>
    <row r="1324" spans="1:8" x14ac:dyDescent="0.25">
      <c r="E1324" t="str">
        <f>""</f>
        <v/>
      </c>
      <c r="F1324" t="str">
        <f>""</f>
        <v/>
      </c>
      <c r="H1324" t="str">
        <f>"Main"</f>
        <v>Main</v>
      </c>
    </row>
    <row r="1325" spans="1:8" x14ac:dyDescent="0.25">
      <c r="E1325" t="str">
        <f>""</f>
        <v/>
      </c>
      <c r="F1325" t="str">
        <f>""</f>
        <v/>
      </c>
      <c r="H1325" t="str">
        <f>"Main"</f>
        <v>Main</v>
      </c>
    </row>
    <row r="1326" spans="1:8" x14ac:dyDescent="0.25">
      <c r="A1326" t="s">
        <v>417</v>
      </c>
      <c r="B1326">
        <v>526</v>
      </c>
      <c r="C1326" s="2">
        <v>233.61</v>
      </c>
      <c r="D1326" s="1">
        <v>43523</v>
      </c>
      <c r="E1326" t="str">
        <f>"332499"</f>
        <v>332499</v>
      </c>
      <c r="F1326" t="str">
        <f>"ORD#414969-000/CUST#0010820"</f>
        <v>ORD#414969-000/CUST#0010820</v>
      </c>
      <c r="G1326" s="2">
        <v>233.61</v>
      </c>
      <c r="H1326" t="str">
        <f>"ORD#414969-000/CUST#0010820"</f>
        <v>ORD#414969-000/CUST#0010820</v>
      </c>
    </row>
    <row r="1327" spans="1:8" x14ac:dyDescent="0.25">
      <c r="A1327" t="s">
        <v>418</v>
      </c>
      <c r="B1327">
        <v>80805</v>
      </c>
      <c r="C1327" s="2">
        <v>15050</v>
      </c>
      <c r="D1327" s="1">
        <v>43497</v>
      </c>
      <c r="E1327" t="str">
        <f>"1307"</f>
        <v>1307</v>
      </c>
      <c r="F1327" t="str">
        <f>"W2 DESIGN BUILD LLC"</f>
        <v>W2 DESIGN BUILD LLC</v>
      </c>
      <c r="G1327" s="2">
        <v>15050</v>
      </c>
      <c r="H1327" t="str">
        <f>"W2 DESIGN BUILD LLC"</f>
        <v>W2 DESIGN BUILD LLC</v>
      </c>
    </row>
    <row r="1328" spans="1:8" x14ac:dyDescent="0.25">
      <c r="A1328" t="s">
        <v>419</v>
      </c>
      <c r="B1328">
        <v>421</v>
      </c>
      <c r="C1328" s="2">
        <v>2578.9</v>
      </c>
      <c r="D1328" s="1">
        <v>43508</v>
      </c>
      <c r="E1328" t="str">
        <f>"16086"</f>
        <v>16086</v>
      </c>
      <c r="F1328" t="str">
        <f>"COLD MIX/FREIGHT/PCT#4"</f>
        <v>COLD MIX/FREIGHT/PCT#4</v>
      </c>
      <c r="G1328" s="2">
        <v>2578.9</v>
      </c>
      <c r="H1328" t="str">
        <f>"COLD MIX/FREIGHT/PCT#4"</f>
        <v>COLD MIX/FREIGHT/PCT#4</v>
      </c>
    </row>
    <row r="1329" spans="1:8" x14ac:dyDescent="0.25">
      <c r="A1329" t="s">
        <v>419</v>
      </c>
      <c r="B1329">
        <v>483</v>
      </c>
      <c r="C1329" s="2">
        <v>2589.15</v>
      </c>
      <c r="D1329" s="1">
        <v>43523</v>
      </c>
      <c r="E1329" t="str">
        <f>"16201"</f>
        <v>16201</v>
      </c>
      <c r="F1329" t="str">
        <f>"COLD MIX/FREIGHT/PCT#4"</f>
        <v>COLD MIX/FREIGHT/PCT#4</v>
      </c>
      <c r="G1329" s="2">
        <v>2589.15</v>
      </c>
      <c r="H1329" t="str">
        <f>"COLD MIX/FREIGHT/PCT#4"</f>
        <v>COLD MIX/FREIGHT/PCT#4</v>
      </c>
    </row>
    <row r="1330" spans="1:8" x14ac:dyDescent="0.25">
      <c r="A1330" t="s">
        <v>420</v>
      </c>
      <c r="B1330">
        <v>81008</v>
      </c>
      <c r="C1330" s="2">
        <v>75</v>
      </c>
      <c r="D1330" s="1">
        <v>43507</v>
      </c>
      <c r="E1330" t="str">
        <f>"12864"</f>
        <v>12864</v>
      </c>
      <c r="F1330" t="str">
        <f>"SERVICE"</f>
        <v>SERVICE</v>
      </c>
      <c r="G1330" s="2">
        <v>75</v>
      </c>
      <c r="H1330" t="str">
        <f>"SERVICE"</f>
        <v>SERVICE</v>
      </c>
    </row>
    <row r="1331" spans="1:8" x14ac:dyDescent="0.25">
      <c r="A1331" t="s">
        <v>421</v>
      </c>
      <c r="B1331">
        <v>81009</v>
      </c>
      <c r="C1331" s="2">
        <v>731.23</v>
      </c>
      <c r="D1331" s="1">
        <v>43507</v>
      </c>
      <c r="E1331" t="str">
        <f>"201902077215"</f>
        <v>201902077215</v>
      </c>
      <c r="F1331" t="str">
        <f>"Acct# 6032202005312476"</f>
        <v>Acct# 6032202005312476</v>
      </c>
      <c r="G1331" s="2">
        <v>731.23</v>
      </c>
      <c r="H1331" t="str">
        <f>"Inv# 003694"</f>
        <v>Inv# 003694</v>
      </c>
    </row>
    <row r="1332" spans="1:8" x14ac:dyDescent="0.25">
      <c r="E1332" t="str">
        <f>""</f>
        <v/>
      </c>
      <c r="F1332" t="str">
        <f>""</f>
        <v/>
      </c>
      <c r="H1332" t="str">
        <f>"Inv# 008975"</f>
        <v>Inv# 008975</v>
      </c>
    </row>
    <row r="1333" spans="1:8" x14ac:dyDescent="0.25">
      <c r="E1333" t="str">
        <f>""</f>
        <v/>
      </c>
      <c r="F1333" t="str">
        <f>""</f>
        <v/>
      </c>
      <c r="H1333" t="str">
        <f>"Inv# 000418"</f>
        <v>Inv# 000418</v>
      </c>
    </row>
    <row r="1334" spans="1:8" x14ac:dyDescent="0.25">
      <c r="E1334" t="str">
        <f>""</f>
        <v/>
      </c>
      <c r="F1334" t="str">
        <f>""</f>
        <v/>
      </c>
      <c r="H1334" t="str">
        <f>"Inv# 003682"</f>
        <v>Inv# 003682</v>
      </c>
    </row>
    <row r="1335" spans="1:8" x14ac:dyDescent="0.25">
      <c r="E1335" t="str">
        <f>""</f>
        <v/>
      </c>
      <c r="F1335" t="str">
        <f>""</f>
        <v/>
      </c>
      <c r="H1335" t="str">
        <f>"Inv# 002195"</f>
        <v>Inv# 002195</v>
      </c>
    </row>
    <row r="1336" spans="1:8" x14ac:dyDescent="0.25">
      <c r="E1336" t="str">
        <f>""</f>
        <v/>
      </c>
      <c r="F1336" t="str">
        <f>""</f>
        <v/>
      </c>
      <c r="H1336" t="str">
        <f>"Inv# 005019"</f>
        <v>Inv# 005019</v>
      </c>
    </row>
    <row r="1337" spans="1:8" x14ac:dyDescent="0.25">
      <c r="E1337" t="str">
        <f>""</f>
        <v/>
      </c>
      <c r="F1337" t="str">
        <f>""</f>
        <v/>
      </c>
      <c r="H1337" t="str">
        <f>"Inv# 005986"</f>
        <v>Inv# 005986</v>
      </c>
    </row>
    <row r="1338" spans="1:8" x14ac:dyDescent="0.25">
      <c r="E1338" t="str">
        <f>""</f>
        <v/>
      </c>
      <c r="F1338" t="str">
        <f>""</f>
        <v/>
      </c>
      <c r="H1338" t="str">
        <f>"Inv# 000127"</f>
        <v>Inv# 000127</v>
      </c>
    </row>
    <row r="1339" spans="1:8" x14ac:dyDescent="0.25">
      <c r="E1339" t="str">
        <f>""</f>
        <v/>
      </c>
      <c r="F1339" t="str">
        <f>""</f>
        <v/>
      </c>
      <c r="H1339" t="str">
        <f>"Inv# 009210"</f>
        <v>Inv# 009210</v>
      </c>
    </row>
    <row r="1340" spans="1:8" x14ac:dyDescent="0.25">
      <c r="A1340" t="s">
        <v>422</v>
      </c>
      <c r="B1340">
        <v>81203</v>
      </c>
      <c r="C1340" s="2">
        <v>1342</v>
      </c>
      <c r="D1340" s="1">
        <v>43522</v>
      </c>
      <c r="E1340" t="str">
        <f>"190201"</f>
        <v>190201</v>
      </c>
      <c r="F1340" t="str">
        <f>"RAW POST"</f>
        <v>RAW POST</v>
      </c>
      <c r="G1340" s="2">
        <v>1342</v>
      </c>
      <c r="H1340" t="str">
        <f>"RAW POST"</f>
        <v>RAW POST</v>
      </c>
    </row>
    <row r="1341" spans="1:8" x14ac:dyDescent="0.25">
      <c r="A1341" t="s">
        <v>423</v>
      </c>
      <c r="B1341">
        <v>520</v>
      </c>
      <c r="C1341" s="2">
        <v>28.52</v>
      </c>
      <c r="D1341" s="1">
        <v>43523</v>
      </c>
      <c r="E1341" t="str">
        <f>"SCAUS0058705"</f>
        <v>SCAUS0058705</v>
      </c>
      <c r="F1341" t="str">
        <f>"CUST ID:BASPR4/FILTER ELEM/P4"</f>
        <v>CUST ID:BASPR4/FILTER ELEM/P4</v>
      </c>
      <c r="G1341" s="2">
        <v>28.52</v>
      </c>
      <c r="H1341" t="str">
        <f>"CUST ID:BASPR4/FILTER ELEM/P4"</f>
        <v>CUST ID:BASPR4/FILTER ELEM/P4</v>
      </c>
    </row>
    <row r="1342" spans="1:8" x14ac:dyDescent="0.25">
      <c r="A1342" t="s">
        <v>424</v>
      </c>
      <c r="B1342">
        <v>80809</v>
      </c>
      <c r="C1342" s="2">
        <v>22617.16</v>
      </c>
      <c r="D1342" s="1">
        <v>43502</v>
      </c>
      <c r="E1342" t="str">
        <f>"1702106266"</f>
        <v>1702106266</v>
      </c>
      <c r="F1342" t="str">
        <f>"ACCT#5150-005117630 / 01312019"</f>
        <v>ACCT#5150-005117630 / 01312019</v>
      </c>
      <c r="G1342" s="2">
        <v>250.29</v>
      </c>
      <c r="H1342" t="str">
        <f>"ACCT#5150-005117630 / 01312019"</f>
        <v>ACCT#5150-005117630 / 01312019</v>
      </c>
    </row>
    <row r="1343" spans="1:8" x14ac:dyDescent="0.25">
      <c r="E1343" t="str">
        <f>"1702106267"</f>
        <v>1702106267</v>
      </c>
      <c r="F1343" t="str">
        <f>"ACCT#5150-005117766 / 01312019"</f>
        <v>ACCT#5150-005117766 / 01312019</v>
      </c>
      <c r="G1343" s="2">
        <v>109.87</v>
      </c>
      <c r="H1343" t="str">
        <f>"ACCT#5150-005117766 / 01312019"</f>
        <v>ACCT#5150-005117766 / 01312019</v>
      </c>
    </row>
    <row r="1344" spans="1:8" x14ac:dyDescent="0.25">
      <c r="E1344" t="str">
        <f>"1702106268"</f>
        <v>1702106268</v>
      </c>
      <c r="F1344" t="str">
        <f>"ACCT#5150-005117838 / 01312019"</f>
        <v>ACCT#5150-005117838 / 01312019</v>
      </c>
      <c r="G1344" s="2">
        <v>101.69</v>
      </c>
      <c r="H1344" t="str">
        <f>"ACCT#5150-005117838 / 01312019"</f>
        <v>ACCT#5150-005117838 / 01312019</v>
      </c>
    </row>
    <row r="1345" spans="1:8" x14ac:dyDescent="0.25">
      <c r="E1345" t="str">
        <f>"1702106270"</f>
        <v>1702106270</v>
      </c>
      <c r="F1345" t="str">
        <f>"ACCT#5150-005117882 / 01312019"</f>
        <v>ACCT#5150-005117882 / 01312019</v>
      </c>
      <c r="G1345" s="2">
        <v>137.32</v>
      </c>
      <c r="H1345" t="str">
        <f>"ACCT#5150-005117882 / 01312019"</f>
        <v>ACCT#5150-005117882 / 01312019</v>
      </c>
    </row>
    <row r="1346" spans="1:8" x14ac:dyDescent="0.25">
      <c r="E1346" t="str">
        <f>"1702106272"</f>
        <v>1702106272</v>
      </c>
      <c r="F1346" t="str">
        <f>"ACCT#5150-005118183 / 01312019"</f>
        <v>ACCT#5150-005118183 / 01312019</v>
      </c>
      <c r="G1346" s="2">
        <v>589.49</v>
      </c>
      <c r="H1346" t="str">
        <f>"ACCT#5150-005118183 / 01312019"</f>
        <v>ACCT#5150-005118183 / 01312019</v>
      </c>
    </row>
    <row r="1347" spans="1:8" x14ac:dyDescent="0.25">
      <c r="E1347" t="str">
        <f>"1702106284"</f>
        <v>1702106284</v>
      </c>
      <c r="F1347" t="str">
        <f>"ACCT#5150-005129483 / 01312019"</f>
        <v>ACCT#5150-005129483 / 01312019</v>
      </c>
      <c r="G1347" s="2">
        <v>21428.5</v>
      </c>
      <c r="H1347" t="str">
        <f>"ACCT#5150-005129483 / 01312019"</f>
        <v>ACCT#5150-005129483 / 01312019</v>
      </c>
    </row>
    <row r="1348" spans="1:8" x14ac:dyDescent="0.25">
      <c r="A1348" t="s">
        <v>425</v>
      </c>
      <c r="B1348">
        <v>81204</v>
      </c>
      <c r="C1348" s="2">
        <v>4357.3999999999996</v>
      </c>
      <c r="D1348" s="1">
        <v>43522</v>
      </c>
      <c r="E1348" t="str">
        <f>"0021004-2161-5"</f>
        <v>0021004-2161-5</v>
      </c>
      <c r="F1348" t="str">
        <f>"CUST ID:2-57060-55062/PCT#4"</f>
        <v>CUST ID:2-57060-55062/PCT#4</v>
      </c>
      <c r="G1348" s="2">
        <v>3391.08</v>
      </c>
      <c r="H1348" t="str">
        <f>"CUST ID:2-57060-55062/PCT#4"</f>
        <v>CUST ID:2-57060-55062/PCT#4</v>
      </c>
    </row>
    <row r="1349" spans="1:8" x14ac:dyDescent="0.25">
      <c r="E1349" t="str">
        <f>"0037841-2162-0"</f>
        <v>0037841-2162-0</v>
      </c>
      <c r="F1349" t="str">
        <f>"CUST ID:16-27603-83003/ANIMAL"</f>
        <v>CUST ID:16-27603-83003/ANIMAL</v>
      </c>
      <c r="G1349" s="2">
        <v>109.98</v>
      </c>
      <c r="H1349" t="str">
        <f>"CUST ID:16-27603-83003/ANIMAL"</f>
        <v>CUST ID:16-27603-83003/ANIMAL</v>
      </c>
    </row>
    <row r="1350" spans="1:8" x14ac:dyDescent="0.25">
      <c r="E1350" t="str">
        <f>"018622-2161-9"</f>
        <v>018622-2161-9</v>
      </c>
      <c r="F1350" t="str">
        <f>"CUST ID:2-56581-95066/ANIMAL C"</f>
        <v>CUST ID:2-56581-95066/ANIMAL C</v>
      </c>
      <c r="G1350" s="2">
        <v>856.34</v>
      </c>
      <c r="H1350" t="str">
        <f>"CUST ID:2-56581-95066/ANIMAL C"</f>
        <v>CUST ID:2-56581-95066/ANIMAL C</v>
      </c>
    </row>
    <row r="1351" spans="1:8" x14ac:dyDescent="0.25">
      <c r="A1351" t="s">
        <v>426</v>
      </c>
      <c r="B1351">
        <v>81010</v>
      </c>
      <c r="C1351" s="2">
        <v>94</v>
      </c>
      <c r="D1351" s="1">
        <v>43507</v>
      </c>
      <c r="E1351" t="str">
        <f>"3390"</f>
        <v>3390</v>
      </c>
      <c r="F1351" t="str">
        <f>"SHIRTS/PCT#1"</f>
        <v>SHIRTS/PCT#1</v>
      </c>
      <c r="G1351" s="2">
        <v>94</v>
      </c>
      <c r="H1351" t="str">
        <f>"SHIRTS/PCT#1"</f>
        <v>SHIRTS/PCT#1</v>
      </c>
    </row>
    <row r="1352" spans="1:8" x14ac:dyDescent="0.25">
      <c r="A1352" t="s">
        <v>427</v>
      </c>
      <c r="B1352">
        <v>487</v>
      </c>
      <c r="C1352" s="2">
        <v>8968.1</v>
      </c>
      <c r="D1352" s="1">
        <v>43523</v>
      </c>
      <c r="E1352" t="str">
        <f>"21813"</f>
        <v>21813</v>
      </c>
      <c r="F1352" t="str">
        <f>"INV 21813"</f>
        <v>INV 21813</v>
      </c>
      <c r="G1352" s="2">
        <v>8968.1</v>
      </c>
      <c r="H1352" t="str">
        <f>"INV 21813"</f>
        <v>INV 21813</v>
      </c>
    </row>
    <row r="1353" spans="1:8" x14ac:dyDescent="0.25">
      <c r="A1353" t="s">
        <v>428</v>
      </c>
      <c r="B1353">
        <v>81011</v>
      </c>
      <c r="C1353" s="2">
        <v>2373</v>
      </c>
      <c r="D1353" s="1">
        <v>43507</v>
      </c>
      <c r="E1353" t="str">
        <f>"201902057114"</f>
        <v>201902057114</v>
      </c>
      <c r="F1353" t="str">
        <f>"INDIGENT HEALTH"</f>
        <v>INDIGENT HEALTH</v>
      </c>
      <c r="G1353" s="2">
        <v>2373</v>
      </c>
      <c r="H1353" t="str">
        <f>"INDIGENT HEALTH"</f>
        <v>INDIGENT HEALTH</v>
      </c>
    </row>
    <row r="1354" spans="1:8" x14ac:dyDescent="0.25">
      <c r="A1354" t="s">
        <v>429</v>
      </c>
      <c r="B1354">
        <v>81205</v>
      </c>
      <c r="C1354" s="2">
        <v>720</v>
      </c>
      <c r="D1354" s="1">
        <v>43522</v>
      </c>
      <c r="E1354" t="str">
        <f>"201902127367"</f>
        <v>201902127367</v>
      </c>
      <c r="F1354" t="str">
        <f>"MENTAL HEALTH FILING FEES/CT C"</f>
        <v>MENTAL HEALTH FILING FEES/CT C</v>
      </c>
      <c r="G1354" s="2">
        <v>720</v>
      </c>
      <c r="H1354" t="str">
        <f>"MENTAL HEALTH FILING FEES/CT C"</f>
        <v>MENTAL HEALTH FILING FEES/CT C</v>
      </c>
    </row>
    <row r="1355" spans="1:8" x14ac:dyDescent="0.25">
      <c r="A1355" t="s">
        <v>430</v>
      </c>
      <c r="B1355">
        <v>81012</v>
      </c>
      <c r="C1355" s="2">
        <v>70</v>
      </c>
      <c r="D1355" s="1">
        <v>43507</v>
      </c>
      <c r="E1355" t="str">
        <f>"12223"</f>
        <v>12223</v>
      </c>
      <c r="F1355" t="str">
        <f>"SERVICE"</f>
        <v>SERVICE</v>
      </c>
      <c r="G1355" s="2">
        <v>70</v>
      </c>
      <c r="H1355" t="str">
        <f>"SERVICE"</f>
        <v>SERVICE</v>
      </c>
    </row>
    <row r="1356" spans="1:8" x14ac:dyDescent="0.25">
      <c r="A1356" t="s">
        <v>431</v>
      </c>
      <c r="B1356">
        <v>81013</v>
      </c>
      <c r="C1356" s="2">
        <v>7197.86</v>
      </c>
      <c r="D1356" s="1">
        <v>43507</v>
      </c>
      <c r="E1356" t="str">
        <f>"1378"</f>
        <v>1378</v>
      </c>
      <c r="F1356" t="str">
        <f>"EXCAVATOR-PCT#2"</f>
        <v>EXCAVATOR-PCT#2</v>
      </c>
      <c r="G1356" s="2">
        <v>7197.86</v>
      </c>
      <c r="H1356" t="str">
        <f>"EXCAVATOR-PCT#2"</f>
        <v>EXCAVATOR-PCT#2</v>
      </c>
    </row>
    <row r="1357" spans="1:8" x14ac:dyDescent="0.25">
      <c r="A1357" t="s">
        <v>432</v>
      </c>
      <c r="B1357">
        <v>527</v>
      </c>
      <c r="C1357" s="2">
        <v>184.43</v>
      </c>
      <c r="D1357" s="1">
        <v>43523</v>
      </c>
      <c r="E1357" t="str">
        <f>"095917597"</f>
        <v>095917597</v>
      </c>
      <c r="F1357" t="str">
        <f>"CUST#662445931/VTX00000X-000"</f>
        <v>CUST#662445931/VTX00000X-000</v>
      </c>
      <c r="G1357" s="2">
        <v>106.45</v>
      </c>
      <c r="H1357" t="str">
        <f>"CUST#662445931/VTX00000X-000"</f>
        <v>CUST#662445931/VTX00000X-000</v>
      </c>
    </row>
    <row r="1358" spans="1:8" x14ac:dyDescent="0.25">
      <c r="E1358" t="str">
        <f>"095917598"</f>
        <v>095917598</v>
      </c>
      <c r="F1358" t="str">
        <f>"CUST#662445931/VTX0000X-000"</f>
        <v>CUST#662445931/VTX0000X-000</v>
      </c>
      <c r="G1358" s="2">
        <v>38.99</v>
      </c>
      <c r="H1358" t="str">
        <f>"CUST#662445931/VTX0000X-000"</f>
        <v>CUST#662445931/VTX0000X-000</v>
      </c>
    </row>
    <row r="1359" spans="1:8" x14ac:dyDescent="0.25">
      <c r="E1359" t="str">
        <f>"095917612"</f>
        <v>095917612</v>
      </c>
      <c r="F1359" t="str">
        <f>"CUST#723230843/VTX0000X-000"</f>
        <v>CUST#723230843/VTX0000X-000</v>
      </c>
      <c r="G1359" s="2">
        <v>38.99</v>
      </c>
      <c r="H1359" t="str">
        <f>"CUST#723230843/VTX0000X-000"</f>
        <v>CUST#723230843/VTX0000X-000</v>
      </c>
    </row>
    <row r="1360" spans="1:8" x14ac:dyDescent="0.25">
      <c r="A1360" t="s">
        <v>432</v>
      </c>
      <c r="B1360">
        <v>81206</v>
      </c>
      <c r="C1360" s="2">
        <v>201.64</v>
      </c>
      <c r="D1360" s="1">
        <v>43522</v>
      </c>
      <c r="E1360" t="str">
        <f>"1513296"</f>
        <v>1513296</v>
      </c>
      <c r="F1360" t="str">
        <f>"CONT#010-0095885-001"</f>
        <v>CONT#010-0095885-001</v>
      </c>
      <c r="G1360" s="2">
        <v>201.64</v>
      </c>
      <c r="H1360" t="str">
        <f>"CONT#010-0095885-001"</f>
        <v>CONT#010-0095885-001</v>
      </c>
    </row>
    <row r="1361" spans="1:8" x14ac:dyDescent="0.25">
      <c r="A1361" t="s">
        <v>433</v>
      </c>
      <c r="B1361">
        <v>81014</v>
      </c>
      <c r="C1361" s="2">
        <v>85</v>
      </c>
      <c r="D1361" s="1">
        <v>43507</v>
      </c>
      <c r="E1361" t="str">
        <f>"0013537"</f>
        <v>0013537</v>
      </c>
      <c r="F1361" t="str">
        <f>"TRANSLATOR FEE"</f>
        <v>TRANSLATOR FEE</v>
      </c>
      <c r="G1361" s="2">
        <v>85</v>
      </c>
      <c r="H1361" t="str">
        <f>"TRANSLATOR FEE"</f>
        <v>TRANSLATOR FEE</v>
      </c>
    </row>
    <row r="1362" spans="1:8" x14ac:dyDescent="0.25">
      <c r="A1362" t="s">
        <v>434</v>
      </c>
      <c r="B1362">
        <v>81015</v>
      </c>
      <c r="C1362" s="2">
        <v>737.38</v>
      </c>
      <c r="D1362" s="1">
        <v>43507</v>
      </c>
      <c r="E1362" t="str">
        <f>"201902057115"</f>
        <v>201902057115</v>
      </c>
      <c r="F1362" t="str">
        <f>"INDIGENT HEALTH"</f>
        <v>INDIGENT HEALTH</v>
      </c>
      <c r="G1362" s="2">
        <v>737.38</v>
      </c>
      <c r="H1362" t="str">
        <f>"INDIGENT HEALTH"</f>
        <v>INDIGENT HEALTH</v>
      </c>
    </row>
    <row r="1363" spans="1:8" x14ac:dyDescent="0.25">
      <c r="A1363" t="s">
        <v>10</v>
      </c>
      <c r="B1363">
        <v>81016</v>
      </c>
      <c r="C1363" s="2">
        <v>5099.6000000000004</v>
      </c>
      <c r="D1363" s="1">
        <v>43507</v>
      </c>
      <c r="E1363" t="str">
        <f>"9725-001-105613"</f>
        <v>9725-001-105613</v>
      </c>
      <c r="F1363" t="str">
        <f t="shared" ref="F1363:F1376" si="17">"ACCT#9725-001/REC BASE/PCT#2"</f>
        <v>ACCT#9725-001/REC BASE/PCT#2</v>
      </c>
      <c r="G1363" s="2">
        <v>817.51</v>
      </c>
      <c r="H1363" t="str">
        <f t="shared" ref="H1363:H1376" si="18">"ACCT#9725-001/REC BASE/PCT#2"</f>
        <v>ACCT#9725-001/REC BASE/PCT#2</v>
      </c>
    </row>
    <row r="1364" spans="1:8" x14ac:dyDescent="0.25">
      <c r="E1364" t="str">
        <f>"9725-001-105640"</f>
        <v>9725-001-105640</v>
      </c>
      <c r="F1364" t="str">
        <f t="shared" si="17"/>
        <v>ACCT#9725-001/REC BASE/PCT#2</v>
      </c>
      <c r="G1364" s="2">
        <v>1906.37</v>
      </c>
      <c r="H1364" t="str">
        <f t="shared" si="18"/>
        <v>ACCT#9725-001/REC BASE/PCT#2</v>
      </c>
    </row>
    <row r="1365" spans="1:8" x14ac:dyDescent="0.25">
      <c r="E1365" t="str">
        <f>"9725-001-105705"</f>
        <v>9725-001-105705</v>
      </c>
      <c r="F1365" t="str">
        <f t="shared" si="17"/>
        <v>ACCT#9725-001/REC BASE/PCT#2</v>
      </c>
      <c r="G1365" s="2">
        <v>837.47</v>
      </c>
      <c r="H1365" t="str">
        <f t="shared" si="18"/>
        <v>ACCT#9725-001/REC BASE/PCT#2</v>
      </c>
    </row>
    <row r="1366" spans="1:8" x14ac:dyDescent="0.25">
      <c r="E1366" t="str">
        <f>"9725-001-105872"</f>
        <v>9725-001-105872</v>
      </c>
      <c r="F1366" t="str">
        <f t="shared" si="17"/>
        <v>ACCT#9725-001/REC BASE/PCT#2</v>
      </c>
      <c r="G1366" s="2">
        <v>1538.25</v>
      </c>
      <c r="H1366" t="str">
        <f t="shared" si="18"/>
        <v>ACCT#9725-001/REC BASE/PCT#2</v>
      </c>
    </row>
    <row r="1367" spans="1:8" x14ac:dyDescent="0.25">
      <c r="A1367" t="s">
        <v>10</v>
      </c>
      <c r="B1367">
        <v>81207</v>
      </c>
      <c r="C1367" s="2">
        <v>25040.43</v>
      </c>
      <c r="D1367" s="1">
        <v>43522</v>
      </c>
      <c r="E1367" t="str">
        <f>"9725-001-105899"</f>
        <v>9725-001-105899</v>
      </c>
      <c r="F1367" t="str">
        <f t="shared" si="17"/>
        <v>ACCT#9725-001/REC BASE/PCT#2</v>
      </c>
      <c r="G1367" s="2">
        <v>3970.41</v>
      </c>
      <c r="H1367" t="str">
        <f t="shared" si="18"/>
        <v>ACCT#9725-001/REC BASE/PCT#2</v>
      </c>
    </row>
    <row r="1368" spans="1:8" x14ac:dyDescent="0.25">
      <c r="E1368" t="str">
        <f>"9725-001-105929"</f>
        <v>9725-001-105929</v>
      </c>
      <c r="F1368" t="str">
        <f t="shared" si="17"/>
        <v>ACCT#9725-001/REC BASE/PCT#2</v>
      </c>
      <c r="G1368" s="2">
        <v>1456.78</v>
      </c>
      <c r="H1368" t="str">
        <f t="shared" si="18"/>
        <v>ACCT#9725-001/REC BASE/PCT#2</v>
      </c>
    </row>
    <row r="1369" spans="1:8" x14ac:dyDescent="0.25">
      <c r="E1369" t="str">
        <f>"9725-001-105955"</f>
        <v>9725-001-105955</v>
      </c>
      <c r="F1369" t="str">
        <f t="shared" si="17"/>
        <v>ACCT#9725-001/REC BASE/PCT#2</v>
      </c>
      <c r="G1369" s="2">
        <v>4250.78</v>
      </c>
      <c r="H1369" t="str">
        <f t="shared" si="18"/>
        <v>ACCT#9725-001/REC BASE/PCT#2</v>
      </c>
    </row>
    <row r="1370" spans="1:8" x14ac:dyDescent="0.25">
      <c r="E1370" t="str">
        <f>"9725-001-105984"</f>
        <v>9725-001-105984</v>
      </c>
      <c r="F1370" t="str">
        <f t="shared" si="17"/>
        <v>ACCT#9725-001/REC BASE/PCT#2</v>
      </c>
      <c r="G1370" s="2">
        <v>2227.0500000000002</v>
      </c>
      <c r="H1370" t="str">
        <f t="shared" si="18"/>
        <v>ACCT#9725-001/REC BASE/PCT#2</v>
      </c>
    </row>
    <row r="1371" spans="1:8" x14ac:dyDescent="0.25">
      <c r="E1371" t="str">
        <f>"9725-001-106020"</f>
        <v>9725-001-106020</v>
      </c>
      <c r="F1371" t="str">
        <f t="shared" si="17"/>
        <v>ACCT#9725-001/REC BASE/PCT#2</v>
      </c>
      <c r="G1371" s="2">
        <v>1048.17</v>
      </c>
      <c r="H1371" t="str">
        <f t="shared" si="18"/>
        <v>ACCT#9725-001/REC BASE/PCT#2</v>
      </c>
    </row>
    <row r="1372" spans="1:8" x14ac:dyDescent="0.25">
      <c r="E1372" t="str">
        <f>"9725-001-106041"</f>
        <v>9725-001-106041</v>
      </c>
      <c r="F1372" t="str">
        <f t="shared" si="17"/>
        <v>ACCT#9725-001/REC BASE/PCT#2</v>
      </c>
      <c r="G1372" s="2">
        <v>1829.21</v>
      </c>
      <c r="H1372" t="str">
        <f t="shared" si="18"/>
        <v>ACCT#9725-001/REC BASE/PCT#2</v>
      </c>
    </row>
    <row r="1373" spans="1:8" x14ac:dyDescent="0.25">
      <c r="E1373" t="str">
        <f>"9725-001-106083"</f>
        <v>9725-001-106083</v>
      </c>
      <c r="F1373" t="str">
        <f t="shared" si="17"/>
        <v>ACCT#9725-001/REC BASE/PCT#2</v>
      </c>
      <c r="G1373" s="2">
        <v>4281.2299999999996</v>
      </c>
      <c r="H1373" t="str">
        <f t="shared" si="18"/>
        <v>ACCT#9725-001/REC BASE/PCT#2</v>
      </c>
    </row>
    <row r="1374" spans="1:8" x14ac:dyDescent="0.25">
      <c r="E1374" t="str">
        <f>"9725-001-106109"</f>
        <v>9725-001-106109</v>
      </c>
      <c r="F1374" t="str">
        <f t="shared" si="17"/>
        <v>ACCT#9725-001/REC BASE/PCT#2</v>
      </c>
      <c r="G1374" s="2">
        <v>2893.62</v>
      </c>
      <c r="H1374" t="str">
        <f t="shared" si="18"/>
        <v>ACCT#9725-001/REC BASE/PCT#2</v>
      </c>
    </row>
    <row r="1375" spans="1:8" x14ac:dyDescent="0.25">
      <c r="E1375" t="str">
        <f>"9725-001-106137"</f>
        <v>9725-001-106137</v>
      </c>
      <c r="F1375" t="str">
        <f t="shared" si="17"/>
        <v>ACCT#9725-001/REC BASE/PCT#2</v>
      </c>
      <c r="G1375" s="2">
        <v>2460.79</v>
      </c>
      <c r="H1375" t="str">
        <f t="shared" si="18"/>
        <v>ACCT#9725-001/REC BASE/PCT#2</v>
      </c>
    </row>
    <row r="1376" spans="1:8" x14ac:dyDescent="0.25">
      <c r="E1376" t="str">
        <f>"9725-001-106170"</f>
        <v>9725-001-106170</v>
      </c>
      <c r="F1376" t="str">
        <f t="shared" si="17"/>
        <v>ACCT#9725-001/REC BASE/PCT#2</v>
      </c>
      <c r="G1376" s="2">
        <v>622.39</v>
      </c>
      <c r="H1376" t="str">
        <f t="shared" si="18"/>
        <v>ACCT#9725-001/REC BASE/PCT#2</v>
      </c>
    </row>
    <row r="1377" spans="1:8" x14ac:dyDescent="0.25">
      <c r="A1377" t="s">
        <v>57</v>
      </c>
      <c r="B1377">
        <v>81208</v>
      </c>
      <c r="C1377" s="2">
        <v>19.39</v>
      </c>
      <c r="D1377" s="1">
        <v>43522</v>
      </c>
      <c r="E1377" t="str">
        <f>"13003"</f>
        <v>13003</v>
      </c>
      <c r="F1377" t="str">
        <f>"ACCT#BC01"</f>
        <v>ACCT#BC01</v>
      </c>
      <c r="G1377" s="2">
        <v>19.39</v>
      </c>
      <c r="H1377" t="str">
        <f>"ACCT#BC01"</f>
        <v>ACCT#BC01</v>
      </c>
    </row>
    <row r="1378" spans="1:8" x14ac:dyDescent="0.25">
      <c r="A1378" t="s">
        <v>435</v>
      </c>
      <c r="B1378">
        <v>81017</v>
      </c>
      <c r="C1378" s="2">
        <v>25532.68</v>
      </c>
      <c r="D1378" s="1">
        <v>43507</v>
      </c>
      <c r="E1378" t="str">
        <f>"201902057096"</f>
        <v>201902057096</v>
      </c>
      <c r="F1378" t="str">
        <f>"BOOT CAMP EXPENSES 4TH QTR2018"</f>
        <v>BOOT CAMP EXPENSES 4TH QTR2018</v>
      </c>
      <c r="G1378" s="2">
        <v>25532.68</v>
      </c>
      <c r="H1378" t="str">
        <f>"BOOT CAMP EXPENSES 4TH QTR2018"</f>
        <v>BOOT CAMP EXPENSES 4TH QTR2018</v>
      </c>
    </row>
    <row r="1379" spans="1:8" x14ac:dyDescent="0.25">
      <c r="A1379" t="s">
        <v>79</v>
      </c>
      <c r="B1379">
        <v>81031</v>
      </c>
      <c r="C1379" s="2">
        <v>352.95</v>
      </c>
      <c r="D1379" s="1">
        <v>43511</v>
      </c>
      <c r="E1379" t="str">
        <f>"201902157438"</f>
        <v>201902157438</v>
      </c>
      <c r="F1379" t="str">
        <f>"ACCT#5000057374 / 02042019"</f>
        <v>ACCT#5000057374 / 02042019</v>
      </c>
      <c r="G1379" s="2">
        <v>352.95</v>
      </c>
      <c r="H1379" t="str">
        <f>"ACCT#5000057374 / 02042019"</f>
        <v>ACCT#5000057374 / 02042019</v>
      </c>
    </row>
    <row r="1380" spans="1:8" x14ac:dyDescent="0.25">
      <c r="A1380" t="s">
        <v>436</v>
      </c>
      <c r="B1380">
        <v>81018</v>
      </c>
      <c r="C1380" s="2">
        <v>43906</v>
      </c>
      <c r="D1380" s="1">
        <v>43507</v>
      </c>
      <c r="E1380" t="str">
        <f>"273195"</f>
        <v>273195</v>
      </c>
      <c r="F1380" t="str">
        <f>"GRAPEVINE DODGE CHRYSLER JEEP"</f>
        <v>GRAPEVINE DODGE CHRYSLER JEEP</v>
      </c>
      <c r="G1380" s="2">
        <v>43906</v>
      </c>
      <c r="H1380" t="str">
        <f>"2018 Dodge Ram 2500"</f>
        <v>2018 Dodge Ram 2500</v>
      </c>
    </row>
    <row r="1381" spans="1:8" x14ac:dyDescent="0.25">
      <c r="A1381" t="s">
        <v>194</v>
      </c>
      <c r="B1381">
        <v>81019</v>
      </c>
      <c r="C1381" s="2">
        <v>97.62</v>
      </c>
      <c r="D1381" s="1">
        <v>43507</v>
      </c>
      <c r="E1381" t="str">
        <f>"6022434 6094659"</f>
        <v>6022434 6094659</v>
      </c>
      <c r="F1381" t="str">
        <f>"acct# 3780"</f>
        <v>acct# 3780</v>
      </c>
      <c r="G1381" s="2">
        <v>97.62</v>
      </c>
      <c r="H1381" t="str">
        <f>"Inv# 6022434"</f>
        <v>Inv# 6022434</v>
      </c>
    </row>
    <row r="1382" spans="1:8" x14ac:dyDescent="0.25">
      <c r="E1382" t="str">
        <f>""</f>
        <v/>
      </c>
      <c r="F1382" t="str">
        <f>""</f>
        <v/>
      </c>
      <c r="H1382" t="str">
        <f>"Inv# 6094659"</f>
        <v>Inv# 6094659</v>
      </c>
    </row>
    <row r="1383" spans="1:8" x14ac:dyDescent="0.25">
      <c r="A1383" t="s">
        <v>437</v>
      </c>
      <c r="B1383">
        <v>81209</v>
      </c>
      <c r="C1383" s="2">
        <v>9387.1</v>
      </c>
      <c r="D1383" s="1">
        <v>43522</v>
      </c>
      <c r="E1383" t="str">
        <f>"201901054"</f>
        <v>201901054</v>
      </c>
      <c r="F1383" t="str">
        <f>"PROJ#2017072/911 ER OPER &amp; IT"</f>
        <v>PROJ#2017072/911 ER OPER &amp; IT</v>
      </c>
      <c r="G1383" s="2">
        <v>9387.1</v>
      </c>
      <c r="H1383" t="str">
        <f>"PROJ#2017072/911 ER OPER &amp; IT"</f>
        <v>PROJ#2017072/911 ER OPER &amp; IT</v>
      </c>
    </row>
    <row r="1384" spans="1:8" x14ac:dyDescent="0.25">
      <c r="A1384" t="s">
        <v>234</v>
      </c>
      <c r="B1384">
        <v>81020</v>
      </c>
      <c r="C1384" s="2">
        <v>492.88</v>
      </c>
      <c r="D1384" s="1">
        <v>43507</v>
      </c>
      <c r="E1384" t="str">
        <f>"201901316957"</f>
        <v>201901316957</v>
      </c>
      <c r="F1384" t="str">
        <f>"ACCT#1595/INSPECTION/REPAIR"</f>
        <v>ACCT#1595/INSPECTION/REPAIR</v>
      </c>
      <c r="G1384" s="2">
        <v>132.72999999999999</v>
      </c>
      <c r="H1384" t="str">
        <f>"ACCT#1595/INSPECTION/REPAIR"</f>
        <v>ACCT#1595/INSPECTION/REPAIR</v>
      </c>
    </row>
    <row r="1385" spans="1:8" x14ac:dyDescent="0.25">
      <c r="E1385" t="str">
        <f>"201902057045"</f>
        <v>201902057045</v>
      </c>
      <c r="F1385" t="str">
        <f>"ACCT#1645/WILDFIRE MITIGATION"</f>
        <v>ACCT#1645/WILDFIRE MITIGATION</v>
      </c>
      <c r="G1385" s="2">
        <v>360.15</v>
      </c>
      <c r="H1385" t="str">
        <f>"ACCT#1645/WILDFIRE MITAGATION"</f>
        <v>ACCT#1645/WILDFIRE MITAGATION</v>
      </c>
    </row>
    <row r="1386" spans="1:8" x14ac:dyDescent="0.25">
      <c r="A1386" t="s">
        <v>438</v>
      </c>
      <c r="B1386">
        <v>81021</v>
      </c>
      <c r="C1386" s="2">
        <v>2500</v>
      </c>
      <c r="D1386" s="1">
        <v>43507</v>
      </c>
      <c r="E1386" t="str">
        <f>"3680"</f>
        <v>3680</v>
      </c>
      <c r="F1386" t="str">
        <f>"HMGP ADMIN-ADMINISTRATION"</f>
        <v>HMGP ADMIN-ADMINISTRATION</v>
      </c>
      <c r="G1386" s="2">
        <v>2500</v>
      </c>
      <c r="H1386" t="str">
        <f>"HMGP ADMIN-ADMINISTRATION"</f>
        <v>HMGP ADMIN-ADMINISTRATION</v>
      </c>
    </row>
    <row r="1387" spans="1:8" x14ac:dyDescent="0.25">
      <c r="A1387" t="s">
        <v>439</v>
      </c>
      <c r="B1387">
        <v>81022</v>
      </c>
      <c r="C1387" s="2">
        <v>6057.49</v>
      </c>
      <c r="D1387" s="1">
        <v>43507</v>
      </c>
      <c r="E1387" t="str">
        <f>"18810"</f>
        <v>18810</v>
      </c>
      <c r="F1387" t="str">
        <f t="shared" ref="F1387:F1393" si="19">"FREIGHT SALES/PCT#2"</f>
        <v>FREIGHT SALES/PCT#2</v>
      </c>
      <c r="G1387" s="2">
        <v>2040.8</v>
      </c>
      <c r="H1387" t="str">
        <f t="shared" ref="H1387:H1393" si="20">"FREIGHT SALES/PCT#2"</f>
        <v>FREIGHT SALES/PCT#2</v>
      </c>
    </row>
    <row r="1388" spans="1:8" x14ac:dyDescent="0.25">
      <c r="E1388" t="str">
        <f>"18813"</f>
        <v>18813</v>
      </c>
      <c r="F1388" t="str">
        <f t="shared" si="19"/>
        <v>FREIGHT SALES/PCT#2</v>
      </c>
      <c r="G1388" s="2">
        <v>1818.74</v>
      </c>
      <c r="H1388" t="str">
        <f t="shared" si="20"/>
        <v>FREIGHT SALES/PCT#2</v>
      </c>
    </row>
    <row r="1389" spans="1:8" x14ac:dyDescent="0.25">
      <c r="E1389" t="str">
        <f>"18878"</f>
        <v>18878</v>
      </c>
      <c r="F1389" t="str">
        <f t="shared" si="19"/>
        <v>FREIGHT SALES/PCT#2</v>
      </c>
      <c r="G1389" s="2">
        <v>2197.9499999999998</v>
      </c>
      <c r="H1389" t="str">
        <f t="shared" si="20"/>
        <v>FREIGHT SALES/PCT#2</v>
      </c>
    </row>
    <row r="1390" spans="1:8" x14ac:dyDescent="0.25">
      <c r="A1390" t="s">
        <v>439</v>
      </c>
      <c r="B1390">
        <v>81210</v>
      </c>
      <c r="C1390" s="2">
        <v>6371.25</v>
      </c>
      <c r="D1390" s="1">
        <v>43522</v>
      </c>
      <c r="E1390" t="str">
        <f>"18894"</f>
        <v>18894</v>
      </c>
      <c r="F1390" t="str">
        <f t="shared" si="19"/>
        <v>FREIGHT SALES/PCT#2</v>
      </c>
      <c r="G1390" s="2">
        <v>2947.05</v>
      </c>
      <c r="H1390" t="str">
        <f t="shared" si="20"/>
        <v>FREIGHT SALES/PCT#2</v>
      </c>
    </row>
    <row r="1391" spans="1:8" x14ac:dyDescent="0.25">
      <c r="E1391" t="str">
        <f>"18943"</f>
        <v>18943</v>
      </c>
      <c r="F1391" t="str">
        <f t="shared" si="19"/>
        <v>FREIGHT SALES/PCT#2</v>
      </c>
      <c r="G1391" s="2">
        <v>2545.1999999999998</v>
      </c>
      <c r="H1391" t="str">
        <f t="shared" si="20"/>
        <v>FREIGHT SALES/PCT#2</v>
      </c>
    </row>
    <row r="1392" spans="1:8" x14ac:dyDescent="0.25">
      <c r="E1392" t="str">
        <f>"18944"</f>
        <v>18944</v>
      </c>
      <c r="F1392" t="str">
        <f t="shared" si="19"/>
        <v>FREIGHT SALES/PCT#2</v>
      </c>
      <c r="G1392" s="2">
        <v>120.35</v>
      </c>
      <c r="H1392" t="str">
        <f t="shared" si="20"/>
        <v>FREIGHT SALES/PCT#2</v>
      </c>
    </row>
    <row r="1393" spans="1:8" x14ac:dyDescent="0.25">
      <c r="E1393" t="str">
        <f>"18976"</f>
        <v>18976</v>
      </c>
      <c r="F1393" t="str">
        <f t="shared" si="19"/>
        <v>FREIGHT SALES/PCT#2</v>
      </c>
      <c r="G1393" s="2">
        <v>758.65</v>
      </c>
      <c r="H1393" t="str">
        <f t="shared" si="20"/>
        <v>FREIGHT SALES/PCT#2</v>
      </c>
    </row>
    <row r="1394" spans="1:8" x14ac:dyDescent="0.25">
      <c r="A1394" t="s">
        <v>440</v>
      </c>
      <c r="B1394">
        <v>81211</v>
      </c>
      <c r="C1394" s="2">
        <v>241.14</v>
      </c>
      <c r="D1394" s="1">
        <v>43522</v>
      </c>
      <c r="E1394" t="str">
        <f>"1129"</f>
        <v>1129</v>
      </c>
      <c r="F1394" t="str">
        <f>"TROUSERS/BELTS/MEDIC AID BAG"</f>
        <v>TROUSERS/BELTS/MEDIC AID BAG</v>
      </c>
      <c r="G1394" s="2">
        <v>241.14</v>
      </c>
      <c r="H1394" t="str">
        <f>"TROUSERS/BELTS/MEDIC AID BAG"</f>
        <v>TROUSERS/BELTS/MEDIC AID BAG</v>
      </c>
    </row>
    <row r="1395" spans="1:8" x14ac:dyDescent="0.25">
      <c r="A1395" t="s">
        <v>441</v>
      </c>
      <c r="B1395">
        <v>81212</v>
      </c>
      <c r="C1395" s="2">
        <v>116216</v>
      </c>
      <c r="D1395" s="1">
        <v>43522</v>
      </c>
      <c r="E1395" t="str">
        <f>"201902157445"</f>
        <v>201902157445</v>
      </c>
      <c r="F1395" t="str">
        <f>"Peterbilt Dump Truck"</f>
        <v>Peterbilt Dump Truck</v>
      </c>
      <c r="G1395" s="2">
        <v>116216</v>
      </c>
      <c r="H1395" t="str">
        <f>"payment"</f>
        <v>payment</v>
      </c>
    </row>
    <row r="1396" spans="1:8" x14ac:dyDescent="0.25">
      <c r="A1396" t="s">
        <v>442</v>
      </c>
      <c r="B1396">
        <v>81023</v>
      </c>
      <c r="C1396" s="2">
        <v>11727.66</v>
      </c>
      <c r="D1396" s="1">
        <v>43507</v>
      </c>
      <c r="E1396" t="str">
        <f>"76720"</f>
        <v>76720</v>
      </c>
      <c r="F1396" t="str">
        <f>"Invoice# 76720"</f>
        <v>Invoice# 76720</v>
      </c>
      <c r="G1396" s="2">
        <v>11727.66</v>
      </c>
      <c r="H1396" t="str">
        <f>"Pay App 1- INV 76720"</f>
        <v>Pay App 1- INV 76720</v>
      </c>
    </row>
    <row r="1397" spans="1:8" x14ac:dyDescent="0.25">
      <c r="A1397" t="s">
        <v>443</v>
      </c>
      <c r="B1397">
        <v>81024</v>
      </c>
      <c r="C1397" s="2">
        <v>584028.65</v>
      </c>
      <c r="D1397" s="1">
        <v>43507</v>
      </c>
      <c r="E1397" t="str">
        <f>"181204-5"</f>
        <v>181204-5</v>
      </c>
      <c r="F1397" t="str">
        <f>"PROJECT#181204/COMMUNICATIONS"</f>
        <v>PROJECT#181204/COMMUNICATIONS</v>
      </c>
      <c r="G1397" s="2">
        <v>584028.65</v>
      </c>
      <c r="H1397" t="str">
        <f>"PROJECT#181204/COMMUNICATIONS"</f>
        <v>PROJECT#181204/COMMUNICATIONS</v>
      </c>
    </row>
    <row r="1398" spans="1:8" x14ac:dyDescent="0.25">
      <c r="A1398" t="s">
        <v>416</v>
      </c>
      <c r="B1398">
        <v>81025</v>
      </c>
      <c r="C1398" s="2">
        <v>1565.16</v>
      </c>
      <c r="D1398" s="1">
        <v>43507</v>
      </c>
      <c r="E1398" t="str">
        <f>"201902057142"</f>
        <v>201902057142</v>
      </c>
      <c r="F1398" t="str">
        <f>"inv# 869395921904"</f>
        <v>inv# 869395921904</v>
      </c>
      <c r="G1398" s="2">
        <v>1565.16</v>
      </c>
      <c r="H1398" t="str">
        <f>"Fuel"</f>
        <v>Fuel</v>
      </c>
    </row>
    <row r="1399" spans="1:8" x14ac:dyDescent="0.25">
      <c r="E1399" t="str">
        <f>""</f>
        <v/>
      </c>
      <c r="F1399" t="str">
        <f>""</f>
        <v/>
      </c>
      <c r="H1399" t="str">
        <f>"Tax"</f>
        <v>Tax</v>
      </c>
    </row>
    <row r="1400" spans="1:8" x14ac:dyDescent="0.25">
      <c r="A1400" t="s">
        <v>421</v>
      </c>
      <c r="B1400">
        <v>81026</v>
      </c>
      <c r="C1400" s="2">
        <v>137.03</v>
      </c>
      <c r="D1400" s="1">
        <v>43507</v>
      </c>
      <c r="E1400" t="str">
        <f>"001422"</f>
        <v>001422</v>
      </c>
      <c r="F1400" t="str">
        <f>"Acc# 6032202005312476"</f>
        <v>Acc# 6032202005312476</v>
      </c>
      <c r="G1400" s="2">
        <v>137.03</v>
      </c>
      <c r="H1400" t="str">
        <f>"inv# 001422"</f>
        <v>inv# 001422</v>
      </c>
    </row>
    <row r="1401" spans="1:8" x14ac:dyDescent="0.25">
      <c r="A1401" t="s">
        <v>426</v>
      </c>
      <c r="B1401">
        <v>81027</v>
      </c>
      <c r="C1401" s="2">
        <v>609.75</v>
      </c>
      <c r="D1401" s="1">
        <v>43507</v>
      </c>
      <c r="E1401" t="str">
        <f>"2876"</f>
        <v>2876</v>
      </c>
      <c r="F1401" t="str">
        <f>"SHIRTS-JUVENILE BOOT CAMP"</f>
        <v>SHIRTS-JUVENILE BOOT CAMP</v>
      </c>
      <c r="G1401" s="2">
        <v>609.75</v>
      </c>
      <c r="H1401" t="str">
        <f>"SHIRTS-JUVENILE BOOT CAMP"</f>
        <v>SHIRTS-JUVENILE BOOT CAMP</v>
      </c>
    </row>
    <row r="1402" spans="1:8" x14ac:dyDescent="0.25">
      <c r="A1402" t="s">
        <v>444</v>
      </c>
      <c r="B1402">
        <v>76</v>
      </c>
      <c r="C1402" s="2">
        <v>5842.1</v>
      </c>
      <c r="D1402" s="1">
        <v>43524</v>
      </c>
      <c r="E1402" t="str">
        <f>"201902287559"</f>
        <v>201902287559</v>
      </c>
      <c r="F1402" t="str">
        <f>"ALLSTATE-AMERICAN HERITAGE LIF"</f>
        <v>ALLSTATE-AMERICAN HERITAGE LIF</v>
      </c>
      <c r="G1402" s="2">
        <v>0.06</v>
      </c>
      <c r="H1402" t="str">
        <f>"ALLSTATE-AMERICAN HERITAGE LIF"</f>
        <v>ALLSTATE-AMERICAN HERITAGE LIF</v>
      </c>
    </row>
    <row r="1403" spans="1:8" x14ac:dyDescent="0.25">
      <c r="E1403" t="str">
        <f>"AS 201902067161"</f>
        <v>AS 201902067161</v>
      </c>
      <c r="F1403" t="str">
        <f t="shared" ref="F1403:F1416" si="21">"ALLSTATE"</f>
        <v>ALLSTATE</v>
      </c>
      <c r="G1403" s="2">
        <v>547.05999999999995</v>
      </c>
      <c r="H1403" t="str">
        <f t="shared" ref="H1403:H1416" si="22">"ALLSTATE"</f>
        <v>ALLSTATE</v>
      </c>
    </row>
    <row r="1404" spans="1:8" x14ac:dyDescent="0.25">
      <c r="E1404" t="str">
        <f>"AS 201902067196"</f>
        <v>AS 201902067196</v>
      </c>
      <c r="F1404" t="str">
        <f t="shared" si="21"/>
        <v>ALLSTATE</v>
      </c>
      <c r="G1404" s="2">
        <v>27.14</v>
      </c>
      <c r="H1404" t="str">
        <f t="shared" si="22"/>
        <v>ALLSTATE</v>
      </c>
    </row>
    <row r="1405" spans="1:8" x14ac:dyDescent="0.25">
      <c r="E1405" t="str">
        <f>"AS 201902277538"</f>
        <v>AS 201902277538</v>
      </c>
      <c r="F1405" t="str">
        <f t="shared" si="21"/>
        <v>ALLSTATE</v>
      </c>
      <c r="G1405" s="2">
        <v>27.14</v>
      </c>
      <c r="H1405" t="str">
        <f t="shared" si="22"/>
        <v>ALLSTATE</v>
      </c>
    </row>
    <row r="1406" spans="1:8" x14ac:dyDescent="0.25">
      <c r="E1406" t="str">
        <f>"AS 201902277541"</f>
        <v>AS 201902277541</v>
      </c>
      <c r="F1406" t="str">
        <f t="shared" si="21"/>
        <v>ALLSTATE</v>
      </c>
      <c r="G1406" s="2">
        <v>547.05999999999995</v>
      </c>
      <c r="H1406" t="str">
        <f t="shared" si="22"/>
        <v>ALLSTATE</v>
      </c>
    </row>
    <row r="1407" spans="1:8" x14ac:dyDescent="0.25">
      <c r="E1407" t="str">
        <f>"ASD201902067161"</f>
        <v>ASD201902067161</v>
      </c>
      <c r="F1407" t="str">
        <f t="shared" si="21"/>
        <v>ALLSTATE</v>
      </c>
      <c r="G1407" s="2">
        <v>193.92</v>
      </c>
      <c r="H1407" t="str">
        <f t="shared" si="22"/>
        <v>ALLSTATE</v>
      </c>
    </row>
    <row r="1408" spans="1:8" x14ac:dyDescent="0.25">
      <c r="E1408" t="str">
        <f>"ASD201902277541"</f>
        <v>ASD201902277541</v>
      </c>
      <c r="F1408" t="str">
        <f t="shared" si="21"/>
        <v>ALLSTATE</v>
      </c>
      <c r="G1408" s="2">
        <v>193.92</v>
      </c>
      <c r="H1408" t="str">
        <f t="shared" si="22"/>
        <v>ALLSTATE</v>
      </c>
    </row>
    <row r="1409" spans="1:8" x14ac:dyDescent="0.25">
      <c r="E1409" t="str">
        <f>"ASI201902067161"</f>
        <v>ASI201902067161</v>
      </c>
      <c r="F1409" t="str">
        <f t="shared" si="21"/>
        <v>ALLSTATE</v>
      </c>
      <c r="G1409" s="2">
        <v>684.22</v>
      </c>
      <c r="H1409" t="str">
        <f t="shared" si="22"/>
        <v>ALLSTATE</v>
      </c>
    </row>
    <row r="1410" spans="1:8" x14ac:dyDescent="0.25">
      <c r="E1410" t="str">
        <f>"ASI201902067196"</f>
        <v>ASI201902067196</v>
      </c>
      <c r="F1410" t="str">
        <f t="shared" si="21"/>
        <v>ALLSTATE</v>
      </c>
      <c r="G1410" s="2">
        <v>67.150000000000006</v>
      </c>
      <c r="H1410" t="str">
        <f t="shared" si="22"/>
        <v>ALLSTATE</v>
      </c>
    </row>
    <row r="1411" spans="1:8" x14ac:dyDescent="0.25">
      <c r="E1411" t="str">
        <f>"ASI201902277538"</f>
        <v>ASI201902277538</v>
      </c>
      <c r="F1411" t="str">
        <f t="shared" si="21"/>
        <v>ALLSTATE</v>
      </c>
      <c r="G1411" s="2">
        <v>67.150000000000006</v>
      </c>
      <c r="H1411" t="str">
        <f t="shared" si="22"/>
        <v>ALLSTATE</v>
      </c>
    </row>
    <row r="1412" spans="1:8" x14ac:dyDescent="0.25">
      <c r="E1412" t="str">
        <f>"ASI201902277541"</f>
        <v>ASI201902277541</v>
      </c>
      <c r="F1412" t="str">
        <f t="shared" si="21"/>
        <v>ALLSTATE</v>
      </c>
      <c r="G1412" s="2">
        <v>684.22</v>
      </c>
      <c r="H1412" t="str">
        <f t="shared" si="22"/>
        <v>ALLSTATE</v>
      </c>
    </row>
    <row r="1413" spans="1:8" x14ac:dyDescent="0.25">
      <c r="E1413" t="str">
        <f>"AST201902067161"</f>
        <v>AST201902067161</v>
      </c>
      <c r="F1413" t="str">
        <f t="shared" si="21"/>
        <v>ALLSTATE</v>
      </c>
      <c r="G1413" s="2">
        <v>1358.92</v>
      </c>
      <c r="H1413" t="str">
        <f t="shared" si="22"/>
        <v>ALLSTATE</v>
      </c>
    </row>
    <row r="1414" spans="1:8" x14ac:dyDescent="0.25">
      <c r="E1414" t="str">
        <f>"AST201902067196"</f>
        <v>AST201902067196</v>
      </c>
      <c r="F1414" t="str">
        <f t="shared" si="21"/>
        <v>ALLSTATE</v>
      </c>
      <c r="G1414" s="2">
        <v>42.61</v>
      </c>
      <c r="H1414" t="str">
        <f t="shared" si="22"/>
        <v>ALLSTATE</v>
      </c>
    </row>
    <row r="1415" spans="1:8" x14ac:dyDescent="0.25">
      <c r="E1415" t="str">
        <f>"AST201902277538"</f>
        <v>AST201902277538</v>
      </c>
      <c r="F1415" t="str">
        <f t="shared" si="21"/>
        <v>ALLSTATE</v>
      </c>
      <c r="G1415" s="2">
        <v>42.61</v>
      </c>
      <c r="H1415" t="str">
        <f t="shared" si="22"/>
        <v>ALLSTATE</v>
      </c>
    </row>
    <row r="1416" spans="1:8" x14ac:dyDescent="0.25">
      <c r="E1416" t="str">
        <f>"AST201902277541"</f>
        <v>AST201902277541</v>
      </c>
      <c r="F1416" t="str">
        <f t="shared" si="21"/>
        <v>ALLSTATE</v>
      </c>
      <c r="G1416" s="2">
        <v>1358.92</v>
      </c>
      <c r="H1416" t="str">
        <f t="shared" si="22"/>
        <v>ALLSTATE</v>
      </c>
    </row>
    <row r="1417" spans="1:8" x14ac:dyDescent="0.25">
      <c r="A1417" t="s">
        <v>445</v>
      </c>
      <c r="B1417">
        <v>72</v>
      </c>
      <c r="C1417" s="2">
        <v>26901.99</v>
      </c>
      <c r="D1417" s="1">
        <v>43524</v>
      </c>
      <c r="E1417" t="str">
        <f>"201902287557"</f>
        <v>201902287557</v>
      </c>
      <c r="F1417" t="str">
        <f>"AmWINS Group Benefits  Inc."</f>
        <v>AmWINS Group Benefits  Inc.</v>
      </c>
      <c r="G1417" s="2">
        <v>26901.99</v>
      </c>
      <c r="H1417" t="str">
        <f>"AmWINS Group Benefits  Inc."</f>
        <v>AmWINS Group Benefits  Inc.</v>
      </c>
    </row>
    <row r="1418" spans="1:8" x14ac:dyDescent="0.25">
      <c r="A1418" t="s">
        <v>446</v>
      </c>
      <c r="B1418">
        <v>59</v>
      </c>
      <c r="C1418" s="2">
        <v>2763.19</v>
      </c>
      <c r="D1418" s="1">
        <v>43504</v>
      </c>
      <c r="E1418" t="str">
        <f>"DHM201902067198"</f>
        <v>DHM201902067198</v>
      </c>
      <c r="F1418" t="str">
        <f>"AP - DENTAL HMO"</f>
        <v>AP - DENTAL HMO</v>
      </c>
      <c r="G1418" s="2">
        <v>51.8</v>
      </c>
      <c r="H1418" t="str">
        <f>"AP - DENTAL HMO"</f>
        <v>AP - DENTAL HMO</v>
      </c>
    </row>
    <row r="1419" spans="1:8" x14ac:dyDescent="0.25">
      <c r="E1419" t="str">
        <f>"DTX201902067198"</f>
        <v>DTX201902067198</v>
      </c>
      <c r="F1419" t="str">
        <f>"AP - TEXAS DENTAL"</f>
        <v>AP - TEXAS DENTAL</v>
      </c>
      <c r="G1419" s="2">
        <v>388.16</v>
      </c>
      <c r="H1419" t="str">
        <f>"AP - TEXAS DENTAL"</f>
        <v>AP - TEXAS DENTAL</v>
      </c>
    </row>
    <row r="1420" spans="1:8" x14ac:dyDescent="0.25">
      <c r="E1420" t="str">
        <f>"FD 201902067198"</f>
        <v>FD 201902067198</v>
      </c>
      <c r="F1420" t="str">
        <f>"AP - FT DEARBORN PRE-TAX"</f>
        <v>AP - FT DEARBORN PRE-TAX</v>
      </c>
      <c r="G1420" s="2">
        <v>135.53</v>
      </c>
      <c r="H1420" t="str">
        <f>"AP - FT DEARBORN PRE-TAX"</f>
        <v>AP - FT DEARBORN PRE-TAX</v>
      </c>
    </row>
    <row r="1421" spans="1:8" x14ac:dyDescent="0.25">
      <c r="E1421" t="str">
        <f>"FDT201902067198"</f>
        <v>FDT201902067198</v>
      </c>
      <c r="F1421" t="str">
        <f>"AP - FT DEARBORN AFTER TAX"</f>
        <v>AP - FT DEARBORN AFTER TAX</v>
      </c>
      <c r="G1421" s="2">
        <v>63.01</v>
      </c>
      <c r="H1421" t="str">
        <f>"AP - FT DEARBORN AFTER TAX"</f>
        <v>AP - FT DEARBORN AFTER TAX</v>
      </c>
    </row>
    <row r="1422" spans="1:8" x14ac:dyDescent="0.25">
      <c r="E1422" t="str">
        <f>"FLX201902067198"</f>
        <v>FLX201902067198</v>
      </c>
      <c r="F1422" t="str">
        <f>"AP - TEX FLEX"</f>
        <v>AP - TEX FLEX</v>
      </c>
      <c r="G1422" s="2">
        <v>220</v>
      </c>
      <c r="H1422" t="str">
        <f>"AP - TEX FLEX"</f>
        <v>AP - TEX FLEX</v>
      </c>
    </row>
    <row r="1423" spans="1:8" x14ac:dyDescent="0.25">
      <c r="E1423" t="str">
        <f>"MHS201902067198"</f>
        <v>MHS201902067198</v>
      </c>
      <c r="F1423" t="str">
        <f>"AP - HEALTH SELECT MEDICAL"</f>
        <v>AP - HEALTH SELECT MEDICAL</v>
      </c>
      <c r="G1423" s="2">
        <v>1436.65</v>
      </c>
      <c r="H1423" t="str">
        <f>"AP - HEALTH SELECT MEDICAL"</f>
        <v>AP - HEALTH SELECT MEDICAL</v>
      </c>
    </row>
    <row r="1424" spans="1:8" x14ac:dyDescent="0.25">
      <c r="E1424" t="str">
        <f>"MSW201902067198"</f>
        <v>MSW201902067198</v>
      </c>
      <c r="F1424" t="str">
        <f>"AP - SCOTT &amp; WHITE MEDICAL"</f>
        <v>AP - SCOTT &amp; WHITE MEDICAL</v>
      </c>
      <c r="G1424" s="2">
        <v>431.02</v>
      </c>
      <c r="H1424" t="str">
        <f>"AP - SCOTT &amp; WHITE MEDICAL"</f>
        <v>AP - SCOTT &amp; WHITE MEDICAL</v>
      </c>
    </row>
    <row r="1425" spans="1:8" x14ac:dyDescent="0.25">
      <c r="E1425" t="str">
        <f>"SPE201902067198"</f>
        <v>SPE201902067198</v>
      </c>
      <c r="F1425" t="str">
        <f>"AP - STATE VISION"</f>
        <v>AP - STATE VISION</v>
      </c>
      <c r="G1425" s="2">
        <v>37.020000000000003</v>
      </c>
      <c r="H1425" t="str">
        <f>"AP - STATE VISION"</f>
        <v>AP - STATE VISION</v>
      </c>
    </row>
    <row r="1426" spans="1:8" x14ac:dyDescent="0.25">
      <c r="A1426" t="s">
        <v>446</v>
      </c>
      <c r="B1426">
        <v>67</v>
      </c>
      <c r="C1426" s="2">
        <v>2763.19</v>
      </c>
      <c r="D1426" s="1">
        <v>43518</v>
      </c>
      <c r="E1426" t="str">
        <f>"DHM201902277540"</f>
        <v>DHM201902277540</v>
      </c>
      <c r="F1426" t="str">
        <f>"AP - DENTAL HMO"</f>
        <v>AP - DENTAL HMO</v>
      </c>
      <c r="G1426" s="2">
        <v>51.8</v>
      </c>
      <c r="H1426" t="str">
        <f>"AP - DENTAL HMO"</f>
        <v>AP - DENTAL HMO</v>
      </c>
    </row>
    <row r="1427" spans="1:8" x14ac:dyDescent="0.25">
      <c r="E1427" t="str">
        <f>"DTX201902277540"</f>
        <v>DTX201902277540</v>
      </c>
      <c r="F1427" t="str">
        <f>"AP - TEXAS DENTAL"</f>
        <v>AP - TEXAS DENTAL</v>
      </c>
      <c r="G1427" s="2">
        <v>388.16</v>
      </c>
      <c r="H1427" t="str">
        <f>"AP - TEXAS DENTAL"</f>
        <v>AP - TEXAS DENTAL</v>
      </c>
    </row>
    <row r="1428" spans="1:8" x14ac:dyDescent="0.25">
      <c r="E1428" t="str">
        <f>"FD 201902277540"</f>
        <v>FD 201902277540</v>
      </c>
      <c r="F1428" t="str">
        <f>"AP - FT DEARBORN PRE-TAX"</f>
        <v>AP - FT DEARBORN PRE-TAX</v>
      </c>
      <c r="G1428" s="2">
        <v>135.53</v>
      </c>
      <c r="H1428" t="str">
        <f>"AP - FT DEARBORN PRE-TAX"</f>
        <v>AP - FT DEARBORN PRE-TAX</v>
      </c>
    </row>
    <row r="1429" spans="1:8" x14ac:dyDescent="0.25">
      <c r="E1429" t="str">
        <f>"FDT201902277540"</f>
        <v>FDT201902277540</v>
      </c>
      <c r="F1429" t="str">
        <f>"AP - FT DEARBORN AFTER TAX"</f>
        <v>AP - FT DEARBORN AFTER TAX</v>
      </c>
      <c r="G1429" s="2">
        <v>63.01</v>
      </c>
      <c r="H1429" t="str">
        <f>"AP - FT DEARBORN AFTER TAX"</f>
        <v>AP - FT DEARBORN AFTER TAX</v>
      </c>
    </row>
    <row r="1430" spans="1:8" x14ac:dyDescent="0.25">
      <c r="E1430" t="str">
        <f>"FLX201902277540"</f>
        <v>FLX201902277540</v>
      </c>
      <c r="F1430" t="str">
        <f>"AP - TEX FLEX"</f>
        <v>AP - TEX FLEX</v>
      </c>
      <c r="G1430" s="2">
        <v>220</v>
      </c>
      <c r="H1430" t="str">
        <f>"AP - TEX FLEX"</f>
        <v>AP - TEX FLEX</v>
      </c>
    </row>
    <row r="1431" spans="1:8" x14ac:dyDescent="0.25">
      <c r="E1431" t="str">
        <f>"MHS201902277540"</f>
        <v>MHS201902277540</v>
      </c>
      <c r="F1431" t="str">
        <f>"AP - HEALTH SELECT MEDICAL"</f>
        <v>AP - HEALTH SELECT MEDICAL</v>
      </c>
      <c r="G1431" s="2">
        <v>1436.65</v>
      </c>
      <c r="H1431" t="str">
        <f>"AP - HEALTH SELECT MEDICAL"</f>
        <v>AP - HEALTH SELECT MEDICAL</v>
      </c>
    </row>
    <row r="1432" spans="1:8" x14ac:dyDescent="0.25">
      <c r="E1432" t="str">
        <f>"MSW201902277540"</f>
        <v>MSW201902277540</v>
      </c>
      <c r="F1432" t="str">
        <f>"AP - SCOTT &amp; WHITE MEDICAL"</f>
        <v>AP - SCOTT &amp; WHITE MEDICAL</v>
      </c>
      <c r="G1432" s="2">
        <v>431.02</v>
      </c>
      <c r="H1432" t="str">
        <f>"AP - SCOTT &amp; WHITE MEDICAL"</f>
        <v>AP - SCOTT &amp; WHITE MEDICAL</v>
      </c>
    </row>
    <row r="1433" spans="1:8" x14ac:dyDescent="0.25">
      <c r="E1433" t="str">
        <f>"SPE201902277540"</f>
        <v>SPE201902277540</v>
      </c>
      <c r="F1433" t="str">
        <f>"AP - STATE VISION"</f>
        <v>AP - STATE VISION</v>
      </c>
      <c r="G1433" s="2">
        <v>37.020000000000003</v>
      </c>
      <c r="H1433" t="str">
        <f>"AP - STATE VISION"</f>
        <v>AP - STATE VISION</v>
      </c>
    </row>
    <row r="1434" spans="1:8" x14ac:dyDescent="0.25">
      <c r="A1434" t="s">
        <v>447</v>
      </c>
      <c r="B1434">
        <v>77</v>
      </c>
      <c r="C1434" s="2">
        <v>4636.1000000000004</v>
      </c>
      <c r="D1434" s="1">
        <v>43524</v>
      </c>
      <c r="E1434" t="str">
        <f>"201902287560"</f>
        <v>201902287560</v>
      </c>
      <c r="F1434" t="str">
        <f>"COLONIAL LIFE &amp; ACCIDENT INS."</f>
        <v>COLONIAL LIFE &amp; ACCIDENT INS.</v>
      </c>
      <c r="G1434" s="2">
        <v>-43.46</v>
      </c>
      <c r="H1434" t="str">
        <f>"COLONIAL LIFE &amp; ACCIDENT INS."</f>
        <v>COLONIAL LIFE &amp; ACCIDENT INS.</v>
      </c>
    </row>
    <row r="1435" spans="1:8" x14ac:dyDescent="0.25">
      <c r="E1435" t="str">
        <f>"CL 201902067161"</f>
        <v>CL 201902067161</v>
      </c>
      <c r="F1435" t="str">
        <f t="shared" ref="F1435:F1454" si="23">"COLONIAL"</f>
        <v>COLONIAL</v>
      </c>
      <c r="G1435" s="2">
        <v>676.2</v>
      </c>
      <c r="H1435" t="str">
        <f t="shared" ref="H1435:H1454" si="24">"COLONIAL"</f>
        <v>COLONIAL</v>
      </c>
    </row>
    <row r="1436" spans="1:8" x14ac:dyDescent="0.25">
      <c r="E1436" t="str">
        <f>"CL 201902067196"</f>
        <v>CL 201902067196</v>
      </c>
      <c r="F1436" t="str">
        <f t="shared" si="23"/>
        <v>COLONIAL</v>
      </c>
      <c r="G1436" s="2">
        <v>14.49</v>
      </c>
      <c r="H1436" t="str">
        <f t="shared" si="24"/>
        <v>COLONIAL</v>
      </c>
    </row>
    <row r="1437" spans="1:8" x14ac:dyDescent="0.25">
      <c r="E1437" t="str">
        <f>"CL 201902277538"</f>
        <v>CL 201902277538</v>
      </c>
      <c r="F1437" t="str">
        <f t="shared" si="23"/>
        <v>COLONIAL</v>
      </c>
      <c r="G1437" s="2">
        <v>14.49</v>
      </c>
      <c r="H1437" t="str">
        <f t="shared" si="24"/>
        <v>COLONIAL</v>
      </c>
    </row>
    <row r="1438" spans="1:8" x14ac:dyDescent="0.25">
      <c r="E1438" t="str">
        <f>"CL 201902277541"</f>
        <v>CL 201902277541</v>
      </c>
      <c r="F1438" t="str">
        <f t="shared" si="23"/>
        <v>COLONIAL</v>
      </c>
      <c r="G1438" s="2">
        <v>676.2</v>
      </c>
      <c r="H1438" t="str">
        <f t="shared" si="24"/>
        <v>COLONIAL</v>
      </c>
    </row>
    <row r="1439" spans="1:8" x14ac:dyDescent="0.25">
      <c r="E1439" t="str">
        <f>"CLC201902067161"</f>
        <v>CLC201902067161</v>
      </c>
      <c r="F1439" t="str">
        <f t="shared" si="23"/>
        <v>COLONIAL</v>
      </c>
      <c r="G1439" s="2">
        <v>33.99</v>
      </c>
      <c r="H1439" t="str">
        <f t="shared" si="24"/>
        <v>COLONIAL</v>
      </c>
    </row>
    <row r="1440" spans="1:8" x14ac:dyDescent="0.25">
      <c r="E1440" t="str">
        <f>"CLC201902277541"</f>
        <v>CLC201902277541</v>
      </c>
      <c r="F1440" t="str">
        <f t="shared" si="23"/>
        <v>COLONIAL</v>
      </c>
      <c r="G1440" s="2">
        <v>33.99</v>
      </c>
      <c r="H1440" t="str">
        <f t="shared" si="24"/>
        <v>COLONIAL</v>
      </c>
    </row>
    <row r="1441" spans="1:8" x14ac:dyDescent="0.25">
      <c r="E1441" t="str">
        <f>"CLI201902067161"</f>
        <v>CLI201902067161</v>
      </c>
      <c r="F1441" t="str">
        <f t="shared" si="23"/>
        <v>COLONIAL</v>
      </c>
      <c r="G1441" s="2">
        <v>565.26</v>
      </c>
      <c r="H1441" t="str">
        <f t="shared" si="24"/>
        <v>COLONIAL</v>
      </c>
    </row>
    <row r="1442" spans="1:8" x14ac:dyDescent="0.25">
      <c r="E1442" t="str">
        <f>"CLI201902277541"</f>
        <v>CLI201902277541</v>
      </c>
      <c r="F1442" t="str">
        <f t="shared" si="23"/>
        <v>COLONIAL</v>
      </c>
      <c r="G1442" s="2">
        <v>565.26</v>
      </c>
      <c r="H1442" t="str">
        <f t="shared" si="24"/>
        <v>COLONIAL</v>
      </c>
    </row>
    <row r="1443" spans="1:8" x14ac:dyDescent="0.25">
      <c r="E1443" t="str">
        <f>"CLK201902067161"</f>
        <v>CLK201902067161</v>
      </c>
      <c r="F1443" t="str">
        <f t="shared" si="23"/>
        <v>COLONIAL</v>
      </c>
      <c r="G1443" s="2">
        <v>27.09</v>
      </c>
      <c r="H1443" t="str">
        <f t="shared" si="24"/>
        <v>COLONIAL</v>
      </c>
    </row>
    <row r="1444" spans="1:8" x14ac:dyDescent="0.25">
      <c r="E1444" t="str">
        <f>"CLK201902277541"</f>
        <v>CLK201902277541</v>
      </c>
      <c r="F1444" t="str">
        <f t="shared" si="23"/>
        <v>COLONIAL</v>
      </c>
      <c r="G1444" s="2">
        <v>27.09</v>
      </c>
      <c r="H1444" t="str">
        <f t="shared" si="24"/>
        <v>COLONIAL</v>
      </c>
    </row>
    <row r="1445" spans="1:8" x14ac:dyDescent="0.25">
      <c r="E1445" t="str">
        <f>"CLS201902067161"</f>
        <v>CLS201902067161</v>
      </c>
      <c r="F1445" t="str">
        <f t="shared" si="23"/>
        <v>COLONIAL</v>
      </c>
      <c r="G1445" s="2">
        <v>441.06</v>
      </c>
      <c r="H1445" t="str">
        <f t="shared" si="24"/>
        <v>COLONIAL</v>
      </c>
    </row>
    <row r="1446" spans="1:8" x14ac:dyDescent="0.25">
      <c r="E1446" t="str">
        <f>"CLS201902067196"</f>
        <v>CLS201902067196</v>
      </c>
      <c r="F1446" t="str">
        <f t="shared" si="23"/>
        <v>COLONIAL</v>
      </c>
      <c r="G1446" s="2">
        <v>28.57</v>
      </c>
      <c r="H1446" t="str">
        <f t="shared" si="24"/>
        <v>COLONIAL</v>
      </c>
    </row>
    <row r="1447" spans="1:8" x14ac:dyDescent="0.25">
      <c r="E1447" t="str">
        <f>"CLS201902277538"</f>
        <v>CLS201902277538</v>
      </c>
      <c r="F1447" t="str">
        <f t="shared" si="23"/>
        <v>COLONIAL</v>
      </c>
      <c r="G1447" s="2">
        <v>28.57</v>
      </c>
      <c r="H1447" t="str">
        <f t="shared" si="24"/>
        <v>COLONIAL</v>
      </c>
    </row>
    <row r="1448" spans="1:8" x14ac:dyDescent="0.25">
      <c r="E1448" t="str">
        <f>"CLS201902277541"</f>
        <v>CLS201902277541</v>
      </c>
      <c r="F1448" t="str">
        <f t="shared" si="23"/>
        <v>COLONIAL</v>
      </c>
      <c r="G1448" s="2">
        <v>335.13</v>
      </c>
      <c r="H1448" t="str">
        <f t="shared" si="24"/>
        <v>COLONIAL</v>
      </c>
    </row>
    <row r="1449" spans="1:8" x14ac:dyDescent="0.25">
      <c r="E1449" t="str">
        <f>"CLT201902067161"</f>
        <v>CLT201902067161</v>
      </c>
      <c r="F1449" t="str">
        <f t="shared" si="23"/>
        <v>COLONIAL</v>
      </c>
      <c r="G1449" s="2">
        <v>325.14</v>
      </c>
      <c r="H1449" t="str">
        <f t="shared" si="24"/>
        <v>COLONIAL</v>
      </c>
    </row>
    <row r="1450" spans="1:8" x14ac:dyDescent="0.25">
      <c r="E1450" t="str">
        <f>"CLT201902277541"</f>
        <v>CLT201902277541</v>
      </c>
      <c r="F1450" t="str">
        <f t="shared" si="23"/>
        <v>COLONIAL</v>
      </c>
      <c r="G1450" s="2">
        <v>325.14</v>
      </c>
      <c r="H1450" t="str">
        <f t="shared" si="24"/>
        <v>COLONIAL</v>
      </c>
    </row>
    <row r="1451" spans="1:8" x14ac:dyDescent="0.25">
      <c r="E1451" t="str">
        <f>"CLU201902067161"</f>
        <v>CLU201902067161</v>
      </c>
      <c r="F1451" t="str">
        <f t="shared" si="23"/>
        <v>COLONIAL</v>
      </c>
      <c r="G1451" s="2">
        <v>126.58</v>
      </c>
      <c r="H1451" t="str">
        <f t="shared" si="24"/>
        <v>COLONIAL</v>
      </c>
    </row>
    <row r="1452" spans="1:8" x14ac:dyDescent="0.25">
      <c r="E1452" t="str">
        <f>"CLU201902277541"</f>
        <v>CLU201902277541</v>
      </c>
      <c r="F1452" t="str">
        <f t="shared" si="23"/>
        <v>COLONIAL</v>
      </c>
      <c r="G1452" s="2">
        <v>111.55</v>
      </c>
      <c r="H1452" t="str">
        <f t="shared" si="24"/>
        <v>COLONIAL</v>
      </c>
    </row>
    <row r="1453" spans="1:8" x14ac:dyDescent="0.25">
      <c r="E1453" t="str">
        <f>"CLW201902067161"</f>
        <v>CLW201902067161</v>
      </c>
      <c r="F1453" t="str">
        <f t="shared" si="23"/>
        <v>COLONIAL</v>
      </c>
      <c r="G1453" s="2">
        <v>181.95</v>
      </c>
      <c r="H1453" t="str">
        <f t="shared" si="24"/>
        <v>COLONIAL</v>
      </c>
    </row>
    <row r="1454" spans="1:8" x14ac:dyDescent="0.25">
      <c r="E1454" t="str">
        <f>"CLW201902277541"</f>
        <v>CLW201902277541</v>
      </c>
      <c r="F1454" t="str">
        <f t="shared" si="23"/>
        <v>COLONIAL</v>
      </c>
      <c r="G1454" s="2">
        <v>141.81</v>
      </c>
      <c r="H1454" t="str">
        <f t="shared" si="24"/>
        <v>COLONIAL</v>
      </c>
    </row>
    <row r="1455" spans="1:8" x14ac:dyDescent="0.25">
      <c r="A1455" t="s">
        <v>448</v>
      </c>
      <c r="B1455">
        <v>60</v>
      </c>
      <c r="C1455" s="2">
        <v>6512.64</v>
      </c>
      <c r="D1455" s="1">
        <v>43504</v>
      </c>
      <c r="E1455" t="str">
        <f>"CPI201902067161"</f>
        <v>CPI201902067161</v>
      </c>
      <c r="F1455" t="str">
        <f>"DEFERRED COMP 457B PAYABLE"</f>
        <v>DEFERRED COMP 457B PAYABLE</v>
      </c>
      <c r="G1455" s="2">
        <v>6405.14</v>
      </c>
      <c r="H1455" t="str">
        <f>"DEFERRED COMP 457B PAYABLE"</f>
        <v>DEFERRED COMP 457B PAYABLE</v>
      </c>
    </row>
    <row r="1456" spans="1:8" x14ac:dyDescent="0.25">
      <c r="E1456" t="str">
        <f>"CPI201902067196"</f>
        <v>CPI201902067196</v>
      </c>
      <c r="F1456" t="str">
        <f>"DEFERRED COMP 457B PAYABLE"</f>
        <v>DEFERRED COMP 457B PAYABLE</v>
      </c>
      <c r="G1456" s="2">
        <v>107.5</v>
      </c>
      <c r="H1456" t="str">
        <f>"DEFERRED COMP 457B PAYABLE"</f>
        <v>DEFERRED COMP 457B PAYABLE</v>
      </c>
    </row>
    <row r="1457" spans="1:8" x14ac:dyDescent="0.25">
      <c r="A1457" t="s">
        <v>448</v>
      </c>
      <c r="B1457">
        <v>68</v>
      </c>
      <c r="C1457" s="2">
        <v>6512.64</v>
      </c>
      <c r="D1457" s="1">
        <v>43518</v>
      </c>
      <c r="E1457" t="str">
        <f>"CPI201902277538"</f>
        <v>CPI201902277538</v>
      </c>
      <c r="F1457" t="str">
        <f>"DEFERRED COMP 457B PAYABLE"</f>
        <v>DEFERRED COMP 457B PAYABLE</v>
      </c>
      <c r="G1457" s="2">
        <v>107.5</v>
      </c>
      <c r="H1457" t="str">
        <f>"DEFERRED COMP 457B PAYABLE"</f>
        <v>DEFERRED COMP 457B PAYABLE</v>
      </c>
    </row>
    <row r="1458" spans="1:8" x14ac:dyDescent="0.25">
      <c r="E1458" t="str">
        <f>"CPI201902277541"</f>
        <v>CPI201902277541</v>
      </c>
      <c r="F1458" t="str">
        <f>"DEFERRED COMP 457B PAYABLE"</f>
        <v>DEFERRED COMP 457B PAYABLE</v>
      </c>
      <c r="G1458" s="2">
        <v>6405.14</v>
      </c>
      <c r="H1458" t="str">
        <f>"DEFERRED COMP 457B PAYABLE"</f>
        <v>DEFERRED COMP 457B PAYABLE</v>
      </c>
    </row>
    <row r="1459" spans="1:8" x14ac:dyDescent="0.25">
      <c r="A1459" t="s">
        <v>449</v>
      </c>
      <c r="B1459">
        <v>47296</v>
      </c>
      <c r="C1459" s="2">
        <v>1368.7</v>
      </c>
      <c r="D1459" s="1">
        <v>43504</v>
      </c>
      <c r="E1459" t="str">
        <f>"B13201902067161"</f>
        <v>B13201902067161</v>
      </c>
      <c r="F1459" t="str">
        <f>"Rosa Warren 15-10357-TMD"</f>
        <v>Rosa Warren 15-10357-TMD</v>
      </c>
      <c r="G1459" s="2">
        <v>853.85</v>
      </c>
      <c r="H1459" t="str">
        <f>"Rosa Warren 15-10357-TMD"</f>
        <v>Rosa Warren 15-10357-TMD</v>
      </c>
    </row>
    <row r="1460" spans="1:8" x14ac:dyDescent="0.25">
      <c r="E1460" t="str">
        <f>"BJL201902067161"</f>
        <v>BJL201902067161</v>
      </c>
      <c r="F1460" t="str">
        <f>"Julian Luna 14-10230-TMD"</f>
        <v>Julian Luna 14-10230-TMD</v>
      </c>
      <c r="G1460" s="2">
        <v>514.85</v>
      </c>
      <c r="H1460" t="str">
        <f>"Julian Luna 14-10230-TMD"</f>
        <v>Julian Luna 14-10230-TMD</v>
      </c>
    </row>
    <row r="1461" spans="1:8" x14ac:dyDescent="0.25">
      <c r="A1461" t="s">
        <v>449</v>
      </c>
      <c r="B1461">
        <v>47317</v>
      </c>
      <c r="C1461" s="2">
        <v>1368.7</v>
      </c>
      <c r="D1461" s="1">
        <v>43518</v>
      </c>
      <c r="E1461" t="str">
        <f>"B13201902277541"</f>
        <v>B13201902277541</v>
      </c>
      <c r="F1461" t="str">
        <f>"Rosa Warren 15-10357-TMD"</f>
        <v>Rosa Warren 15-10357-TMD</v>
      </c>
      <c r="G1461" s="2">
        <v>853.85</v>
      </c>
      <c r="H1461" t="str">
        <f>"Rosa Warren 15-10357-TMD"</f>
        <v>Rosa Warren 15-10357-TMD</v>
      </c>
    </row>
    <row r="1462" spans="1:8" x14ac:dyDescent="0.25">
      <c r="E1462" t="str">
        <f>"BJL201902277541"</f>
        <v>BJL201902277541</v>
      </c>
      <c r="F1462" t="str">
        <f>"Julian Luna 14-10230-TMD"</f>
        <v>Julian Luna 14-10230-TMD</v>
      </c>
      <c r="G1462" s="2">
        <v>514.85</v>
      </c>
      <c r="H1462" t="str">
        <f>"Julian Luna 14-10230-TMD"</f>
        <v>Julian Luna 14-10230-TMD</v>
      </c>
    </row>
    <row r="1463" spans="1:8" x14ac:dyDescent="0.25">
      <c r="A1463" t="s">
        <v>450</v>
      </c>
      <c r="B1463">
        <v>73</v>
      </c>
      <c r="C1463" s="2">
        <v>40826.089999999997</v>
      </c>
      <c r="D1463" s="1">
        <v>43524</v>
      </c>
      <c r="E1463" t="str">
        <f>"201902287553"</f>
        <v>201902287553</v>
      </c>
      <c r="F1463" t="str">
        <f>"GUARDIAN Retiree Feb 2019"</f>
        <v>GUARDIAN Retiree Feb 2019</v>
      </c>
      <c r="G1463" s="2">
        <v>3212.34</v>
      </c>
      <c r="H1463" t="str">
        <f>"GUARDIAN Retiree Feb 2019"</f>
        <v>GUARDIAN Retiree Feb 2019</v>
      </c>
    </row>
    <row r="1464" spans="1:8" x14ac:dyDescent="0.25">
      <c r="E1464" t="str">
        <f>"201902287554"</f>
        <v>201902287554</v>
      </c>
      <c r="F1464" t="str">
        <f>"GUARDIAN Retiree Life Feb 2019"</f>
        <v>GUARDIAN Retiree Life Feb 2019</v>
      </c>
      <c r="G1464" s="2">
        <v>43.37</v>
      </c>
      <c r="H1464" t="str">
        <f>"GUARDIAN Retiree Life Feb 2019"</f>
        <v>GUARDIAN Retiree Life Feb 2019</v>
      </c>
    </row>
    <row r="1465" spans="1:8" x14ac:dyDescent="0.25">
      <c r="E1465" t="str">
        <f>"ADC201902067161"</f>
        <v>ADC201902067161</v>
      </c>
      <c r="F1465" t="str">
        <f t="shared" ref="F1465:F1477" si="25">"GUARDIAN"</f>
        <v>GUARDIAN</v>
      </c>
      <c r="G1465" s="2">
        <v>5.27</v>
      </c>
      <c r="H1465" t="str">
        <f t="shared" ref="H1465:H1528" si="26">"GUARDIAN"</f>
        <v>GUARDIAN</v>
      </c>
    </row>
    <row r="1466" spans="1:8" x14ac:dyDescent="0.25">
      <c r="E1466" t="str">
        <f>"ADC201902067196"</f>
        <v>ADC201902067196</v>
      </c>
      <c r="F1466" t="str">
        <f t="shared" si="25"/>
        <v>GUARDIAN</v>
      </c>
      <c r="G1466" s="2">
        <v>0.16</v>
      </c>
      <c r="H1466" t="str">
        <f t="shared" si="26"/>
        <v>GUARDIAN</v>
      </c>
    </row>
    <row r="1467" spans="1:8" x14ac:dyDescent="0.25">
      <c r="E1467" t="str">
        <f>"ADC201902277538"</f>
        <v>ADC201902277538</v>
      </c>
      <c r="F1467" t="str">
        <f t="shared" si="25"/>
        <v>GUARDIAN</v>
      </c>
      <c r="G1467" s="2">
        <v>0.16</v>
      </c>
      <c r="H1467" t="str">
        <f t="shared" si="26"/>
        <v>GUARDIAN</v>
      </c>
    </row>
    <row r="1468" spans="1:8" x14ac:dyDescent="0.25">
      <c r="E1468" t="str">
        <f>"ADC201902277541"</f>
        <v>ADC201902277541</v>
      </c>
      <c r="F1468" t="str">
        <f t="shared" si="25"/>
        <v>GUARDIAN</v>
      </c>
      <c r="G1468" s="2">
        <v>4.82</v>
      </c>
      <c r="H1468" t="str">
        <f t="shared" si="26"/>
        <v>GUARDIAN</v>
      </c>
    </row>
    <row r="1469" spans="1:8" x14ac:dyDescent="0.25">
      <c r="E1469" t="str">
        <f>"ADE201902067161"</f>
        <v>ADE201902067161</v>
      </c>
      <c r="F1469" t="str">
        <f t="shared" si="25"/>
        <v>GUARDIAN</v>
      </c>
      <c r="G1469" s="2">
        <v>235.56</v>
      </c>
      <c r="H1469" t="str">
        <f t="shared" si="26"/>
        <v>GUARDIAN</v>
      </c>
    </row>
    <row r="1470" spans="1:8" x14ac:dyDescent="0.25">
      <c r="E1470" t="str">
        <f>"ADE201902067196"</f>
        <v>ADE201902067196</v>
      </c>
      <c r="F1470" t="str">
        <f t="shared" si="25"/>
        <v>GUARDIAN</v>
      </c>
      <c r="G1470" s="2">
        <v>6.3</v>
      </c>
      <c r="H1470" t="str">
        <f t="shared" si="26"/>
        <v>GUARDIAN</v>
      </c>
    </row>
    <row r="1471" spans="1:8" x14ac:dyDescent="0.25">
      <c r="E1471" t="str">
        <f>"ADE201902277538"</f>
        <v>ADE201902277538</v>
      </c>
      <c r="F1471" t="str">
        <f t="shared" si="25"/>
        <v>GUARDIAN</v>
      </c>
      <c r="G1471" s="2">
        <v>6.3</v>
      </c>
      <c r="H1471" t="str">
        <f t="shared" si="26"/>
        <v>GUARDIAN</v>
      </c>
    </row>
    <row r="1472" spans="1:8" x14ac:dyDescent="0.25">
      <c r="E1472" t="str">
        <f>"ADE201902277541"</f>
        <v>ADE201902277541</v>
      </c>
      <c r="F1472" t="str">
        <f t="shared" si="25"/>
        <v>GUARDIAN</v>
      </c>
      <c r="G1472" s="2">
        <v>220.01</v>
      </c>
      <c r="H1472" t="str">
        <f t="shared" si="26"/>
        <v>GUARDIAN</v>
      </c>
    </row>
    <row r="1473" spans="5:8" x14ac:dyDescent="0.25">
      <c r="E1473" t="str">
        <f>"ADS201902067161"</f>
        <v>ADS201902067161</v>
      </c>
      <c r="F1473" t="str">
        <f t="shared" si="25"/>
        <v>GUARDIAN</v>
      </c>
      <c r="G1473" s="2">
        <v>44.39</v>
      </c>
      <c r="H1473" t="str">
        <f t="shared" si="26"/>
        <v>GUARDIAN</v>
      </c>
    </row>
    <row r="1474" spans="5:8" x14ac:dyDescent="0.25">
      <c r="E1474" t="str">
        <f>"ADS201902067196"</f>
        <v>ADS201902067196</v>
      </c>
      <c r="F1474" t="str">
        <f t="shared" si="25"/>
        <v>GUARDIAN</v>
      </c>
      <c r="G1474" s="2">
        <v>0.53</v>
      </c>
      <c r="H1474" t="str">
        <f t="shared" si="26"/>
        <v>GUARDIAN</v>
      </c>
    </row>
    <row r="1475" spans="5:8" x14ac:dyDescent="0.25">
      <c r="E1475" t="str">
        <f>"ADS201902277538"</f>
        <v>ADS201902277538</v>
      </c>
      <c r="F1475" t="str">
        <f t="shared" si="25"/>
        <v>GUARDIAN</v>
      </c>
      <c r="G1475" s="2">
        <v>0.53</v>
      </c>
      <c r="H1475" t="str">
        <f t="shared" si="26"/>
        <v>GUARDIAN</v>
      </c>
    </row>
    <row r="1476" spans="5:8" x14ac:dyDescent="0.25">
      <c r="E1476" t="str">
        <f>"ADS201902277541"</f>
        <v>ADS201902277541</v>
      </c>
      <c r="F1476" t="str">
        <f t="shared" si="25"/>
        <v>GUARDIAN</v>
      </c>
      <c r="G1476" s="2">
        <v>41</v>
      </c>
      <c r="H1476" t="str">
        <f t="shared" si="26"/>
        <v>GUARDIAN</v>
      </c>
    </row>
    <row r="1477" spans="5:8" x14ac:dyDescent="0.25">
      <c r="E1477" t="str">
        <f>"GDC201902067161"</f>
        <v>GDC201902067161</v>
      </c>
      <c r="F1477" t="str">
        <f t="shared" si="25"/>
        <v>GUARDIAN</v>
      </c>
      <c r="G1477" s="2">
        <v>2682.84</v>
      </c>
      <c r="H1477" t="str">
        <f t="shared" si="26"/>
        <v>GUARDIAN</v>
      </c>
    </row>
    <row r="1478" spans="5:8" x14ac:dyDescent="0.25">
      <c r="E1478" t="str">
        <f>""</f>
        <v/>
      </c>
      <c r="F1478" t="str">
        <f>""</f>
        <v/>
      </c>
      <c r="H1478" t="str">
        <f t="shared" si="26"/>
        <v>GUARDIAN</v>
      </c>
    </row>
    <row r="1479" spans="5:8" x14ac:dyDescent="0.25">
      <c r="E1479" t="str">
        <f>""</f>
        <v/>
      </c>
      <c r="F1479" t="str">
        <f>""</f>
        <v/>
      </c>
      <c r="H1479" t="str">
        <f t="shared" si="26"/>
        <v>GUARDIAN</v>
      </c>
    </row>
    <row r="1480" spans="5:8" x14ac:dyDescent="0.25">
      <c r="E1480" t="str">
        <f>""</f>
        <v/>
      </c>
      <c r="F1480" t="str">
        <f>""</f>
        <v/>
      </c>
      <c r="H1480" t="str">
        <f t="shared" si="26"/>
        <v>GUARDIAN</v>
      </c>
    </row>
    <row r="1481" spans="5:8" x14ac:dyDescent="0.25">
      <c r="E1481" t="str">
        <f>""</f>
        <v/>
      </c>
      <c r="F1481" t="str">
        <f>""</f>
        <v/>
      </c>
      <c r="H1481" t="str">
        <f t="shared" si="26"/>
        <v>GUARDIAN</v>
      </c>
    </row>
    <row r="1482" spans="5:8" x14ac:dyDescent="0.25">
      <c r="E1482" t="str">
        <f>""</f>
        <v/>
      </c>
      <c r="F1482" t="str">
        <f>""</f>
        <v/>
      </c>
      <c r="H1482" t="str">
        <f t="shared" si="26"/>
        <v>GUARDIAN</v>
      </c>
    </row>
    <row r="1483" spans="5:8" x14ac:dyDescent="0.25">
      <c r="E1483" t="str">
        <f>""</f>
        <v/>
      </c>
      <c r="F1483" t="str">
        <f>""</f>
        <v/>
      </c>
      <c r="H1483" t="str">
        <f t="shared" si="26"/>
        <v>GUARDIAN</v>
      </c>
    </row>
    <row r="1484" spans="5:8" x14ac:dyDescent="0.25">
      <c r="E1484" t="str">
        <f>""</f>
        <v/>
      </c>
      <c r="F1484" t="str">
        <f>""</f>
        <v/>
      </c>
      <c r="H1484" t="str">
        <f t="shared" si="26"/>
        <v>GUARDIAN</v>
      </c>
    </row>
    <row r="1485" spans="5:8" x14ac:dyDescent="0.25">
      <c r="E1485" t="str">
        <f>""</f>
        <v/>
      </c>
      <c r="F1485" t="str">
        <f>""</f>
        <v/>
      </c>
      <c r="H1485" t="str">
        <f t="shared" si="26"/>
        <v>GUARDIAN</v>
      </c>
    </row>
    <row r="1486" spans="5:8" x14ac:dyDescent="0.25">
      <c r="E1486" t="str">
        <f>""</f>
        <v/>
      </c>
      <c r="F1486" t="str">
        <f>""</f>
        <v/>
      </c>
      <c r="H1486" t="str">
        <f t="shared" si="26"/>
        <v>GUARDIAN</v>
      </c>
    </row>
    <row r="1487" spans="5:8" x14ac:dyDescent="0.25">
      <c r="E1487" t="str">
        <f>""</f>
        <v/>
      </c>
      <c r="F1487" t="str">
        <f>""</f>
        <v/>
      </c>
      <c r="H1487" t="str">
        <f t="shared" si="26"/>
        <v>GUARDIAN</v>
      </c>
    </row>
    <row r="1488" spans="5:8" x14ac:dyDescent="0.25">
      <c r="E1488" t="str">
        <f>""</f>
        <v/>
      </c>
      <c r="F1488" t="str">
        <f>""</f>
        <v/>
      </c>
      <c r="H1488" t="str">
        <f t="shared" si="26"/>
        <v>GUARDIAN</v>
      </c>
    </row>
    <row r="1489" spans="5:8" x14ac:dyDescent="0.25">
      <c r="E1489" t="str">
        <f>""</f>
        <v/>
      </c>
      <c r="F1489" t="str">
        <f>""</f>
        <v/>
      </c>
      <c r="H1489" t="str">
        <f t="shared" si="26"/>
        <v>GUARDIAN</v>
      </c>
    </row>
    <row r="1490" spans="5:8" x14ac:dyDescent="0.25">
      <c r="E1490" t="str">
        <f>""</f>
        <v/>
      </c>
      <c r="F1490" t="str">
        <f>""</f>
        <v/>
      </c>
      <c r="H1490" t="str">
        <f t="shared" si="26"/>
        <v>GUARDIAN</v>
      </c>
    </row>
    <row r="1491" spans="5:8" x14ac:dyDescent="0.25">
      <c r="E1491" t="str">
        <f>""</f>
        <v/>
      </c>
      <c r="F1491" t="str">
        <f>""</f>
        <v/>
      </c>
      <c r="H1491" t="str">
        <f t="shared" si="26"/>
        <v>GUARDIAN</v>
      </c>
    </row>
    <row r="1492" spans="5:8" x14ac:dyDescent="0.25">
      <c r="E1492" t="str">
        <f>""</f>
        <v/>
      </c>
      <c r="F1492" t="str">
        <f>""</f>
        <v/>
      </c>
      <c r="H1492" t="str">
        <f t="shared" si="26"/>
        <v>GUARDIAN</v>
      </c>
    </row>
    <row r="1493" spans="5:8" x14ac:dyDescent="0.25">
      <c r="E1493" t="str">
        <f>""</f>
        <v/>
      </c>
      <c r="F1493" t="str">
        <f>""</f>
        <v/>
      </c>
      <c r="H1493" t="str">
        <f t="shared" si="26"/>
        <v>GUARDIAN</v>
      </c>
    </row>
    <row r="1494" spans="5:8" x14ac:dyDescent="0.25">
      <c r="E1494" t="str">
        <f>""</f>
        <v/>
      </c>
      <c r="F1494" t="str">
        <f>""</f>
        <v/>
      </c>
      <c r="H1494" t="str">
        <f t="shared" si="26"/>
        <v>GUARDIAN</v>
      </c>
    </row>
    <row r="1495" spans="5:8" x14ac:dyDescent="0.25">
      <c r="E1495" t="str">
        <f>""</f>
        <v/>
      </c>
      <c r="F1495" t="str">
        <f>""</f>
        <v/>
      </c>
      <c r="H1495" t="str">
        <f t="shared" si="26"/>
        <v>GUARDIAN</v>
      </c>
    </row>
    <row r="1496" spans="5:8" x14ac:dyDescent="0.25">
      <c r="E1496" t="str">
        <f>""</f>
        <v/>
      </c>
      <c r="F1496" t="str">
        <f>""</f>
        <v/>
      </c>
      <c r="H1496" t="str">
        <f t="shared" si="26"/>
        <v>GUARDIAN</v>
      </c>
    </row>
    <row r="1497" spans="5:8" x14ac:dyDescent="0.25">
      <c r="E1497" t="str">
        <f>""</f>
        <v/>
      </c>
      <c r="F1497" t="str">
        <f>""</f>
        <v/>
      </c>
      <c r="H1497" t="str">
        <f t="shared" si="26"/>
        <v>GUARDIAN</v>
      </c>
    </row>
    <row r="1498" spans="5:8" x14ac:dyDescent="0.25">
      <c r="E1498" t="str">
        <f>""</f>
        <v/>
      </c>
      <c r="F1498" t="str">
        <f>""</f>
        <v/>
      </c>
      <c r="H1498" t="str">
        <f t="shared" si="26"/>
        <v>GUARDIAN</v>
      </c>
    </row>
    <row r="1499" spans="5:8" x14ac:dyDescent="0.25">
      <c r="E1499" t="str">
        <f>""</f>
        <v/>
      </c>
      <c r="F1499" t="str">
        <f>""</f>
        <v/>
      </c>
      <c r="H1499" t="str">
        <f t="shared" si="26"/>
        <v>GUARDIAN</v>
      </c>
    </row>
    <row r="1500" spans="5:8" x14ac:dyDescent="0.25">
      <c r="E1500" t="str">
        <f>""</f>
        <v/>
      </c>
      <c r="F1500" t="str">
        <f>""</f>
        <v/>
      </c>
      <c r="H1500" t="str">
        <f t="shared" si="26"/>
        <v>GUARDIAN</v>
      </c>
    </row>
    <row r="1501" spans="5:8" x14ac:dyDescent="0.25">
      <c r="E1501" t="str">
        <f>""</f>
        <v/>
      </c>
      <c r="F1501" t="str">
        <f>""</f>
        <v/>
      </c>
      <c r="H1501" t="str">
        <f t="shared" si="26"/>
        <v>GUARDIAN</v>
      </c>
    </row>
    <row r="1502" spans="5:8" x14ac:dyDescent="0.25">
      <c r="E1502" t="str">
        <f>""</f>
        <v/>
      </c>
      <c r="F1502" t="str">
        <f>""</f>
        <v/>
      </c>
      <c r="H1502" t="str">
        <f t="shared" si="26"/>
        <v>GUARDIAN</v>
      </c>
    </row>
    <row r="1503" spans="5:8" x14ac:dyDescent="0.25">
      <c r="E1503" t="str">
        <f>""</f>
        <v/>
      </c>
      <c r="F1503" t="str">
        <f>""</f>
        <v/>
      </c>
      <c r="H1503" t="str">
        <f t="shared" si="26"/>
        <v>GUARDIAN</v>
      </c>
    </row>
    <row r="1504" spans="5:8" x14ac:dyDescent="0.25">
      <c r="E1504" t="str">
        <f>""</f>
        <v/>
      </c>
      <c r="F1504" t="str">
        <f>""</f>
        <v/>
      </c>
      <c r="H1504" t="str">
        <f t="shared" si="26"/>
        <v>GUARDIAN</v>
      </c>
    </row>
    <row r="1505" spans="5:8" x14ac:dyDescent="0.25">
      <c r="E1505" t="str">
        <f>""</f>
        <v/>
      </c>
      <c r="F1505" t="str">
        <f>""</f>
        <v/>
      </c>
      <c r="H1505" t="str">
        <f t="shared" si="26"/>
        <v>GUARDIAN</v>
      </c>
    </row>
    <row r="1506" spans="5:8" x14ac:dyDescent="0.25">
      <c r="E1506" t="str">
        <f>""</f>
        <v/>
      </c>
      <c r="F1506" t="str">
        <f>""</f>
        <v/>
      </c>
      <c r="H1506" t="str">
        <f t="shared" si="26"/>
        <v>GUARDIAN</v>
      </c>
    </row>
    <row r="1507" spans="5:8" x14ac:dyDescent="0.25">
      <c r="E1507" t="str">
        <f>""</f>
        <v/>
      </c>
      <c r="F1507" t="str">
        <f>""</f>
        <v/>
      </c>
      <c r="H1507" t="str">
        <f t="shared" si="26"/>
        <v>GUARDIAN</v>
      </c>
    </row>
    <row r="1508" spans="5:8" x14ac:dyDescent="0.25">
      <c r="E1508" t="str">
        <f>"GDC201902067196"</f>
        <v>GDC201902067196</v>
      </c>
      <c r="F1508" t="str">
        <f>"GUARDIAN"</f>
        <v>GUARDIAN</v>
      </c>
      <c r="G1508" s="2">
        <v>135.84</v>
      </c>
      <c r="H1508" t="str">
        <f t="shared" si="26"/>
        <v>GUARDIAN</v>
      </c>
    </row>
    <row r="1509" spans="5:8" x14ac:dyDescent="0.25">
      <c r="E1509" t="str">
        <f>""</f>
        <v/>
      </c>
      <c r="F1509" t="str">
        <f>""</f>
        <v/>
      </c>
      <c r="H1509" t="str">
        <f t="shared" si="26"/>
        <v>GUARDIAN</v>
      </c>
    </row>
    <row r="1510" spans="5:8" x14ac:dyDescent="0.25">
      <c r="E1510" t="str">
        <f>"GDC201902277538"</f>
        <v>GDC201902277538</v>
      </c>
      <c r="F1510" t="str">
        <f>"GUARDIAN"</f>
        <v>GUARDIAN</v>
      </c>
      <c r="G1510" s="2">
        <v>135.84</v>
      </c>
      <c r="H1510" t="str">
        <f t="shared" si="26"/>
        <v>GUARDIAN</v>
      </c>
    </row>
    <row r="1511" spans="5:8" x14ac:dyDescent="0.25">
      <c r="E1511" t="str">
        <f>""</f>
        <v/>
      </c>
      <c r="F1511" t="str">
        <f>""</f>
        <v/>
      </c>
      <c r="H1511" t="str">
        <f t="shared" si="26"/>
        <v>GUARDIAN</v>
      </c>
    </row>
    <row r="1512" spans="5:8" x14ac:dyDescent="0.25">
      <c r="E1512" t="str">
        <f>"GDC201902277541"</f>
        <v>GDC201902277541</v>
      </c>
      <c r="F1512" t="str">
        <f>"GUARDIAN"</f>
        <v>GUARDIAN</v>
      </c>
      <c r="G1512" s="2">
        <v>2580.96</v>
      </c>
      <c r="H1512" t="str">
        <f t="shared" si="26"/>
        <v>GUARDIAN</v>
      </c>
    </row>
    <row r="1513" spans="5:8" x14ac:dyDescent="0.25">
      <c r="E1513" t="str">
        <f>""</f>
        <v/>
      </c>
      <c r="F1513" t="str">
        <f>""</f>
        <v/>
      </c>
      <c r="H1513" t="str">
        <f t="shared" si="26"/>
        <v>GUARDIAN</v>
      </c>
    </row>
    <row r="1514" spans="5:8" x14ac:dyDescent="0.25">
      <c r="E1514" t="str">
        <f>""</f>
        <v/>
      </c>
      <c r="F1514" t="str">
        <f>""</f>
        <v/>
      </c>
      <c r="H1514" t="str">
        <f t="shared" si="26"/>
        <v>GUARDIAN</v>
      </c>
    </row>
    <row r="1515" spans="5:8" x14ac:dyDescent="0.25">
      <c r="E1515" t="str">
        <f>""</f>
        <v/>
      </c>
      <c r="F1515" t="str">
        <f>""</f>
        <v/>
      </c>
      <c r="H1515" t="str">
        <f t="shared" si="26"/>
        <v>GUARDIAN</v>
      </c>
    </row>
    <row r="1516" spans="5:8" x14ac:dyDescent="0.25">
      <c r="E1516" t="str">
        <f>""</f>
        <v/>
      </c>
      <c r="F1516" t="str">
        <f>""</f>
        <v/>
      </c>
      <c r="H1516" t="str">
        <f t="shared" si="26"/>
        <v>GUARDIAN</v>
      </c>
    </row>
    <row r="1517" spans="5:8" x14ac:dyDescent="0.25">
      <c r="E1517" t="str">
        <f>""</f>
        <v/>
      </c>
      <c r="F1517" t="str">
        <f>""</f>
        <v/>
      </c>
      <c r="H1517" t="str">
        <f t="shared" si="26"/>
        <v>GUARDIAN</v>
      </c>
    </row>
    <row r="1518" spans="5:8" x14ac:dyDescent="0.25">
      <c r="E1518" t="str">
        <f>""</f>
        <v/>
      </c>
      <c r="F1518" t="str">
        <f>""</f>
        <v/>
      </c>
      <c r="H1518" t="str">
        <f t="shared" si="26"/>
        <v>GUARDIAN</v>
      </c>
    </row>
    <row r="1519" spans="5:8" x14ac:dyDescent="0.25">
      <c r="E1519" t="str">
        <f>""</f>
        <v/>
      </c>
      <c r="F1519" t="str">
        <f>""</f>
        <v/>
      </c>
      <c r="H1519" t="str">
        <f t="shared" si="26"/>
        <v>GUARDIAN</v>
      </c>
    </row>
    <row r="1520" spans="5:8" x14ac:dyDescent="0.25">
      <c r="E1520" t="str">
        <f>""</f>
        <v/>
      </c>
      <c r="F1520" t="str">
        <f>""</f>
        <v/>
      </c>
      <c r="H1520" t="str">
        <f t="shared" si="26"/>
        <v>GUARDIAN</v>
      </c>
    </row>
    <row r="1521" spans="5:8" x14ac:dyDescent="0.25">
      <c r="E1521" t="str">
        <f>""</f>
        <v/>
      </c>
      <c r="F1521" t="str">
        <f>""</f>
        <v/>
      </c>
      <c r="H1521" t="str">
        <f t="shared" si="26"/>
        <v>GUARDIAN</v>
      </c>
    </row>
    <row r="1522" spans="5:8" x14ac:dyDescent="0.25">
      <c r="E1522" t="str">
        <f>""</f>
        <v/>
      </c>
      <c r="F1522" t="str">
        <f>""</f>
        <v/>
      </c>
      <c r="H1522" t="str">
        <f t="shared" si="26"/>
        <v>GUARDIAN</v>
      </c>
    </row>
    <row r="1523" spans="5:8" x14ac:dyDescent="0.25">
      <c r="E1523" t="str">
        <f>""</f>
        <v/>
      </c>
      <c r="F1523" t="str">
        <f>""</f>
        <v/>
      </c>
      <c r="H1523" t="str">
        <f t="shared" si="26"/>
        <v>GUARDIAN</v>
      </c>
    </row>
    <row r="1524" spans="5:8" x14ac:dyDescent="0.25">
      <c r="E1524" t="str">
        <f>""</f>
        <v/>
      </c>
      <c r="F1524" t="str">
        <f>""</f>
        <v/>
      </c>
      <c r="H1524" t="str">
        <f t="shared" si="26"/>
        <v>GUARDIAN</v>
      </c>
    </row>
    <row r="1525" spans="5:8" x14ac:dyDescent="0.25">
      <c r="E1525" t="str">
        <f>""</f>
        <v/>
      </c>
      <c r="F1525" t="str">
        <f>""</f>
        <v/>
      </c>
      <c r="H1525" t="str">
        <f t="shared" si="26"/>
        <v>GUARDIAN</v>
      </c>
    </row>
    <row r="1526" spans="5:8" x14ac:dyDescent="0.25">
      <c r="E1526" t="str">
        <f>""</f>
        <v/>
      </c>
      <c r="F1526" t="str">
        <f>""</f>
        <v/>
      </c>
      <c r="H1526" t="str">
        <f t="shared" si="26"/>
        <v>GUARDIAN</v>
      </c>
    </row>
    <row r="1527" spans="5:8" x14ac:dyDescent="0.25">
      <c r="E1527" t="str">
        <f>""</f>
        <v/>
      </c>
      <c r="F1527" t="str">
        <f>""</f>
        <v/>
      </c>
      <c r="H1527" t="str">
        <f t="shared" si="26"/>
        <v>GUARDIAN</v>
      </c>
    </row>
    <row r="1528" spans="5:8" x14ac:dyDescent="0.25">
      <c r="E1528" t="str">
        <f>""</f>
        <v/>
      </c>
      <c r="F1528" t="str">
        <f>""</f>
        <v/>
      </c>
      <c r="H1528" t="str">
        <f t="shared" si="26"/>
        <v>GUARDIAN</v>
      </c>
    </row>
    <row r="1529" spans="5:8" x14ac:dyDescent="0.25">
      <c r="E1529" t="str">
        <f>""</f>
        <v/>
      </c>
      <c r="F1529" t="str">
        <f>""</f>
        <v/>
      </c>
      <c r="H1529" t="str">
        <f t="shared" ref="H1529:H1592" si="27">"GUARDIAN"</f>
        <v>GUARDIAN</v>
      </c>
    </row>
    <row r="1530" spans="5:8" x14ac:dyDescent="0.25">
      <c r="E1530" t="str">
        <f>""</f>
        <v/>
      </c>
      <c r="F1530" t="str">
        <f>""</f>
        <v/>
      </c>
      <c r="H1530" t="str">
        <f t="shared" si="27"/>
        <v>GUARDIAN</v>
      </c>
    </row>
    <row r="1531" spans="5:8" x14ac:dyDescent="0.25">
      <c r="E1531" t="str">
        <f>""</f>
        <v/>
      </c>
      <c r="F1531" t="str">
        <f>""</f>
        <v/>
      </c>
      <c r="H1531" t="str">
        <f t="shared" si="27"/>
        <v>GUARDIAN</v>
      </c>
    </row>
    <row r="1532" spans="5:8" x14ac:dyDescent="0.25">
      <c r="E1532" t="str">
        <f>""</f>
        <v/>
      </c>
      <c r="F1532" t="str">
        <f>""</f>
        <v/>
      </c>
      <c r="H1532" t="str">
        <f t="shared" si="27"/>
        <v>GUARDIAN</v>
      </c>
    </row>
    <row r="1533" spans="5:8" x14ac:dyDescent="0.25">
      <c r="E1533" t="str">
        <f>""</f>
        <v/>
      </c>
      <c r="F1533" t="str">
        <f>""</f>
        <v/>
      </c>
      <c r="H1533" t="str">
        <f t="shared" si="27"/>
        <v>GUARDIAN</v>
      </c>
    </row>
    <row r="1534" spans="5:8" x14ac:dyDescent="0.25">
      <c r="E1534" t="str">
        <f>""</f>
        <v/>
      </c>
      <c r="F1534" t="str">
        <f>""</f>
        <v/>
      </c>
      <c r="H1534" t="str">
        <f t="shared" si="27"/>
        <v>GUARDIAN</v>
      </c>
    </row>
    <row r="1535" spans="5:8" x14ac:dyDescent="0.25">
      <c r="E1535" t="str">
        <f>""</f>
        <v/>
      </c>
      <c r="F1535" t="str">
        <f>""</f>
        <v/>
      </c>
      <c r="H1535" t="str">
        <f t="shared" si="27"/>
        <v>GUARDIAN</v>
      </c>
    </row>
    <row r="1536" spans="5:8" x14ac:dyDescent="0.25">
      <c r="E1536" t="str">
        <f>""</f>
        <v/>
      </c>
      <c r="F1536" t="str">
        <f>""</f>
        <v/>
      </c>
      <c r="H1536" t="str">
        <f t="shared" si="27"/>
        <v>GUARDIAN</v>
      </c>
    </row>
    <row r="1537" spans="5:8" x14ac:dyDescent="0.25">
      <c r="E1537" t="str">
        <f>""</f>
        <v/>
      </c>
      <c r="F1537" t="str">
        <f>""</f>
        <v/>
      </c>
      <c r="H1537" t="str">
        <f t="shared" si="27"/>
        <v>GUARDIAN</v>
      </c>
    </row>
    <row r="1538" spans="5:8" x14ac:dyDescent="0.25">
      <c r="E1538" t="str">
        <f>""</f>
        <v/>
      </c>
      <c r="F1538" t="str">
        <f>""</f>
        <v/>
      </c>
      <c r="H1538" t="str">
        <f t="shared" si="27"/>
        <v>GUARDIAN</v>
      </c>
    </row>
    <row r="1539" spans="5:8" x14ac:dyDescent="0.25">
      <c r="E1539" t="str">
        <f>""</f>
        <v/>
      </c>
      <c r="F1539" t="str">
        <f>""</f>
        <v/>
      </c>
      <c r="H1539" t="str">
        <f t="shared" si="27"/>
        <v>GUARDIAN</v>
      </c>
    </row>
    <row r="1540" spans="5:8" x14ac:dyDescent="0.25">
      <c r="E1540" t="str">
        <f>""</f>
        <v/>
      </c>
      <c r="F1540" t="str">
        <f>""</f>
        <v/>
      </c>
      <c r="H1540" t="str">
        <f t="shared" si="27"/>
        <v>GUARDIAN</v>
      </c>
    </row>
    <row r="1541" spans="5:8" x14ac:dyDescent="0.25">
      <c r="E1541" t="str">
        <f>""</f>
        <v/>
      </c>
      <c r="F1541" t="str">
        <f>""</f>
        <v/>
      </c>
      <c r="H1541" t="str">
        <f t="shared" si="27"/>
        <v>GUARDIAN</v>
      </c>
    </row>
    <row r="1542" spans="5:8" x14ac:dyDescent="0.25">
      <c r="E1542" t="str">
        <f>""</f>
        <v/>
      </c>
      <c r="F1542" t="str">
        <f>""</f>
        <v/>
      </c>
      <c r="H1542" t="str">
        <f t="shared" si="27"/>
        <v>GUARDIAN</v>
      </c>
    </row>
    <row r="1543" spans="5:8" x14ac:dyDescent="0.25">
      <c r="E1543" t="str">
        <f>"GDE201902067161"</f>
        <v>GDE201902067161</v>
      </c>
      <c r="F1543" t="str">
        <f>"GUARDIAN"</f>
        <v>GUARDIAN</v>
      </c>
      <c r="G1543" s="2">
        <v>4186.08</v>
      </c>
      <c r="H1543" t="str">
        <f t="shared" si="27"/>
        <v>GUARDIAN</v>
      </c>
    </row>
    <row r="1544" spans="5:8" x14ac:dyDescent="0.25">
      <c r="E1544" t="str">
        <f>""</f>
        <v/>
      </c>
      <c r="F1544" t="str">
        <f>""</f>
        <v/>
      </c>
      <c r="H1544" t="str">
        <f t="shared" si="27"/>
        <v>GUARDIAN</v>
      </c>
    </row>
    <row r="1545" spans="5:8" x14ac:dyDescent="0.25">
      <c r="E1545" t="str">
        <f>""</f>
        <v/>
      </c>
      <c r="F1545" t="str">
        <f>""</f>
        <v/>
      </c>
      <c r="H1545" t="str">
        <f t="shared" si="27"/>
        <v>GUARDIAN</v>
      </c>
    </row>
    <row r="1546" spans="5:8" x14ac:dyDescent="0.25">
      <c r="E1546" t="str">
        <f>""</f>
        <v/>
      </c>
      <c r="F1546" t="str">
        <f>""</f>
        <v/>
      </c>
      <c r="H1546" t="str">
        <f t="shared" si="27"/>
        <v>GUARDIAN</v>
      </c>
    </row>
    <row r="1547" spans="5:8" x14ac:dyDescent="0.25">
      <c r="E1547" t="str">
        <f>""</f>
        <v/>
      </c>
      <c r="F1547" t="str">
        <f>""</f>
        <v/>
      </c>
      <c r="H1547" t="str">
        <f t="shared" si="27"/>
        <v>GUARDIAN</v>
      </c>
    </row>
    <row r="1548" spans="5:8" x14ac:dyDescent="0.25">
      <c r="E1548" t="str">
        <f>""</f>
        <v/>
      </c>
      <c r="F1548" t="str">
        <f>""</f>
        <v/>
      </c>
      <c r="H1548" t="str">
        <f t="shared" si="27"/>
        <v>GUARDIAN</v>
      </c>
    </row>
    <row r="1549" spans="5:8" x14ac:dyDescent="0.25">
      <c r="E1549" t="str">
        <f>""</f>
        <v/>
      </c>
      <c r="F1549" t="str">
        <f>""</f>
        <v/>
      </c>
      <c r="H1549" t="str">
        <f t="shared" si="27"/>
        <v>GUARDIAN</v>
      </c>
    </row>
    <row r="1550" spans="5:8" x14ac:dyDescent="0.25">
      <c r="E1550" t="str">
        <f>""</f>
        <v/>
      </c>
      <c r="F1550" t="str">
        <f>""</f>
        <v/>
      </c>
      <c r="H1550" t="str">
        <f t="shared" si="27"/>
        <v>GUARDIAN</v>
      </c>
    </row>
    <row r="1551" spans="5:8" x14ac:dyDescent="0.25">
      <c r="E1551" t="str">
        <f>""</f>
        <v/>
      </c>
      <c r="F1551" t="str">
        <f>""</f>
        <v/>
      </c>
      <c r="H1551" t="str">
        <f t="shared" si="27"/>
        <v>GUARDIAN</v>
      </c>
    </row>
    <row r="1552" spans="5:8" x14ac:dyDescent="0.25">
      <c r="E1552" t="str">
        <f>""</f>
        <v/>
      </c>
      <c r="F1552" t="str">
        <f>""</f>
        <v/>
      </c>
      <c r="H1552" t="str">
        <f t="shared" si="27"/>
        <v>GUARDIAN</v>
      </c>
    </row>
    <row r="1553" spans="5:8" x14ac:dyDescent="0.25">
      <c r="E1553" t="str">
        <f>""</f>
        <v/>
      </c>
      <c r="F1553" t="str">
        <f>""</f>
        <v/>
      </c>
      <c r="H1553" t="str">
        <f t="shared" si="27"/>
        <v>GUARDIAN</v>
      </c>
    </row>
    <row r="1554" spans="5:8" x14ac:dyDescent="0.25">
      <c r="E1554" t="str">
        <f>""</f>
        <v/>
      </c>
      <c r="F1554" t="str">
        <f>""</f>
        <v/>
      </c>
      <c r="H1554" t="str">
        <f t="shared" si="27"/>
        <v>GUARDIAN</v>
      </c>
    </row>
    <row r="1555" spans="5:8" x14ac:dyDescent="0.25">
      <c r="E1555" t="str">
        <f>""</f>
        <v/>
      </c>
      <c r="F1555" t="str">
        <f>""</f>
        <v/>
      </c>
      <c r="H1555" t="str">
        <f t="shared" si="27"/>
        <v>GUARDIAN</v>
      </c>
    </row>
    <row r="1556" spans="5:8" x14ac:dyDescent="0.25">
      <c r="E1556" t="str">
        <f>""</f>
        <v/>
      </c>
      <c r="F1556" t="str">
        <f>""</f>
        <v/>
      </c>
      <c r="H1556" t="str">
        <f t="shared" si="27"/>
        <v>GUARDIAN</v>
      </c>
    </row>
    <row r="1557" spans="5:8" x14ac:dyDescent="0.25">
      <c r="E1557" t="str">
        <f>""</f>
        <v/>
      </c>
      <c r="F1557" t="str">
        <f>""</f>
        <v/>
      </c>
      <c r="H1557" t="str">
        <f t="shared" si="27"/>
        <v>GUARDIAN</v>
      </c>
    </row>
    <row r="1558" spans="5:8" x14ac:dyDescent="0.25">
      <c r="E1558" t="str">
        <f>""</f>
        <v/>
      </c>
      <c r="F1558" t="str">
        <f>""</f>
        <v/>
      </c>
      <c r="H1558" t="str">
        <f t="shared" si="27"/>
        <v>GUARDIAN</v>
      </c>
    </row>
    <row r="1559" spans="5:8" x14ac:dyDescent="0.25">
      <c r="E1559" t="str">
        <f>""</f>
        <v/>
      </c>
      <c r="F1559" t="str">
        <f>""</f>
        <v/>
      </c>
      <c r="H1559" t="str">
        <f t="shared" si="27"/>
        <v>GUARDIAN</v>
      </c>
    </row>
    <row r="1560" spans="5:8" x14ac:dyDescent="0.25">
      <c r="E1560" t="str">
        <f>""</f>
        <v/>
      </c>
      <c r="F1560" t="str">
        <f>""</f>
        <v/>
      </c>
      <c r="H1560" t="str">
        <f t="shared" si="27"/>
        <v>GUARDIAN</v>
      </c>
    </row>
    <row r="1561" spans="5:8" x14ac:dyDescent="0.25">
      <c r="E1561" t="str">
        <f>""</f>
        <v/>
      </c>
      <c r="F1561" t="str">
        <f>""</f>
        <v/>
      </c>
      <c r="H1561" t="str">
        <f t="shared" si="27"/>
        <v>GUARDIAN</v>
      </c>
    </row>
    <row r="1562" spans="5:8" x14ac:dyDescent="0.25">
      <c r="E1562" t="str">
        <f>""</f>
        <v/>
      </c>
      <c r="F1562" t="str">
        <f>""</f>
        <v/>
      </c>
      <c r="H1562" t="str">
        <f t="shared" si="27"/>
        <v>GUARDIAN</v>
      </c>
    </row>
    <row r="1563" spans="5:8" x14ac:dyDescent="0.25">
      <c r="E1563" t="str">
        <f>""</f>
        <v/>
      </c>
      <c r="F1563" t="str">
        <f>""</f>
        <v/>
      </c>
      <c r="H1563" t="str">
        <f t="shared" si="27"/>
        <v>GUARDIAN</v>
      </c>
    </row>
    <row r="1564" spans="5:8" x14ac:dyDescent="0.25">
      <c r="E1564" t="str">
        <f>""</f>
        <v/>
      </c>
      <c r="F1564" t="str">
        <f>""</f>
        <v/>
      </c>
      <c r="H1564" t="str">
        <f t="shared" si="27"/>
        <v>GUARDIAN</v>
      </c>
    </row>
    <row r="1565" spans="5:8" x14ac:dyDescent="0.25">
      <c r="E1565" t="str">
        <f>""</f>
        <v/>
      </c>
      <c r="F1565" t="str">
        <f>""</f>
        <v/>
      </c>
      <c r="H1565" t="str">
        <f t="shared" si="27"/>
        <v>GUARDIAN</v>
      </c>
    </row>
    <row r="1566" spans="5:8" x14ac:dyDescent="0.25">
      <c r="E1566" t="str">
        <f>""</f>
        <v/>
      </c>
      <c r="F1566" t="str">
        <f>""</f>
        <v/>
      </c>
      <c r="H1566" t="str">
        <f t="shared" si="27"/>
        <v>GUARDIAN</v>
      </c>
    </row>
    <row r="1567" spans="5:8" x14ac:dyDescent="0.25">
      <c r="E1567" t="str">
        <f>""</f>
        <v/>
      </c>
      <c r="F1567" t="str">
        <f>""</f>
        <v/>
      </c>
      <c r="H1567" t="str">
        <f t="shared" si="27"/>
        <v>GUARDIAN</v>
      </c>
    </row>
    <row r="1568" spans="5:8" x14ac:dyDescent="0.25">
      <c r="E1568" t="str">
        <f>""</f>
        <v/>
      </c>
      <c r="F1568" t="str">
        <f>""</f>
        <v/>
      </c>
      <c r="H1568" t="str">
        <f t="shared" si="27"/>
        <v>GUARDIAN</v>
      </c>
    </row>
    <row r="1569" spans="5:8" x14ac:dyDescent="0.25">
      <c r="E1569" t="str">
        <f>""</f>
        <v/>
      </c>
      <c r="F1569" t="str">
        <f>""</f>
        <v/>
      </c>
      <c r="H1569" t="str">
        <f t="shared" si="27"/>
        <v>GUARDIAN</v>
      </c>
    </row>
    <row r="1570" spans="5:8" x14ac:dyDescent="0.25">
      <c r="E1570" t="str">
        <f>""</f>
        <v/>
      </c>
      <c r="F1570" t="str">
        <f>""</f>
        <v/>
      </c>
      <c r="H1570" t="str">
        <f t="shared" si="27"/>
        <v>GUARDIAN</v>
      </c>
    </row>
    <row r="1571" spans="5:8" x14ac:dyDescent="0.25">
      <c r="E1571" t="str">
        <f>""</f>
        <v/>
      </c>
      <c r="F1571" t="str">
        <f>""</f>
        <v/>
      </c>
      <c r="H1571" t="str">
        <f t="shared" si="27"/>
        <v>GUARDIAN</v>
      </c>
    </row>
    <row r="1572" spans="5:8" x14ac:dyDescent="0.25">
      <c r="E1572" t="str">
        <f>""</f>
        <v/>
      </c>
      <c r="F1572" t="str">
        <f>""</f>
        <v/>
      </c>
      <c r="H1572" t="str">
        <f t="shared" si="27"/>
        <v>GUARDIAN</v>
      </c>
    </row>
    <row r="1573" spans="5:8" x14ac:dyDescent="0.25">
      <c r="E1573" t="str">
        <f>""</f>
        <v/>
      </c>
      <c r="F1573" t="str">
        <f>""</f>
        <v/>
      </c>
      <c r="H1573" t="str">
        <f t="shared" si="27"/>
        <v>GUARDIAN</v>
      </c>
    </row>
    <row r="1574" spans="5:8" x14ac:dyDescent="0.25">
      <c r="E1574" t="str">
        <f>""</f>
        <v/>
      </c>
      <c r="F1574" t="str">
        <f>""</f>
        <v/>
      </c>
      <c r="H1574" t="str">
        <f t="shared" si="27"/>
        <v>GUARDIAN</v>
      </c>
    </row>
    <row r="1575" spans="5:8" x14ac:dyDescent="0.25">
      <c r="E1575" t="str">
        <f>""</f>
        <v/>
      </c>
      <c r="F1575" t="str">
        <f>""</f>
        <v/>
      </c>
      <c r="H1575" t="str">
        <f t="shared" si="27"/>
        <v>GUARDIAN</v>
      </c>
    </row>
    <row r="1576" spans="5:8" x14ac:dyDescent="0.25">
      <c r="E1576" t="str">
        <f>""</f>
        <v/>
      </c>
      <c r="F1576" t="str">
        <f>""</f>
        <v/>
      </c>
      <c r="H1576" t="str">
        <f t="shared" si="27"/>
        <v>GUARDIAN</v>
      </c>
    </row>
    <row r="1577" spans="5:8" x14ac:dyDescent="0.25">
      <c r="E1577" t="str">
        <f>""</f>
        <v/>
      </c>
      <c r="F1577" t="str">
        <f>""</f>
        <v/>
      </c>
      <c r="H1577" t="str">
        <f t="shared" si="27"/>
        <v>GUARDIAN</v>
      </c>
    </row>
    <row r="1578" spans="5:8" x14ac:dyDescent="0.25">
      <c r="E1578" t="str">
        <f>""</f>
        <v/>
      </c>
      <c r="F1578" t="str">
        <f>""</f>
        <v/>
      </c>
      <c r="H1578" t="str">
        <f t="shared" si="27"/>
        <v>GUARDIAN</v>
      </c>
    </row>
    <row r="1579" spans="5:8" x14ac:dyDescent="0.25">
      <c r="E1579" t="str">
        <f>""</f>
        <v/>
      </c>
      <c r="F1579" t="str">
        <f>""</f>
        <v/>
      </c>
      <c r="H1579" t="str">
        <f t="shared" si="27"/>
        <v>GUARDIAN</v>
      </c>
    </row>
    <row r="1580" spans="5:8" x14ac:dyDescent="0.25">
      <c r="E1580" t="str">
        <f>""</f>
        <v/>
      </c>
      <c r="F1580" t="str">
        <f>""</f>
        <v/>
      </c>
      <c r="H1580" t="str">
        <f t="shared" si="27"/>
        <v>GUARDIAN</v>
      </c>
    </row>
    <row r="1581" spans="5:8" x14ac:dyDescent="0.25">
      <c r="E1581" t="str">
        <f>""</f>
        <v/>
      </c>
      <c r="F1581" t="str">
        <f>""</f>
        <v/>
      </c>
      <c r="H1581" t="str">
        <f t="shared" si="27"/>
        <v>GUARDIAN</v>
      </c>
    </row>
    <row r="1582" spans="5:8" x14ac:dyDescent="0.25">
      <c r="E1582" t="str">
        <f>""</f>
        <v/>
      </c>
      <c r="F1582" t="str">
        <f>""</f>
        <v/>
      </c>
      <c r="H1582" t="str">
        <f t="shared" si="27"/>
        <v>GUARDIAN</v>
      </c>
    </row>
    <row r="1583" spans="5:8" x14ac:dyDescent="0.25">
      <c r="E1583" t="str">
        <f>""</f>
        <v/>
      </c>
      <c r="F1583" t="str">
        <f>""</f>
        <v/>
      </c>
      <c r="H1583" t="str">
        <f t="shared" si="27"/>
        <v>GUARDIAN</v>
      </c>
    </row>
    <row r="1584" spans="5:8" x14ac:dyDescent="0.25">
      <c r="E1584" t="str">
        <f>""</f>
        <v/>
      </c>
      <c r="F1584" t="str">
        <f>""</f>
        <v/>
      </c>
      <c r="H1584" t="str">
        <f t="shared" si="27"/>
        <v>GUARDIAN</v>
      </c>
    </row>
    <row r="1585" spans="5:8" x14ac:dyDescent="0.25">
      <c r="E1585" t="str">
        <f>""</f>
        <v/>
      </c>
      <c r="F1585" t="str">
        <f>""</f>
        <v/>
      </c>
      <c r="H1585" t="str">
        <f t="shared" si="27"/>
        <v>GUARDIAN</v>
      </c>
    </row>
    <row r="1586" spans="5:8" x14ac:dyDescent="0.25">
      <c r="E1586" t="str">
        <f>"GDE201902067196"</f>
        <v>GDE201902067196</v>
      </c>
      <c r="F1586" t="str">
        <f>"GUARDIAN"</f>
        <v>GUARDIAN</v>
      </c>
      <c r="G1586" s="2">
        <v>169.29</v>
      </c>
      <c r="H1586" t="str">
        <f t="shared" si="27"/>
        <v>GUARDIAN</v>
      </c>
    </row>
    <row r="1587" spans="5:8" x14ac:dyDescent="0.25">
      <c r="E1587" t="str">
        <f>"GDE201902277538"</f>
        <v>GDE201902277538</v>
      </c>
      <c r="F1587" t="str">
        <f>"GUARDIAN"</f>
        <v>GUARDIAN</v>
      </c>
      <c r="G1587" s="2">
        <v>169.29</v>
      </c>
      <c r="H1587" t="str">
        <f t="shared" si="27"/>
        <v>GUARDIAN</v>
      </c>
    </row>
    <row r="1588" spans="5:8" x14ac:dyDescent="0.25">
      <c r="E1588" t="str">
        <f>"GDE201902277541"</f>
        <v>GDE201902277541</v>
      </c>
      <c r="F1588" t="str">
        <f>"GUARDIAN"</f>
        <v>GUARDIAN</v>
      </c>
      <c r="G1588" s="2">
        <v>4124.5200000000004</v>
      </c>
      <c r="H1588" t="str">
        <f t="shared" si="27"/>
        <v>GUARDIAN</v>
      </c>
    </row>
    <row r="1589" spans="5:8" x14ac:dyDescent="0.25">
      <c r="E1589" t="str">
        <f>""</f>
        <v/>
      </c>
      <c r="F1589" t="str">
        <f>""</f>
        <v/>
      </c>
      <c r="H1589" t="str">
        <f t="shared" si="27"/>
        <v>GUARDIAN</v>
      </c>
    </row>
    <row r="1590" spans="5:8" x14ac:dyDescent="0.25">
      <c r="E1590" t="str">
        <f>""</f>
        <v/>
      </c>
      <c r="F1590" t="str">
        <f>""</f>
        <v/>
      </c>
      <c r="H1590" t="str">
        <f t="shared" si="27"/>
        <v>GUARDIAN</v>
      </c>
    </row>
    <row r="1591" spans="5:8" x14ac:dyDescent="0.25">
      <c r="E1591" t="str">
        <f>""</f>
        <v/>
      </c>
      <c r="F1591" t="str">
        <f>""</f>
        <v/>
      </c>
      <c r="H1591" t="str">
        <f t="shared" si="27"/>
        <v>GUARDIAN</v>
      </c>
    </row>
    <row r="1592" spans="5:8" x14ac:dyDescent="0.25">
      <c r="E1592" t="str">
        <f>""</f>
        <v/>
      </c>
      <c r="F1592" t="str">
        <f>""</f>
        <v/>
      </c>
      <c r="H1592" t="str">
        <f t="shared" si="27"/>
        <v>GUARDIAN</v>
      </c>
    </row>
    <row r="1593" spans="5:8" x14ac:dyDescent="0.25">
      <c r="E1593" t="str">
        <f>""</f>
        <v/>
      </c>
      <c r="F1593" t="str">
        <f>""</f>
        <v/>
      </c>
      <c r="H1593" t="str">
        <f t="shared" ref="H1593:H1656" si="28">"GUARDIAN"</f>
        <v>GUARDIAN</v>
      </c>
    </row>
    <row r="1594" spans="5:8" x14ac:dyDescent="0.25">
      <c r="E1594" t="str">
        <f>""</f>
        <v/>
      </c>
      <c r="F1594" t="str">
        <f>""</f>
        <v/>
      </c>
      <c r="H1594" t="str">
        <f t="shared" si="28"/>
        <v>GUARDIAN</v>
      </c>
    </row>
    <row r="1595" spans="5:8" x14ac:dyDescent="0.25">
      <c r="E1595" t="str">
        <f>""</f>
        <v/>
      </c>
      <c r="F1595" t="str">
        <f>""</f>
        <v/>
      </c>
      <c r="H1595" t="str">
        <f t="shared" si="28"/>
        <v>GUARDIAN</v>
      </c>
    </row>
    <row r="1596" spans="5:8" x14ac:dyDescent="0.25">
      <c r="E1596" t="str">
        <f>""</f>
        <v/>
      </c>
      <c r="F1596" t="str">
        <f>""</f>
        <v/>
      </c>
      <c r="H1596" t="str">
        <f t="shared" si="28"/>
        <v>GUARDIAN</v>
      </c>
    </row>
    <row r="1597" spans="5:8" x14ac:dyDescent="0.25">
      <c r="E1597" t="str">
        <f>""</f>
        <v/>
      </c>
      <c r="F1597" t="str">
        <f>""</f>
        <v/>
      </c>
      <c r="H1597" t="str">
        <f t="shared" si="28"/>
        <v>GUARDIAN</v>
      </c>
    </row>
    <row r="1598" spans="5:8" x14ac:dyDescent="0.25">
      <c r="E1598" t="str">
        <f>""</f>
        <v/>
      </c>
      <c r="F1598" t="str">
        <f>""</f>
        <v/>
      </c>
      <c r="H1598" t="str">
        <f t="shared" si="28"/>
        <v>GUARDIAN</v>
      </c>
    </row>
    <row r="1599" spans="5:8" x14ac:dyDescent="0.25">
      <c r="E1599" t="str">
        <f>""</f>
        <v/>
      </c>
      <c r="F1599" t="str">
        <f>""</f>
        <v/>
      </c>
      <c r="H1599" t="str">
        <f t="shared" si="28"/>
        <v>GUARDIAN</v>
      </c>
    </row>
    <row r="1600" spans="5:8" x14ac:dyDescent="0.25">
      <c r="E1600" t="str">
        <f>""</f>
        <v/>
      </c>
      <c r="F1600" t="str">
        <f>""</f>
        <v/>
      </c>
      <c r="H1600" t="str">
        <f t="shared" si="28"/>
        <v>GUARDIAN</v>
      </c>
    </row>
    <row r="1601" spans="5:8" x14ac:dyDescent="0.25">
      <c r="E1601" t="str">
        <f>""</f>
        <v/>
      </c>
      <c r="F1601" t="str">
        <f>""</f>
        <v/>
      </c>
      <c r="H1601" t="str">
        <f t="shared" si="28"/>
        <v>GUARDIAN</v>
      </c>
    </row>
    <row r="1602" spans="5:8" x14ac:dyDescent="0.25">
      <c r="E1602" t="str">
        <f>""</f>
        <v/>
      </c>
      <c r="F1602" t="str">
        <f>""</f>
        <v/>
      </c>
      <c r="H1602" t="str">
        <f t="shared" si="28"/>
        <v>GUARDIAN</v>
      </c>
    </row>
    <row r="1603" spans="5:8" x14ac:dyDescent="0.25">
      <c r="E1603" t="str">
        <f>""</f>
        <v/>
      </c>
      <c r="F1603" t="str">
        <f>""</f>
        <v/>
      </c>
      <c r="H1603" t="str">
        <f t="shared" si="28"/>
        <v>GUARDIAN</v>
      </c>
    </row>
    <row r="1604" spans="5:8" x14ac:dyDescent="0.25">
      <c r="E1604" t="str">
        <f>""</f>
        <v/>
      </c>
      <c r="F1604" t="str">
        <f>""</f>
        <v/>
      </c>
      <c r="H1604" t="str">
        <f t="shared" si="28"/>
        <v>GUARDIAN</v>
      </c>
    </row>
    <row r="1605" spans="5:8" x14ac:dyDescent="0.25">
      <c r="E1605" t="str">
        <f>""</f>
        <v/>
      </c>
      <c r="F1605" t="str">
        <f>""</f>
        <v/>
      </c>
      <c r="H1605" t="str">
        <f t="shared" si="28"/>
        <v>GUARDIAN</v>
      </c>
    </row>
    <row r="1606" spans="5:8" x14ac:dyDescent="0.25">
      <c r="E1606" t="str">
        <f>""</f>
        <v/>
      </c>
      <c r="F1606" t="str">
        <f>""</f>
        <v/>
      </c>
      <c r="H1606" t="str">
        <f t="shared" si="28"/>
        <v>GUARDIAN</v>
      </c>
    </row>
    <row r="1607" spans="5:8" x14ac:dyDescent="0.25">
      <c r="E1607" t="str">
        <f>""</f>
        <v/>
      </c>
      <c r="F1607" t="str">
        <f>""</f>
        <v/>
      </c>
      <c r="H1607" t="str">
        <f t="shared" si="28"/>
        <v>GUARDIAN</v>
      </c>
    </row>
    <row r="1608" spans="5:8" x14ac:dyDescent="0.25">
      <c r="E1608" t="str">
        <f>""</f>
        <v/>
      </c>
      <c r="F1608" t="str">
        <f>""</f>
        <v/>
      </c>
      <c r="H1608" t="str">
        <f t="shared" si="28"/>
        <v>GUARDIAN</v>
      </c>
    </row>
    <row r="1609" spans="5:8" x14ac:dyDescent="0.25">
      <c r="E1609" t="str">
        <f>""</f>
        <v/>
      </c>
      <c r="F1609" t="str">
        <f>""</f>
        <v/>
      </c>
      <c r="H1609" t="str">
        <f t="shared" si="28"/>
        <v>GUARDIAN</v>
      </c>
    </row>
    <row r="1610" spans="5:8" x14ac:dyDescent="0.25">
      <c r="E1610" t="str">
        <f>""</f>
        <v/>
      </c>
      <c r="F1610" t="str">
        <f>""</f>
        <v/>
      </c>
      <c r="H1610" t="str">
        <f t="shared" si="28"/>
        <v>GUARDIAN</v>
      </c>
    </row>
    <row r="1611" spans="5:8" x14ac:dyDescent="0.25">
      <c r="E1611" t="str">
        <f>""</f>
        <v/>
      </c>
      <c r="F1611" t="str">
        <f>""</f>
        <v/>
      </c>
      <c r="H1611" t="str">
        <f t="shared" si="28"/>
        <v>GUARDIAN</v>
      </c>
    </row>
    <row r="1612" spans="5:8" x14ac:dyDescent="0.25">
      <c r="E1612" t="str">
        <f>""</f>
        <v/>
      </c>
      <c r="F1612" t="str">
        <f>""</f>
        <v/>
      </c>
      <c r="H1612" t="str">
        <f t="shared" si="28"/>
        <v>GUARDIAN</v>
      </c>
    </row>
    <row r="1613" spans="5:8" x14ac:dyDescent="0.25">
      <c r="E1613" t="str">
        <f>""</f>
        <v/>
      </c>
      <c r="F1613" t="str">
        <f>""</f>
        <v/>
      </c>
      <c r="H1613" t="str">
        <f t="shared" si="28"/>
        <v>GUARDIAN</v>
      </c>
    </row>
    <row r="1614" spans="5:8" x14ac:dyDescent="0.25">
      <c r="E1614" t="str">
        <f>""</f>
        <v/>
      </c>
      <c r="F1614" t="str">
        <f>""</f>
        <v/>
      </c>
      <c r="H1614" t="str">
        <f t="shared" si="28"/>
        <v>GUARDIAN</v>
      </c>
    </row>
    <row r="1615" spans="5:8" x14ac:dyDescent="0.25">
      <c r="E1615" t="str">
        <f>""</f>
        <v/>
      </c>
      <c r="F1615" t="str">
        <f>""</f>
        <v/>
      </c>
      <c r="H1615" t="str">
        <f t="shared" si="28"/>
        <v>GUARDIAN</v>
      </c>
    </row>
    <row r="1616" spans="5:8" x14ac:dyDescent="0.25">
      <c r="E1616" t="str">
        <f>""</f>
        <v/>
      </c>
      <c r="F1616" t="str">
        <f>""</f>
        <v/>
      </c>
      <c r="H1616" t="str">
        <f t="shared" si="28"/>
        <v>GUARDIAN</v>
      </c>
    </row>
    <row r="1617" spans="5:8" x14ac:dyDescent="0.25">
      <c r="E1617" t="str">
        <f>""</f>
        <v/>
      </c>
      <c r="F1617" t="str">
        <f>""</f>
        <v/>
      </c>
      <c r="H1617" t="str">
        <f t="shared" si="28"/>
        <v>GUARDIAN</v>
      </c>
    </row>
    <row r="1618" spans="5:8" x14ac:dyDescent="0.25">
      <c r="E1618" t="str">
        <f>""</f>
        <v/>
      </c>
      <c r="F1618" t="str">
        <f>""</f>
        <v/>
      </c>
      <c r="H1618" t="str">
        <f t="shared" si="28"/>
        <v>GUARDIAN</v>
      </c>
    </row>
    <row r="1619" spans="5:8" x14ac:dyDescent="0.25">
      <c r="E1619" t="str">
        <f>""</f>
        <v/>
      </c>
      <c r="F1619" t="str">
        <f>""</f>
        <v/>
      </c>
      <c r="H1619" t="str">
        <f t="shared" si="28"/>
        <v>GUARDIAN</v>
      </c>
    </row>
    <row r="1620" spans="5:8" x14ac:dyDescent="0.25">
      <c r="E1620" t="str">
        <f>""</f>
        <v/>
      </c>
      <c r="F1620" t="str">
        <f>""</f>
        <v/>
      </c>
      <c r="H1620" t="str">
        <f t="shared" si="28"/>
        <v>GUARDIAN</v>
      </c>
    </row>
    <row r="1621" spans="5:8" x14ac:dyDescent="0.25">
      <c r="E1621" t="str">
        <f>""</f>
        <v/>
      </c>
      <c r="F1621" t="str">
        <f>""</f>
        <v/>
      </c>
      <c r="H1621" t="str">
        <f t="shared" si="28"/>
        <v>GUARDIAN</v>
      </c>
    </row>
    <row r="1622" spans="5:8" x14ac:dyDescent="0.25">
      <c r="E1622" t="str">
        <f>""</f>
        <v/>
      </c>
      <c r="F1622" t="str">
        <f>""</f>
        <v/>
      </c>
      <c r="H1622" t="str">
        <f t="shared" si="28"/>
        <v>GUARDIAN</v>
      </c>
    </row>
    <row r="1623" spans="5:8" x14ac:dyDescent="0.25">
      <c r="E1623" t="str">
        <f>""</f>
        <v/>
      </c>
      <c r="F1623" t="str">
        <f>""</f>
        <v/>
      </c>
      <c r="H1623" t="str">
        <f t="shared" si="28"/>
        <v>GUARDIAN</v>
      </c>
    </row>
    <row r="1624" spans="5:8" x14ac:dyDescent="0.25">
      <c r="E1624" t="str">
        <f>""</f>
        <v/>
      </c>
      <c r="F1624" t="str">
        <f>""</f>
        <v/>
      </c>
      <c r="H1624" t="str">
        <f t="shared" si="28"/>
        <v>GUARDIAN</v>
      </c>
    </row>
    <row r="1625" spans="5:8" x14ac:dyDescent="0.25">
      <c r="E1625" t="str">
        <f>""</f>
        <v/>
      </c>
      <c r="F1625" t="str">
        <f>""</f>
        <v/>
      </c>
      <c r="H1625" t="str">
        <f t="shared" si="28"/>
        <v>GUARDIAN</v>
      </c>
    </row>
    <row r="1626" spans="5:8" x14ac:dyDescent="0.25">
      <c r="E1626" t="str">
        <f>""</f>
        <v/>
      </c>
      <c r="F1626" t="str">
        <f>""</f>
        <v/>
      </c>
      <c r="H1626" t="str">
        <f t="shared" si="28"/>
        <v>GUARDIAN</v>
      </c>
    </row>
    <row r="1627" spans="5:8" x14ac:dyDescent="0.25">
      <c r="E1627" t="str">
        <f>""</f>
        <v/>
      </c>
      <c r="F1627" t="str">
        <f>""</f>
        <v/>
      </c>
      <c r="H1627" t="str">
        <f t="shared" si="28"/>
        <v>GUARDIAN</v>
      </c>
    </row>
    <row r="1628" spans="5:8" x14ac:dyDescent="0.25">
      <c r="E1628" t="str">
        <f>""</f>
        <v/>
      </c>
      <c r="F1628" t="str">
        <f>""</f>
        <v/>
      </c>
      <c r="H1628" t="str">
        <f t="shared" si="28"/>
        <v>GUARDIAN</v>
      </c>
    </row>
    <row r="1629" spans="5:8" x14ac:dyDescent="0.25">
      <c r="E1629" t="str">
        <f>""</f>
        <v/>
      </c>
      <c r="F1629" t="str">
        <f>""</f>
        <v/>
      </c>
      <c r="H1629" t="str">
        <f t="shared" si="28"/>
        <v>GUARDIAN</v>
      </c>
    </row>
    <row r="1630" spans="5:8" x14ac:dyDescent="0.25">
      <c r="E1630" t="str">
        <f>""</f>
        <v/>
      </c>
      <c r="F1630" t="str">
        <f>""</f>
        <v/>
      </c>
      <c r="H1630" t="str">
        <f t="shared" si="28"/>
        <v>GUARDIAN</v>
      </c>
    </row>
    <row r="1631" spans="5:8" x14ac:dyDescent="0.25">
      <c r="E1631" t="str">
        <f>"GDF201902067161"</f>
        <v>GDF201902067161</v>
      </c>
      <c r="F1631" t="str">
        <f>"GUARDIAN"</f>
        <v>GUARDIAN</v>
      </c>
      <c r="G1631" s="2">
        <v>2510.5</v>
      </c>
      <c r="H1631" t="str">
        <f t="shared" si="28"/>
        <v>GUARDIAN</v>
      </c>
    </row>
    <row r="1632" spans="5:8" x14ac:dyDescent="0.25">
      <c r="E1632" t="str">
        <f>""</f>
        <v/>
      </c>
      <c r="F1632" t="str">
        <f>""</f>
        <v/>
      </c>
      <c r="H1632" t="str">
        <f t="shared" si="28"/>
        <v>GUARDIAN</v>
      </c>
    </row>
    <row r="1633" spans="5:8" x14ac:dyDescent="0.25">
      <c r="E1633" t="str">
        <f>""</f>
        <v/>
      </c>
      <c r="F1633" t="str">
        <f>""</f>
        <v/>
      </c>
      <c r="H1633" t="str">
        <f t="shared" si="28"/>
        <v>GUARDIAN</v>
      </c>
    </row>
    <row r="1634" spans="5:8" x14ac:dyDescent="0.25">
      <c r="E1634" t="str">
        <f>""</f>
        <v/>
      </c>
      <c r="F1634" t="str">
        <f>""</f>
        <v/>
      </c>
      <c r="H1634" t="str">
        <f t="shared" si="28"/>
        <v>GUARDIAN</v>
      </c>
    </row>
    <row r="1635" spans="5:8" x14ac:dyDescent="0.25">
      <c r="E1635" t="str">
        <f>""</f>
        <v/>
      </c>
      <c r="F1635" t="str">
        <f>""</f>
        <v/>
      </c>
      <c r="H1635" t="str">
        <f t="shared" si="28"/>
        <v>GUARDIAN</v>
      </c>
    </row>
    <row r="1636" spans="5:8" x14ac:dyDescent="0.25">
      <c r="E1636" t="str">
        <f>""</f>
        <v/>
      </c>
      <c r="F1636" t="str">
        <f>""</f>
        <v/>
      </c>
      <c r="H1636" t="str">
        <f t="shared" si="28"/>
        <v>GUARDIAN</v>
      </c>
    </row>
    <row r="1637" spans="5:8" x14ac:dyDescent="0.25">
      <c r="E1637" t="str">
        <f>""</f>
        <v/>
      </c>
      <c r="F1637" t="str">
        <f>""</f>
        <v/>
      </c>
      <c r="H1637" t="str">
        <f t="shared" si="28"/>
        <v>GUARDIAN</v>
      </c>
    </row>
    <row r="1638" spans="5:8" x14ac:dyDescent="0.25">
      <c r="E1638" t="str">
        <f>""</f>
        <v/>
      </c>
      <c r="F1638" t="str">
        <f>""</f>
        <v/>
      </c>
      <c r="H1638" t="str">
        <f t="shared" si="28"/>
        <v>GUARDIAN</v>
      </c>
    </row>
    <row r="1639" spans="5:8" x14ac:dyDescent="0.25">
      <c r="E1639" t="str">
        <f>""</f>
        <v/>
      </c>
      <c r="F1639" t="str">
        <f>""</f>
        <v/>
      </c>
      <c r="H1639" t="str">
        <f t="shared" si="28"/>
        <v>GUARDIAN</v>
      </c>
    </row>
    <row r="1640" spans="5:8" x14ac:dyDescent="0.25">
      <c r="E1640" t="str">
        <f>""</f>
        <v/>
      </c>
      <c r="F1640" t="str">
        <f>""</f>
        <v/>
      </c>
      <c r="H1640" t="str">
        <f t="shared" si="28"/>
        <v>GUARDIAN</v>
      </c>
    </row>
    <row r="1641" spans="5:8" x14ac:dyDescent="0.25">
      <c r="E1641" t="str">
        <f>""</f>
        <v/>
      </c>
      <c r="F1641" t="str">
        <f>""</f>
        <v/>
      </c>
      <c r="H1641" t="str">
        <f t="shared" si="28"/>
        <v>GUARDIAN</v>
      </c>
    </row>
    <row r="1642" spans="5:8" x14ac:dyDescent="0.25">
      <c r="E1642" t="str">
        <f>""</f>
        <v/>
      </c>
      <c r="F1642" t="str">
        <f>""</f>
        <v/>
      </c>
      <c r="H1642" t="str">
        <f t="shared" si="28"/>
        <v>GUARDIAN</v>
      </c>
    </row>
    <row r="1643" spans="5:8" x14ac:dyDescent="0.25">
      <c r="E1643" t="str">
        <f>""</f>
        <v/>
      </c>
      <c r="F1643" t="str">
        <f>""</f>
        <v/>
      </c>
      <c r="H1643" t="str">
        <f t="shared" si="28"/>
        <v>GUARDIAN</v>
      </c>
    </row>
    <row r="1644" spans="5:8" x14ac:dyDescent="0.25">
      <c r="E1644" t="str">
        <f>""</f>
        <v/>
      </c>
      <c r="F1644" t="str">
        <f>""</f>
        <v/>
      </c>
      <c r="H1644" t="str">
        <f t="shared" si="28"/>
        <v>GUARDIAN</v>
      </c>
    </row>
    <row r="1645" spans="5:8" x14ac:dyDescent="0.25">
      <c r="E1645" t="str">
        <f>""</f>
        <v/>
      </c>
      <c r="F1645" t="str">
        <f>""</f>
        <v/>
      </c>
      <c r="H1645" t="str">
        <f t="shared" si="28"/>
        <v>GUARDIAN</v>
      </c>
    </row>
    <row r="1646" spans="5:8" x14ac:dyDescent="0.25">
      <c r="E1646" t="str">
        <f>""</f>
        <v/>
      </c>
      <c r="F1646" t="str">
        <f>""</f>
        <v/>
      </c>
      <c r="H1646" t="str">
        <f t="shared" si="28"/>
        <v>GUARDIAN</v>
      </c>
    </row>
    <row r="1647" spans="5:8" x14ac:dyDescent="0.25">
      <c r="E1647" t="str">
        <f>""</f>
        <v/>
      </c>
      <c r="F1647" t="str">
        <f>""</f>
        <v/>
      </c>
      <c r="H1647" t="str">
        <f t="shared" si="28"/>
        <v>GUARDIAN</v>
      </c>
    </row>
    <row r="1648" spans="5:8" x14ac:dyDescent="0.25">
      <c r="E1648" t="str">
        <f>""</f>
        <v/>
      </c>
      <c r="F1648" t="str">
        <f>""</f>
        <v/>
      </c>
      <c r="H1648" t="str">
        <f t="shared" si="28"/>
        <v>GUARDIAN</v>
      </c>
    </row>
    <row r="1649" spans="5:8" x14ac:dyDescent="0.25">
      <c r="E1649" t="str">
        <f>""</f>
        <v/>
      </c>
      <c r="F1649" t="str">
        <f>""</f>
        <v/>
      </c>
      <c r="H1649" t="str">
        <f t="shared" si="28"/>
        <v>GUARDIAN</v>
      </c>
    </row>
    <row r="1650" spans="5:8" x14ac:dyDescent="0.25">
      <c r="E1650" t="str">
        <f>"GDF201902067196"</f>
        <v>GDF201902067196</v>
      </c>
      <c r="F1650" t="str">
        <f>"GUARDIAN"</f>
        <v>GUARDIAN</v>
      </c>
      <c r="G1650" s="2">
        <v>100.42</v>
      </c>
      <c r="H1650" t="str">
        <f t="shared" si="28"/>
        <v>GUARDIAN</v>
      </c>
    </row>
    <row r="1651" spans="5:8" x14ac:dyDescent="0.25">
      <c r="E1651" t="str">
        <f>""</f>
        <v/>
      </c>
      <c r="F1651" t="str">
        <f>""</f>
        <v/>
      </c>
      <c r="H1651" t="str">
        <f t="shared" si="28"/>
        <v>GUARDIAN</v>
      </c>
    </row>
    <row r="1652" spans="5:8" x14ac:dyDescent="0.25">
      <c r="E1652" t="str">
        <f>"GDF201902277538"</f>
        <v>GDF201902277538</v>
      </c>
      <c r="F1652" t="str">
        <f>"GUARDIAN"</f>
        <v>GUARDIAN</v>
      </c>
      <c r="G1652" s="2">
        <v>100.42</v>
      </c>
      <c r="H1652" t="str">
        <f t="shared" si="28"/>
        <v>GUARDIAN</v>
      </c>
    </row>
    <row r="1653" spans="5:8" x14ac:dyDescent="0.25">
      <c r="E1653" t="str">
        <f>""</f>
        <v/>
      </c>
      <c r="F1653" t="str">
        <f>""</f>
        <v/>
      </c>
      <c r="H1653" t="str">
        <f t="shared" si="28"/>
        <v>GUARDIAN</v>
      </c>
    </row>
    <row r="1654" spans="5:8" x14ac:dyDescent="0.25">
      <c r="E1654" t="str">
        <f>"GDF201902277541"</f>
        <v>GDF201902277541</v>
      </c>
      <c r="F1654" t="str">
        <f>"GUARDIAN"</f>
        <v>GUARDIAN</v>
      </c>
      <c r="G1654" s="2">
        <v>2510.5</v>
      </c>
      <c r="H1654" t="str">
        <f t="shared" si="28"/>
        <v>GUARDIAN</v>
      </c>
    </row>
    <row r="1655" spans="5:8" x14ac:dyDescent="0.25">
      <c r="E1655" t="str">
        <f>""</f>
        <v/>
      </c>
      <c r="F1655" t="str">
        <f>""</f>
        <v/>
      </c>
      <c r="H1655" t="str">
        <f t="shared" si="28"/>
        <v>GUARDIAN</v>
      </c>
    </row>
    <row r="1656" spans="5:8" x14ac:dyDescent="0.25">
      <c r="E1656" t="str">
        <f>""</f>
        <v/>
      </c>
      <c r="F1656" t="str">
        <f>""</f>
        <v/>
      </c>
      <c r="H1656" t="str">
        <f t="shared" si="28"/>
        <v>GUARDIAN</v>
      </c>
    </row>
    <row r="1657" spans="5:8" x14ac:dyDescent="0.25">
      <c r="E1657" t="str">
        <f>""</f>
        <v/>
      </c>
      <c r="F1657" t="str">
        <f>""</f>
        <v/>
      </c>
      <c r="H1657" t="str">
        <f t="shared" ref="H1657:H1720" si="29">"GUARDIAN"</f>
        <v>GUARDIAN</v>
      </c>
    </row>
    <row r="1658" spans="5:8" x14ac:dyDescent="0.25">
      <c r="E1658" t="str">
        <f>""</f>
        <v/>
      </c>
      <c r="F1658" t="str">
        <f>""</f>
        <v/>
      </c>
      <c r="H1658" t="str">
        <f t="shared" si="29"/>
        <v>GUARDIAN</v>
      </c>
    </row>
    <row r="1659" spans="5:8" x14ac:dyDescent="0.25">
      <c r="E1659" t="str">
        <f>""</f>
        <v/>
      </c>
      <c r="F1659" t="str">
        <f>""</f>
        <v/>
      </c>
      <c r="H1659" t="str">
        <f t="shared" si="29"/>
        <v>GUARDIAN</v>
      </c>
    </row>
    <row r="1660" spans="5:8" x14ac:dyDescent="0.25">
      <c r="E1660" t="str">
        <f>""</f>
        <v/>
      </c>
      <c r="F1660" t="str">
        <f>""</f>
        <v/>
      </c>
      <c r="H1660" t="str">
        <f t="shared" si="29"/>
        <v>GUARDIAN</v>
      </c>
    </row>
    <row r="1661" spans="5:8" x14ac:dyDescent="0.25">
      <c r="E1661" t="str">
        <f>""</f>
        <v/>
      </c>
      <c r="F1661" t="str">
        <f>""</f>
        <v/>
      </c>
      <c r="H1661" t="str">
        <f t="shared" si="29"/>
        <v>GUARDIAN</v>
      </c>
    </row>
    <row r="1662" spans="5:8" x14ac:dyDescent="0.25">
      <c r="E1662" t="str">
        <f>""</f>
        <v/>
      </c>
      <c r="F1662" t="str">
        <f>""</f>
        <v/>
      </c>
      <c r="H1662" t="str">
        <f t="shared" si="29"/>
        <v>GUARDIAN</v>
      </c>
    </row>
    <row r="1663" spans="5:8" x14ac:dyDescent="0.25">
      <c r="E1663" t="str">
        <f>""</f>
        <v/>
      </c>
      <c r="F1663" t="str">
        <f>""</f>
        <v/>
      </c>
      <c r="H1663" t="str">
        <f t="shared" si="29"/>
        <v>GUARDIAN</v>
      </c>
    </row>
    <row r="1664" spans="5:8" x14ac:dyDescent="0.25">
      <c r="E1664" t="str">
        <f>""</f>
        <v/>
      </c>
      <c r="F1664" t="str">
        <f>""</f>
        <v/>
      </c>
      <c r="H1664" t="str">
        <f t="shared" si="29"/>
        <v>GUARDIAN</v>
      </c>
    </row>
    <row r="1665" spans="5:8" x14ac:dyDescent="0.25">
      <c r="E1665" t="str">
        <f>""</f>
        <v/>
      </c>
      <c r="F1665" t="str">
        <f>""</f>
        <v/>
      </c>
      <c r="H1665" t="str">
        <f t="shared" si="29"/>
        <v>GUARDIAN</v>
      </c>
    </row>
    <row r="1666" spans="5:8" x14ac:dyDescent="0.25">
      <c r="E1666" t="str">
        <f>""</f>
        <v/>
      </c>
      <c r="F1666" t="str">
        <f>""</f>
        <v/>
      </c>
      <c r="H1666" t="str">
        <f t="shared" si="29"/>
        <v>GUARDIAN</v>
      </c>
    </row>
    <row r="1667" spans="5:8" x14ac:dyDescent="0.25">
      <c r="E1667" t="str">
        <f>""</f>
        <v/>
      </c>
      <c r="F1667" t="str">
        <f>""</f>
        <v/>
      </c>
      <c r="H1667" t="str">
        <f t="shared" si="29"/>
        <v>GUARDIAN</v>
      </c>
    </row>
    <row r="1668" spans="5:8" x14ac:dyDescent="0.25">
      <c r="E1668" t="str">
        <f>""</f>
        <v/>
      </c>
      <c r="F1668" t="str">
        <f>""</f>
        <v/>
      </c>
      <c r="H1668" t="str">
        <f t="shared" si="29"/>
        <v>GUARDIAN</v>
      </c>
    </row>
    <row r="1669" spans="5:8" x14ac:dyDescent="0.25">
      <c r="E1669" t="str">
        <f>""</f>
        <v/>
      </c>
      <c r="F1669" t="str">
        <f>""</f>
        <v/>
      </c>
      <c r="H1669" t="str">
        <f t="shared" si="29"/>
        <v>GUARDIAN</v>
      </c>
    </row>
    <row r="1670" spans="5:8" x14ac:dyDescent="0.25">
      <c r="E1670" t="str">
        <f>""</f>
        <v/>
      </c>
      <c r="F1670" t="str">
        <f>""</f>
        <v/>
      </c>
      <c r="H1670" t="str">
        <f t="shared" si="29"/>
        <v>GUARDIAN</v>
      </c>
    </row>
    <row r="1671" spans="5:8" x14ac:dyDescent="0.25">
      <c r="E1671" t="str">
        <f>""</f>
        <v/>
      </c>
      <c r="F1671" t="str">
        <f>""</f>
        <v/>
      </c>
      <c r="H1671" t="str">
        <f t="shared" si="29"/>
        <v>GUARDIAN</v>
      </c>
    </row>
    <row r="1672" spans="5:8" x14ac:dyDescent="0.25">
      <c r="E1672" t="str">
        <f>""</f>
        <v/>
      </c>
      <c r="F1672" t="str">
        <f>""</f>
        <v/>
      </c>
      <c r="H1672" t="str">
        <f t="shared" si="29"/>
        <v>GUARDIAN</v>
      </c>
    </row>
    <row r="1673" spans="5:8" x14ac:dyDescent="0.25">
      <c r="E1673" t="str">
        <f>"GDS201902067161"</f>
        <v>GDS201902067161</v>
      </c>
      <c r="F1673" t="str">
        <f>"GUARDIAN"</f>
        <v>GUARDIAN</v>
      </c>
      <c r="G1673" s="2">
        <v>1892.22</v>
      </c>
      <c r="H1673" t="str">
        <f t="shared" si="29"/>
        <v>GUARDIAN</v>
      </c>
    </row>
    <row r="1674" spans="5:8" x14ac:dyDescent="0.25">
      <c r="E1674" t="str">
        <f>""</f>
        <v/>
      </c>
      <c r="F1674" t="str">
        <f>""</f>
        <v/>
      </c>
      <c r="H1674" t="str">
        <f t="shared" si="29"/>
        <v>GUARDIAN</v>
      </c>
    </row>
    <row r="1675" spans="5:8" x14ac:dyDescent="0.25">
      <c r="E1675" t="str">
        <f>""</f>
        <v/>
      </c>
      <c r="F1675" t="str">
        <f>""</f>
        <v/>
      </c>
      <c r="H1675" t="str">
        <f t="shared" si="29"/>
        <v>GUARDIAN</v>
      </c>
    </row>
    <row r="1676" spans="5:8" x14ac:dyDescent="0.25">
      <c r="E1676" t="str">
        <f>""</f>
        <v/>
      </c>
      <c r="F1676" t="str">
        <f>""</f>
        <v/>
      </c>
      <c r="H1676" t="str">
        <f t="shared" si="29"/>
        <v>GUARDIAN</v>
      </c>
    </row>
    <row r="1677" spans="5:8" x14ac:dyDescent="0.25">
      <c r="E1677" t="str">
        <f>""</f>
        <v/>
      </c>
      <c r="F1677" t="str">
        <f>""</f>
        <v/>
      </c>
      <c r="H1677" t="str">
        <f t="shared" si="29"/>
        <v>GUARDIAN</v>
      </c>
    </row>
    <row r="1678" spans="5:8" x14ac:dyDescent="0.25">
      <c r="E1678" t="str">
        <f>""</f>
        <v/>
      </c>
      <c r="F1678" t="str">
        <f>""</f>
        <v/>
      </c>
      <c r="H1678" t="str">
        <f t="shared" si="29"/>
        <v>GUARDIAN</v>
      </c>
    </row>
    <row r="1679" spans="5:8" x14ac:dyDescent="0.25">
      <c r="E1679" t="str">
        <f>""</f>
        <v/>
      </c>
      <c r="F1679" t="str">
        <f>""</f>
        <v/>
      </c>
      <c r="H1679" t="str">
        <f t="shared" si="29"/>
        <v>GUARDIAN</v>
      </c>
    </row>
    <row r="1680" spans="5:8" x14ac:dyDescent="0.25">
      <c r="E1680" t="str">
        <f>""</f>
        <v/>
      </c>
      <c r="F1680" t="str">
        <f>""</f>
        <v/>
      </c>
      <c r="H1680" t="str">
        <f t="shared" si="29"/>
        <v>GUARDIAN</v>
      </c>
    </row>
    <row r="1681" spans="5:8" x14ac:dyDescent="0.25">
      <c r="E1681" t="str">
        <f>""</f>
        <v/>
      </c>
      <c r="F1681" t="str">
        <f>""</f>
        <v/>
      </c>
      <c r="H1681" t="str">
        <f t="shared" si="29"/>
        <v>GUARDIAN</v>
      </c>
    </row>
    <row r="1682" spans="5:8" x14ac:dyDescent="0.25">
      <c r="E1682" t="str">
        <f>""</f>
        <v/>
      </c>
      <c r="F1682" t="str">
        <f>""</f>
        <v/>
      </c>
      <c r="H1682" t="str">
        <f t="shared" si="29"/>
        <v>GUARDIAN</v>
      </c>
    </row>
    <row r="1683" spans="5:8" x14ac:dyDescent="0.25">
      <c r="E1683" t="str">
        <f>""</f>
        <v/>
      </c>
      <c r="F1683" t="str">
        <f>""</f>
        <v/>
      </c>
      <c r="H1683" t="str">
        <f t="shared" si="29"/>
        <v>GUARDIAN</v>
      </c>
    </row>
    <row r="1684" spans="5:8" x14ac:dyDescent="0.25">
      <c r="E1684" t="str">
        <f>""</f>
        <v/>
      </c>
      <c r="F1684" t="str">
        <f>""</f>
        <v/>
      </c>
      <c r="H1684" t="str">
        <f t="shared" si="29"/>
        <v>GUARDIAN</v>
      </c>
    </row>
    <row r="1685" spans="5:8" x14ac:dyDescent="0.25">
      <c r="E1685" t="str">
        <f>""</f>
        <v/>
      </c>
      <c r="F1685" t="str">
        <f>""</f>
        <v/>
      </c>
      <c r="H1685" t="str">
        <f t="shared" si="29"/>
        <v>GUARDIAN</v>
      </c>
    </row>
    <row r="1686" spans="5:8" x14ac:dyDescent="0.25">
      <c r="E1686" t="str">
        <f>""</f>
        <v/>
      </c>
      <c r="F1686" t="str">
        <f>""</f>
        <v/>
      </c>
      <c r="H1686" t="str">
        <f t="shared" si="29"/>
        <v>GUARDIAN</v>
      </c>
    </row>
    <row r="1687" spans="5:8" x14ac:dyDescent="0.25">
      <c r="E1687" t="str">
        <f>""</f>
        <v/>
      </c>
      <c r="F1687" t="str">
        <f>""</f>
        <v/>
      </c>
      <c r="H1687" t="str">
        <f t="shared" si="29"/>
        <v>GUARDIAN</v>
      </c>
    </row>
    <row r="1688" spans="5:8" x14ac:dyDescent="0.25">
      <c r="E1688" t="str">
        <f>""</f>
        <v/>
      </c>
      <c r="F1688" t="str">
        <f>""</f>
        <v/>
      </c>
      <c r="H1688" t="str">
        <f t="shared" si="29"/>
        <v>GUARDIAN</v>
      </c>
    </row>
    <row r="1689" spans="5:8" x14ac:dyDescent="0.25">
      <c r="E1689" t="str">
        <f>""</f>
        <v/>
      </c>
      <c r="F1689" t="str">
        <f>""</f>
        <v/>
      </c>
      <c r="H1689" t="str">
        <f t="shared" si="29"/>
        <v>GUARDIAN</v>
      </c>
    </row>
    <row r="1690" spans="5:8" x14ac:dyDescent="0.25">
      <c r="E1690" t="str">
        <f>""</f>
        <v/>
      </c>
      <c r="F1690" t="str">
        <f>""</f>
        <v/>
      </c>
      <c r="H1690" t="str">
        <f t="shared" si="29"/>
        <v>GUARDIAN</v>
      </c>
    </row>
    <row r="1691" spans="5:8" x14ac:dyDescent="0.25">
      <c r="E1691" t="str">
        <f>""</f>
        <v/>
      </c>
      <c r="F1691" t="str">
        <f>""</f>
        <v/>
      </c>
      <c r="H1691" t="str">
        <f t="shared" si="29"/>
        <v>GUARDIAN</v>
      </c>
    </row>
    <row r="1692" spans="5:8" x14ac:dyDescent="0.25">
      <c r="E1692" t="str">
        <f>""</f>
        <v/>
      </c>
      <c r="F1692" t="str">
        <f>""</f>
        <v/>
      </c>
      <c r="H1692" t="str">
        <f t="shared" si="29"/>
        <v>GUARDIAN</v>
      </c>
    </row>
    <row r="1693" spans="5:8" x14ac:dyDescent="0.25">
      <c r="E1693" t="str">
        <f>""</f>
        <v/>
      </c>
      <c r="F1693" t="str">
        <f>""</f>
        <v/>
      </c>
      <c r="H1693" t="str">
        <f t="shared" si="29"/>
        <v>GUARDIAN</v>
      </c>
    </row>
    <row r="1694" spans="5:8" x14ac:dyDescent="0.25">
      <c r="E1694" t="str">
        <f>""</f>
        <v/>
      </c>
      <c r="F1694" t="str">
        <f>""</f>
        <v/>
      </c>
      <c r="H1694" t="str">
        <f t="shared" si="29"/>
        <v>GUARDIAN</v>
      </c>
    </row>
    <row r="1695" spans="5:8" x14ac:dyDescent="0.25">
      <c r="E1695" t="str">
        <f>""</f>
        <v/>
      </c>
      <c r="F1695" t="str">
        <f>""</f>
        <v/>
      </c>
      <c r="H1695" t="str">
        <f t="shared" si="29"/>
        <v>GUARDIAN</v>
      </c>
    </row>
    <row r="1696" spans="5:8" x14ac:dyDescent="0.25">
      <c r="E1696" t="str">
        <f>""</f>
        <v/>
      </c>
      <c r="F1696" t="str">
        <f>""</f>
        <v/>
      </c>
      <c r="H1696" t="str">
        <f t="shared" si="29"/>
        <v>GUARDIAN</v>
      </c>
    </row>
    <row r="1697" spans="5:8" x14ac:dyDescent="0.25">
      <c r="E1697" t="str">
        <f>""</f>
        <v/>
      </c>
      <c r="F1697" t="str">
        <f>""</f>
        <v/>
      </c>
      <c r="H1697" t="str">
        <f t="shared" si="29"/>
        <v>GUARDIAN</v>
      </c>
    </row>
    <row r="1698" spans="5:8" x14ac:dyDescent="0.25">
      <c r="E1698" t="str">
        <f>""</f>
        <v/>
      </c>
      <c r="F1698" t="str">
        <f>""</f>
        <v/>
      </c>
      <c r="H1698" t="str">
        <f t="shared" si="29"/>
        <v>GUARDIAN</v>
      </c>
    </row>
    <row r="1699" spans="5:8" x14ac:dyDescent="0.25">
      <c r="E1699" t="str">
        <f>""</f>
        <v/>
      </c>
      <c r="F1699" t="str">
        <f>""</f>
        <v/>
      </c>
      <c r="H1699" t="str">
        <f t="shared" si="29"/>
        <v>GUARDIAN</v>
      </c>
    </row>
    <row r="1700" spans="5:8" x14ac:dyDescent="0.25">
      <c r="E1700" t="str">
        <f>"GDS201902277541"</f>
        <v>GDS201902277541</v>
      </c>
      <c r="F1700" t="str">
        <f>"GUARDIAN"</f>
        <v>GUARDIAN</v>
      </c>
      <c r="G1700" s="2">
        <v>1892.22</v>
      </c>
      <c r="H1700" t="str">
        <f t="shared" si="29"/>
        <v>GUARDIAN</v>
      </c>
    </row>
    <row r="1701" spans="5:8" x14ac:dyDescent="0.25">
      <c r="E1701" t="str">
        <f>""</f>
        <v/>
      </c>
      <c r="F1701" t="str">
        <f>""</f>
        <v/>
      </c>
      <c r="H1701" t="str">
        <f t="shared" si="29"/>
        <v>GUARDIAN</v>
      </c>
    </row>
    <row r="1702" spans="5:8" x14ac:dyDescent="0.25">
      <c r="E1702" t="str">
        <f>""</f>
        <v/>
      </c>
      <c r="F1702" t="str">
        <f>""</f>
        <v/>
      </c>
      <c r="H1702" t="str">
        <f t="shared" si="29"/>
        <v>GUARDIAN</v>
      </c>
    </row>
    <row r="1703" spans="5:8" x14ac:dyDescent="0.25">
      <c r="E1703" t="str">
        <f>""</f>
        <v/>
      </c>
      <c r="F1703" t="str">
        <f>""</f>
        <v/>
      </c>
      <c r="H1703" t="str">
        <f t="shared" si="29"/>
        <v>GUARDIAN</v>
      </c>
    </row>
    <row r="1704" spans="5:8" x14ac:dyDescent="0.25">
      <c r="E1704" t="str">
        <f>""</f>
        <v/>
      </c>
      <c r="F1704" t="str">
        <f>""</f>
        <v/>
      </c>
      <c r="H1704" t="str">
        <f t="shared" si="29"/>
        <v>GUARDIAN</v>
      </c>
    </row>
    <row r="1705" spans="5:8" x14ac:dyDescent="0.25">
      <c r="E1705" t="str">
        <f>""</f>
        <v/>
      </c>
      <c r="F1705" t="str">
        <f>""</f>
        <v/>
      </c>
      <c r="H1705" t="str">
        <f t="shared" si="29"/>
        <v>GUARDIAN</v>
      </c>
    </row>
    <row r="1706" spans="5:8" x14ac:dyDescent="0.25">
      <c r="E1706" t="str">
        <f>""</f>
        <v/>
      </c>
      <c r="F1706" t="str">
        <f>""</f>
        <v/>
      </c>
      <c r="H1706" t="str">
        <f t="shared" si="29"/>
        <v>GUARDIAN</v>
      </c>
    </row>
    <row r="1707" spans="5:8" x14ac:dyDescent="0.25">
      <c r="E1707" t="str">
        <f>""</f>
        <v/>
      </c>
      <c r="F1707" t="str">
        <f>""</f>
        <v/>
      </c>
      <c r="H1707" t="str">
        <f t="shared" si="29"/>
        <v>GUARDIAN</v>
      </c>
    </row>
    <row r="1708" spans="5:8" x14ac:dyDescent="0.25">
      <c r="E1708" t="str">
        <f>""</f>
        <v/>
      </c>
      <c r="F1708" t="str">
        <f>""</f>
        <v/>
      </c>
      <c r="H1708" t="str">
        <f t="shared" si="29"/>
        <v>GUARDIAN</v>
      </c>
    </row>
    <row r="1709" spans="5:8" x14ac:dyDescent="0.25">
      <c r="E1709" t="str">
        <f>""</f>
        <v/>
      </c>
      <c r="F1709" t="str">
        <f>""</f>
        <v/>
      </c>
      <c r="H1709" t="str">
        <f t="shared" si="29"/>
        <v>GUARDIAN</v>
      </c>
    </row>
    <row r="1710" spans="5:8" x14ac:dyDescent="0.25">
      <c r="E1710" t="str">
        <f>""</f>
        <v/>
      </c>
      <c r="F1710" t="str">
        <f>""</f>
        <v/>
      </c>
      <c r="H1710" t="str">
        <f t="shared" si="29"/>
        <v>GUARDIAN</v>
      </c>
    </row>
    <row r="1711" spans="5:8" x14ac:dyDescent="0.25">
      <c r="E1711" t="str">
        <f>""</f>
        <v/>
      </c>
      <c r="F1711" t="str">
        <f>""</f>
        <v/>
      </c>
      <c r="H1711" t="str">
        <f t="shared" si="29"/>
        <v>GUARDIAN</v>
      </c>
    </row>
    <row r="1712" spans="5:8" x14ac:dyDescent="0.25">
      <c r="E1712" t="str">
        <f>""</f>
        <v/>
      </c>
      <c r="F1712" t="str">
        <f>""</f>
        <v/>
      </c>
      <c r="H1712" t="str">
        <f t="shared" si="29"/>
        <v>GUARDIAN</v>
      </c>
    </row>
    <row r="1713" spans="5:8" x14ac:dyDescent="0.25">
      <c r="E1713" t="str">
        <f>""</f>
        <v/>
      </c>
      <c r="F1713" t="str">
        <f>""</f>
        <v/>
      </c>
      <c r="H1713" t="str">
        <f t="shared" si="29"/>
        <v>GUARDIAN</v>
      </c>
    </row>
    <row r="1714" spans="5:8" x14ac:dyDescent="0.25">
      <c r="E1714" t="str">
        <f>""</f>
        <v/>
      </c>
      <c r="F1714" t="str">
        <f>""</f>
        <v/>
      </c>
      <c r="H1714" t="str">
        <f t="shared" si="29"/>
        <v>GUARDIAN</v>
      </c>
    </row>
    <row r="1715" spans="5:8" x14ac:dyDescent="0.25">
      <c r="E1715" t="str">
        <f>""</f>
        <v/>
      </c>
      <c r="F1715" t="str">
        <f>""</f>
        <v/>
      </c>
      <c r="H1715" t="str">
        <f t="shared" si="29"/>
        <v>GUARDIAN</v>
      </c>
    </row>
    <row r="1716" spans="5:8" x14ac:dyDescent="0.25">
      <c r="E1716" t="str">
        <f>""</f>
        <v/>
      </c>
      <c r="F1716" t="str">
        <f>""</f>
        <v/>
      </c>
      <c r="H1716" t="str">
        <f t="shared" si="29"/>
        <v>GUARDIAN</v>
      </c>
    </row>
    <row r="1717" spans="5:8" x14ac:dyDescent="0.25">
      <c r="E1717" t="str">
        <f>""</f>
        <v/>
      </c>
      <c r="F1717" t="str">
        <f>""</f>
        <v/>
      </c>
      <c r="H1717" t="str">
        <f t="shared" si="29"/>
        <v>GUARDIAN</v>
      </c>
    </row>
    <row r="1718" spans="5:8" x14ac:dyDescent="0.25">
      <c r="E1718" t="str">
        <f>""</f>
        <v/>
      </c>
      <c r="F1718" t="str">
        <f>""</f>
        <v/>
      </c>
      <c r="H1718" t="str">
        <f t="shared" si="29"/>
        <v>GUARDIAN</v>
      </c>
    </row>
    <row r="1719" spans="5:8" x14ac:dyDescent="0.25">
      <c r="E1719" t="str">
        <f>""</f>
        <v/>
      </c>
      <c r="F1719" t="str">
        <f>""</f>
        <v/>
      </c>
      <c r="H1719" t="str">
        <f t="shared" si="29"/>
        <v>GUARDIAN</v>
      </c>
    </row>
    <row r="1720" spans="5:8" x14ac:dyDescent="0.25">
      <c r="E1720" t="str">
        <f>""</f>
        <v/>
      </c>
      <c r="F1720" t="str">
        <f>""</f>
        <v/>
      </c>
      <c r="H1720" t="str">
        <f t="shared" si="29"/>
        <v>GUARDIAN</v>
      </c>
    </row>
    <row r="1721" spans="5:8" x14ac:dyDescent="0.25">
      <c r="E1721" t="str">
        <f>""</f>
        <v/>
      </c>
      <c r="F1721" t="str">
        <f>""</f>
        <v/>
      </c>
      <c r="H1721" t="str">
        <f t="shared" ref="H1721:H1726" si="30">"GUARDIAN"</f>
        <v>GUARDIAN</v>
      </c>
    </row>
    <row r="1722" spans="5:8" x14ac:dyDescent="0.25">
      <c r="E1722" t="str">
        <f>""</f>
        <v/>
      </c>
      <c r="F1722" t="str">
        <f>""</f>
        <v/>
      </c>
      <c r="H1722" t="str">
        <f t="shared" si="30"/>
        <v>GUARDIAN</v>
      </c>
    </row>
    <row r="1723" spans="5:8" x14ac:dyDescent="0.25">
      <c r="E1723" t="str">
        <f>""</f>
        <v/>
      </c>
      <c r="F1723" t="str">
        <f>""</f>
        <v/>
      </c>
      <c r="H1723" t="str">
        <f t="shared" si="30"/>
        <v>GUARDIAN</v>
      </c>
    </row>
    <row r="1724" spans="5:8" x14ac:dyDescent="0.25">
      <c r="E1724" t="str">
        <f>""</f>
        <v/>
      </c>
      <c r="F1724" t="str">
        <f>""</f>
        <v/>
      </c>
      <c r="H1724" t="str">
        <f t="shared" si="30"/>
        <v>GUARDIAN</v>
      </c>
    </row>
    <row r="1725" spans="5:8" x14ac:dyDescent="0.25">
      <c r="E1725" t="str">
        <f>""</f>
        <v/>
      </c>
      <c r="F1725" t="str">
        <f>""</f>
        <v/>
      </c>
      <c r="H1725" t="str">
        <f t="shared" si="30"/>
        <v>GUARDIAN</v>
      </c>
    </row>
    <row r="1726" spans="5:8" x14ac:dyDescent="0.25">
      <c r="E1726" t="str">
        <f>""</f>
        <v/>
      </c>
      <c r="F1726" t="str">
        <f>""</f>
        <v/>
      </c>
      <c r="H1726" t="str">
        <f t="shared" si="30"/>
        <v>GUARDIAN</v>
      </c>
    </row>
    <row r="1727" spans="5:8" x14ac:dyDescent="0.25">
      <c r="E1727" t="str">
        <f>"GV1201902067161"</f>
        <v>GV1201902067161</v>
      </c>
      <c r="F1727" t="str">
        <f>"GUARDIAN VISION"</f>
        <v>GUARDIAN VISION</v>
      </c>
      <c r="G1727" s="2">
        <v>375.2</v>
      </c>
      <c r="H1727" t="str">
        <f>"GUARDIAN VISION"</f>
        <v>GUARDIAN VISION</v>
      </c>
    </row>
    <row r="1728" spans="5:8" x14ac:dyDescent="0.25">
      <c r="E1728" t="str">
        <f>"GV1201902277541"</f>
        <v>GV1201902277541</v>
      </c>
      <c r="F1728" t="str">
        <f>"GUARDIAN VISION"</f>
        <v>GUARDIAN VISION</v>
      </c>
      <c r="G1728" s="2">
        <v>375.2</v>
      </c>
      <c r="H1728" t="str">
        <f>"GUARDIAN VISION"</f>
        <v>GUARDIAN VISION</v>
      </c>
    </row>
    <row r="1729" spans="5:8" x14ac:dyDescent="0.25">
      <c r="E1729" t="str">
        <f>"GVE201902067161"</f>
        <v>GVE201902067161</v>
      </c>
      <c r="F1729" t="str">
        <f>"GUARDIAN VISION VENDOR"</f>
        <v>GUARDIAN VISION VENDOR</v>
      </c>
      <c r="G1729" s="2">
        <v>601.47</v>
      </c>
      <c r="H1729" t="str">
        <f>"GUARDIAN VISION VENDOR"</f>
        <v>GUARDIAN VISION VENDOR</v>
      </c>
    </row>
    <row r="1730" spans="5:8" x14ac:dyDescent="0.25">
      <c r="E1730" t="str">
        <f>"GVE201902067196"</f>
        <v>GVE201902067196</v>
      </c>
      <c r="F1730" t="str">
        <f>"GUARDIAN VISION VENDOR"</f>
        <v>GUARDIAN VISION VENDOR</v>
      </c>
      <c r="G1730" s="2">
        <v>25.83</v>
      </c>
      <c r="H1730" t="str">
        <f>"GUARDIAN VISION VENDOR"</f>
        <v>GUARDIAN VISION VENDOR</v>
      </c>
    </row>
    <row r="1731" spans="5:8" x14ac:dyDescent="0.25">
      <c r="E1731" t="str">
        <f>"GVE201902277538"</f>
        <v>GVE201902277538</v>
      </c>
      <c r="F1731" t="str">
        <f>"GUARDIAN VISION VENDOR"</f>
        <v>GUARDIAN VISION VENDOR</v>
      </c>
      <c r="G1731" s="2">
        <v>25.83</v>
      </c>
      <c r="H1731" t="str">
        <f>"GUARDIAN VISION VENDOR"</f>
        <v>GUARDIAN VISION VENDOR</v>
      </c>
    </row>
    <row r="1732" spans="5:8" x14ac:dyDescent="0.25">
      <c r="E1732" t="str">
        <f>"GVE201902277541"</f>
        <v>GVE201902277541</v>
      </c>
      <c r="F1732" t="str">
        <f>"GUARDIAN VISION VENDOR"</f>
        <v>GUARDIAN VISION VENDOR</v>
      </c>
      <c r="G1732" s="2">
        <v>590.4</v>
      </c>
      <c r="H1732" t="str">
        <f>"GUARDIAN VISION VENDOR"</f>
        <v>GUARDIAN VISION VENDOR</v>
      </c>
    </row>
    <row r="1733" spans="5:8" x14ac:dyDescent="0.25">
      <c r="E1733" t="str">
        <f>"GVF201902067161"</f>
        <v>GVF201902067161</v>
      </c>
      <c r="F1733" t="str">
        <f>"GUARDIAN VISION"</f>
        <v>GUARDIAN VISION</v>
      </c>
      <c r="G1733" s="2">
        <v>561.45000000000005</v>
      </c>
      <c r="H1733" t="str">
        <f>"GUARDIAN VISION"</f>
        <v>GUARDIAN VISION</v>
      </c>
    </row>
    <row r="1734" spans="5:8" x14ac:dyDescent="0.25">
      <c r="E1734" t="str">
        <f>"GVF201902067196"</f>
        <v>GVF201902067196</v>
      </c>
      <c r="F1734" t="str">
        <f>"GUARDIAN VISION VENDOR"</f>
        <v>GUARDIAN VISION VENDOR</v>
      </c>
      <c r="G1734" s="2">
        <v>29.55</v>
      </c>
      <c r="H1734" t="str">
        <f>"GUARDIAN VISION VENDOR"</f>
        <v>GUARDIAN VISION VENDOR</v>
      </c>
    </row>
    <row r="1735" spans="5:8" x14ac:dyDescent="0.25">
      <c r="E1735" t="str">
        <f>"GVF201902277538"</f>
        <v>GVF201902277538</v>
      </c>
      <c r="F1735" t="str">
        <f>"GUARDIAN VISION VENDOR"</f>
        <v>GUARDIAN VISION VENDOR</v>
      </c>
      <c r="G1735" s="2">
        <v>29.55</v>
      </c>
      <c r="H1735" t="str">
        <f>"GUARDIAN VISION VENDOR"</f>
        <v>GUARDIAN VISION VENDOR</v>
      </c>
    </row>
    <row r="1736" spans="5:8" x14ac:dyDescent="0.25">
      <c r="E1736" t="str">
        <f>"GVF201902277541"</f>
        <v>GVF201902277541</v>
      </c>
      <c r="F1736" t="str">
        <f>"GUARDIAN VISION"</f>
        <v>GUARDIAN VISION</v>
      </c>
      <c r="G1736" s="2">
        <v>561.45000000000005</v>
      </c>
      <c r="H1736" t="str">
        <f>"GUARDIAN VISION"</f>
        <v>GUARDIAN VISION</v>
      </c>
    </row>
    <row r="1737" spans="5:8" x14ac:dyDescent="0.25">
      <c r="E1737" t="str">
        <f>"LIA201902067161"</f>
        <v>LIA201902067161</v>
      </c>
      <c r="F1737" t="str">
        <f>"GUARDIAN"</f>
        <v>GUARDIAN</v>
      </c>
      <c r="G1737" s="2">
        <v>217.74</v>
      </c>
      <c r="H1737" t="str">
        <f t="shared" ref="H1737:H1768" si="31">"GUARDIAN"</f>
        <v>GUARDIAN</v>
      </c>
    </row>
    <row r="1738" spans="5:8" x14ac:dyDescent="0.25">
      <c r="E1738" t="str">
        <f>""</f>
        <v/>
      </c>
      <c r="F1738" t="str">
        <f>""</f>
        <v/>
      </c>
      <c r="H1738" t="str">
        <f t="shared" si="31"/>
        <v>GUARDIAN</v>
      </c>
    </row>
    <row r="1739" spans="5:8" x14ac:dyDescent="0.25">
      <c r="E1739" t="str">
        <f>""</f>
        <v/>
      </c>
      <c r="F1739" t="str">
        <f>""</f>
        <v/>
      </c>
      <c r="H1739" t="str">
        <f t="shared" si="31"/>
        <v>GUARDIAN</v>
      </c>
    </row>
    <row r="1740" spans="5:8" x14ac:dyDescent="0.25">
      <c r="E1740" t="str">
        <f>""</f>
        <v/>
      </c>
      <c r="F1740" t="str">
        <f>""</f>
        <v/>
      </c>
      <c r="H1740" t="str">
        <f t="shared" si="31"/>
        <v>GUARDIAN</v>
      </c>
    </row>
    <row r="1741" spans="5:8" x14ac:dyDescent="0.25">
      <c r="E1741" t="str">
        <f>""</f>
        <v/>
      </c>
      <c r="F1741" t="str">
        <f>""</f>
        <v/>
      </c>
      <c r="H1741" t="str">
        <f t="shared" si="31"/>
        <v>GUARDIAN</v>
      </c>
    </row>
    <row r="1742" spans="5:8" x14ac:dyDescent="0.25">
      <c r="E1742" t="str">
        <f>""</f>
        <v/>
      </c>
      <c r="F1742" t="str">
        <f>""</f>
        <v/>
      </c>
      <c r="H1742" t="str">
        <f t="shared" si="31"/>
        <v>GUARDIAN</v>
      </c>
    </row>
    <row r="1743" spans="5:8" x14ac:dyDescent="0.25">
      <c r="E1743" t="str">
        <f>""</f>
        <v/>
      </c>
      <c r="F1743" t="str">
        <f>""</f>
        <v/>
      </c>
      <c r="H1743" t="str">
        <f t="shared" si="31"/>
        <v>GUARDIAN</v>
      </c>
    </row>
    <row r="1744" spans="5:8" x14ac:dyDescent="0.25">
      <c r="E1744" t="str">
        <f>""</f>
        <v/>
      </c>
      <c r="F1744" t="str">
        <f>""</f>
        <v/>
      </c>
      <c r="H1744" t="str">
        <f t="shared" si="31"/>
        <v>GUARDIAN</v>
      </c>
    </row>
    <row r="1745" spans="5:8" x14ac:dyDescent="0.25">
      <c r="E1745" t="str">
        <f>""</f>
        <v/>
      </c>
      <c r="F1745" t="str">
        <f>""</f>
        <v/>
      </c>
      <c r="H1745" t="str">
        <f t="shared" si="31"/>
        <v>GUARDIAN</v>
      </c>
    </row>
    <row r="1746" spans="5:8" x14ac:dyDescent="0.25">
      <c r="E1746" t="str">
        <f>""</f>
        <v/>
      </c>
      <c r="F1746" t="str">
        <f>""</f>
        <v/>
      </c>
      <c r="H1746" t="str">
        <f t="shared" si="31"/>
        <v>GUARDIAN</v>
      </c>
    </row>
    <row r="1747" spans="5:8" x14ac:dyDescent="0.25">
      <c r="E1747" t="str">
        <f>""</f>
        <v/>
      </c>
      <c r="F1747" t="str">
        <f>""</f>
        <v/>
      </c>
      <c r="H1747" t="str">
        <f t="shared" si="31"/>
        <v>GUARDIAN</v>
      </c>
    </row>
    <row r="1748" spans="5:8" x14ac:dyDescent="0.25">
      <c r="E1748" t="str">
        <f>""</f>
        <v/>
      </c>
      <c r="F1748" t="str">
        <f>""</f>
        <v/>
      </c>
      <c r="H1748" t="str">
        <f t="shared" si="31"/>
        <v>GUARDIAN</v>
      </c>
    </row>
    <row r="1749" spans="5:8" x14ac:dyDescent="0.25">
      <c r="E1749" t="str">
        <f>""</f>
        <v/>
      </c>
      <c r="F1749" t="str">
        <f>""</f>
        <v/>
      </c>
      <c r="H1749" t="str">
        <f t="shared" si="31"/>
        <v>GUARDIAN</v>
      </c>
    </row>
    <row r="1750" spans="5:8" x14ac:dyDescent="0.25">
      <c r="E1750" t="str">
        <f>""</f>
        <v/>
      </c>
      <c r="F1750" t="str">
        <f>""</f>
        <v/>
      </c>
      <c r="H1750" t="str">
        <f t="shared" si="31"/>
        <v>GUARDIAN</v>
      </c>
    </row>
    <row r="1751" spans="5:8" x14ac:dyDescent="0.25">
      <c r="E1751" t="str">
        <f>""</f>
        <v/>
      </c>
      <c r="F1751" t="str">
        <f>""</f>
        <v/>
      </c>
      <c r="H1751" t="str">
        <f t="shared" si="31"/>
        <v>GUARDIAN</v>
      </c>
    </row>
    <row r="1752" spans="5:8" x14ac:dyDescent="0.25">
      <c r="E1752" t="str">
        <f>""</f>
        <v/>
      </c>
      <c r="F1752" t="str">
        <f>""</f>
        <v/>
      </c>
      <c r="H1752" t="str">
        <f t="shared" si="31"/>
        <v>GUARDIAN</v>
      </c>
    </row>
    <row r="1753" spans="5:8" x14ac:dyDescent="0.25">
      <c r="E1753" t="str">
        <f>""</f>
        <v/>
      </c>
      <c r="F1753" t="str">
        <f>""</f>
        <v/>
      </c>
      <c r="H1753" t="str">
        <f t="shared" si="31"/>
        <v>GUARDIAN</v>
      </c>
    </row>
    <row r="1754" spans="5:8" x14ac:dyDescent="0.25">
      <c r="E1754" t="str">
        <f>""</f>
        <v/>
      </c>
      <c r="F1754" t="str">
        <f>""</f>
        <v/>
      </c>
      <c r="H1754" t="str">
        <f t="shared" si="31"/>
        <v>GUARDIAN</v>
      </c>
    </row>
    <row r="1755" spans="5:8" x14ac:dyDescent="0.25">
      <c r="E1755" t="str">
        <f>""</f>
        <v/>
      </c>
      <c r="F1755" t="str">
        <f>""</f>
        <v/>
      </c>
      <c r="H1755" t="str">
        <f t="shared" si="31"/>
        <v>GUARDIAN</v>
      </c>
    </row>
    <row r="1756" spans="5:8" x14ac:dyDescent="0.25">
      <c r="E1756" t="str">
        <f>""</f>
        <v/>
      </c>
      <c r="F1756" t="str">
        <f>""</f>
        <v/>
      </c>
      <c r="H1756" t="str">
        <f t="shared" si="31"/>
        <v>GUARDIAN</v>
      </c>
    </row>
    <row r="1757" spans="5:8" x14ac:dyDescent="0.25">
      <c r="E1757" t="str">
        <f>""</f>
        <v/>
      </c>
      <c r="F1757" t="str">
        <f>""</f>
        <v/>
      </c>
      <c r="H1757" t="str">
        <f t="shared" si="31"/>
        <v>GUARDIAN</v>
      </c>
    </row>
    <row r="1758" spans="5:8" x14ac:dyDescent="0.25">
      <c r="E1758" t="str">
        <f>""</f>
        <v/>
      </c>
      <c r="F1758" t="str">
        <f>""</f>
        <v/>
      </c>
      <c r="H1758" t="str">
        <f t="shared" si="31"/>
        <v>GUARDIAN</v>
      </c>
    </row>
    <row r="1759" spans="5:8" x14ac:dyDescent="0.25">
      <c r="E1759" t="str">
        <f>""</f>
        <v/>
      </c>
      <c r="F1759" t="str">
        <f>""</f>
        <v/>
      </c>
      <c r="H1759" t="str">
        <f t="shared" si="31"/>
        <v>GUARDIAN</v>
      </c>
    </row>
    <row r="1760" spans="5:8" x14ac:dyDescent="0.25">
      <c r="E1760" t="str">
        <f>"LIA201902067196"</f>
        <v>LIA201902067196</v>
      </c>
      <c r="F1760" t="str">
        <f>"GUARDIAN"</f>
        <v>GUARDIAN</v>
      </c>
      <c r="G1760" s="2">
        <v>40.799999999999997</v>
      </c>
      <c r="H1760" t="str">
        <f t="shared" si="31"/>
        <v>GUARDIAN</v>
      </c>
    </row>
    <row r="1761" spans="5:8" x14ac:dyDescent="0.25">
      <c r="E1761" t="str">
        <f>""</f>
        <v/>
      </c>
      <c r="F1761" t="str">
        <f>""</f>
        <v/>
      </c>
      <c r="H1761" t="str">
        <f t="shared" si="31"/>
        <v>GUARDIAN</v>
      </c>
    </row>
    <row r="1762" spans="5:8" x14ac:dyDescent="0.25">
      <c r="E1762" t="str">
        <f>"LIA201902277538"</f>
        <v>LIA201902277538</v>
      </c>
      <c r="F1762" t="str">
        <f>"GUARDIAN"</f>
        <v>GUARDIAN</v>
      </c>
      <c r="G1762" s="2">
        <v>40.799999999999997</v>
      </c>
      <c r="H1762" t="str">
        <f t="shared" si="31"/>
        <v>GUARDIAN</v>
      </c>
    </row>
    <row r="1763" spans="5:8" x14ac:dyDescent="0.25">
      <c r="E1763" t="str">
        <f>""</f>
        <v/>
      </c>
      <c r="F1763" t="str">
        <f>""</f>
        <v/>
      </c>
      <c r="H1763" t="str">
        <f t="shared" si="31"/>
        <v>GUARDIAN</v>
      </c>
    </row>
    <row r="1764" spans="5:8" x14ac:dyDescent="0.25">
      <c r="E1764" t="str">
        <f>"LIA201902277541"</f>
        <v>LIA201902277541</v>
      </c>
      <c r="F1764" t="str">
        <f>"GUARDIAN"</f>
        <v>GUARDIAN</v>
      </c>
      <c r="G1764" s="2">
        <v>218.95</v>
      </c>
      <c r="H1764" t="str">
        <f t="shared" si="31"/>
        <v>GUARDIAN</v>
      </c>
    </row>
    <row r="1765" spans="5:8" x14ac:dyDescent="0.25">
      <c r="E1765" t="str">
        <f>""</f>
        <v/>
      </c>
      <c r="F1765" t="str">
        <f>""</f>
        <v/>
      </c>
      <c r="H1765" t="str">
        <f t="shared" si="31"/>
        <v>GUARDIAN</v>
      </c>
    </row>
    <row r="1766" spans="5:8" x14ac:dyDescent="0.25">
      <c r="E1766" t="str">
        <f>""</f>
        <v/>
      </c>
      <c r="F1766" t="str">
        <f>""</f>
        <v/>
      </c>
      <c r="H1766" t="str">
        <f t="shared" si="31"/>
        <v>GUARDIAN</v>
      </c>
    </row>
    <row r="1767" spans="5:8" x14ac:dyDescent="0.25">
      <c r="E1767" t="str">
        <f>""</f>
        <v/>
      </c>
      <c r="F1767" t="str">
        <f>""</f>
        <v/>
      </c>
      <c r="H1767" t="str">
        <f t="shared" si="31"/>
        <v>GUARDIAN</v>
      </c>
    </row>
    <row r="1768" spans="5:8" x14ac:dyDescent="0.25">
      <c r="E1768" t="str">
        <f>""</f>
        <v/>
      </c>
      <c r="F1768" t="str">
        <f>""</f>
        <v/>
      </c>
      <c r="H1768" t="str">
        <f t="shared" si="31"/>
        <v>GUARDIAN</v>
      </c>
    </row>
    <row r="1769" spans="5:8" x14ac:dyDescent="0.25">
      <c r="E1769" t="str">
        <f>""</f>
        <v/>
      </c>
      <c r="F1769" t="str">
        <f>""</f>
        <v/>
      </c>
      <c r="H1769" t="str">
        <f t="shared" ref="H1769:H1800" si="32">"GUARDIAN"</f>
        <v>GUARDIAN</v>
      </c>
    </row>
    <row r="1770" spans="5:8" x14ac:dyDescent="0.25">
      <c r="E1770" t="str">
        <f>""</f>
        <v/>
      </c>
      <c r="F1770" t="str">
        <f>""</f>
        <v/>
      </c>
      <c r="H1770" t="str">
        <f t="shared" si="32"/>
        <v>GUARDIAN</v>
      </c>
    </row>
    <row r="1771" spans="5:8" x14ac:dyDescent="0.25">
      <c r="E1771" t="str">
        <f>""</f>
        <v/>
      </c>
      <c r="F1771" t="str">
        <f>""</f>
        <v/>
      </c>
      <c r="H1771" t="str">
        <f t="shared" si="32"/>
        <v>GUARDIAN</v>
      </c>
    </row>
    <row r="1772" spans="5:8" x14ac:dyDescent="0.25">
      <c r="E1772" t="str">
        <f>""</f>
        <v/>
      </c>
      <c r="F1772" t="str">
        <f>""</f>
        <v/>
      </c>
      <c r="H1772" t="str">
        <f t="shared" si="32"/>
        <v>GUARDIAN</v>
      </c>
    </row>
    <row r="1773" spans="5:8" x14ac:dyDescent="0.25">
      <c r="E1773" t="str">
        <f>""</f>
        <v/>
      </c>
      <c r="F1773" t="str">
        <f>""</f>
        <v/>
      </c>
      <c r="H1773" t="str">
        <f t="shared" si="32"/>
        <v>GUARDIAN</v>
      </c>
    </row>
    <row r="1774" spans="5:8" x14ac:dyDescent="0.25">
      <c r="E1774" t="str">
        <f>""</f>
        <v/>
      </c>
      <c r="F1774" t="str">
        <f>""</f>
        <v/>
      </c>
      <c r="H1774" t="str">
        <f t="shared" si="32"/>
        <v>GUARDIAN</v>
      </c>
    </row>
    <row r="1775" spans="5:8" x14ac:dyDescent="0.25">
      <c r="E1775" t="str">
        <f>""</f>
        <v/>
      </c>
      <c r="F1775" t="str">
        <f>""</f>
        <v/>
      </c>
      <c r="H1775" t="str">
        <f t="shared" si="32"/>
        <v>GUARDIAN</v>
      </c>
    </row>
    <row r="1776" spans="5:8" x14ac:dyDescent="0.25">
      <c r="E1776" t="str">
        <f>""</f>
        <v/>
      </c>
      <c r="F1776" t="str">
        <f>""</f>
        <v/>
      </c>
      <c r="H1776" t="str">
        <f t="shared" si="32"/>
        <v>GUARDIAN</v>
      </c>
    </row>
    <row r="1777" spans="5:8" x14ac:dyDescent="0.25">
      <c r="E1777" t="str">
        <f>""</f>
        <v/>
      </c>
      <c r="F1777" t="str">
        <f>""</f>
        <v/>
      </c>
      <c r="H1777" t="str">
        <f t="shared" si="32"/>
        <v>GUARDIAN</v>
      </c>
    </row>
    <row r="1778" spans="5:8" x14ac:dyDescent="0.25">
      <c r="E1778" t="str">
        <f>""</f>
        <v/>
      </c>
      <c r="F1778" t="str">
        <f>""</f>
        <v/>
      </c>
      <c r="H1778" t="str">
        <f t="shared" si="32"/>
        <v>GUARDIAN</v>
      </c>
    </row>
    <row r="1779" spans="5:8" x14ac:dyDescent="0.25">
      <c r="E1779" t="str">
        <f>""</f>
        <v/>
      </c>
      <c r="F1779" t="str">
        <f>""</f>
        <v/>
      </c>
      <c r="H1779" t="str">
        <f t="shared" si="32"/>
        <v>GUARDIAN</v>
      </c>
    </row>
    <row r="1780" spans="5:8" x14ac:dyDescent="0.25">
      <c r="E1780" t="str">
        <f>""</f>
        <v/>
      </c>
      <c r="F1780" t="str">
        <f>""</f>
        <v/>
      </c>
      <c r="H1780" t="str">
        <f t="shared" si="32"/>
        <v>GUARDIAN</v>
      </c>
    </row>
    <row r="1781" spans="5:8" x14ac:dyDescent="0.25">
      <c r="E1781" t="str">
        <f>""</f>
        <v/>
      </c>
      <c r="F1781" t="str">
        <f>""</f>
        <v/>
      </c>
      <c r="H1781" t="str">
        <f t="shared" si="32"/>
        <v>GUARDIAN</v>
      </c>
    </row>
    <row r="1782" spans="5:8" x14ac:dyDescent="0.25">
      <c r="E1782" t="str">
        <f>""</f>
        <v/>
      </c>
      <c r="F1782" t="str">
        <f>""</f>
        <v/>
      </c>
      <c r="H1782" t="str">
        <f t="shared" si="32"/>
        <v>GUARDIAN</v>
      </c>
    </row>
    <row r="1783" spans="5:8" x14ac:dyDescent="0.25">
      <c r="E1783" t="str">
        <f>""</f>
        <v/>
      </c>
      <c r="F1783" t="str">
        <f>""</f>
        <v/>
      </c>
      <c r="H1783" t="str">
        <f t="shared" si="32"/>
        <v>GUARDIAN</v>
      </c>
    </row>
    <row r="1784" spans="5:8" x14ac:dyDescent="0.25">
      <c r="E1784" t="str">
        <f>""</f>
        <v/>
      </c>
      <c r="F1784" t="str">
        <f>""</f>
        <v/>
      </c>
      <c r="H1784" t="str">
        <f t="shared" si="32"/>
        <v>GUARDIAN</v>
      </c>
    </row>
    <row r="1785" spans="5:8" x14ac:dyDescent="0.25">
      <c r="E1785" t="str">
        <f>""</f>
        <v/>
      </c>
      <c r="F1785" t="str">
        <f>""</f>
        <v/>
      </c>
      <c r="H1785" t="str">
        <f t="shared" si="32"/>
        <v>GUARDIAN</v>
      </c>
    </row>
    <row r="1786" spans="5:8" x14ac:dyDescent="0.25">
      <c r="E1786" t="str">
        <f>""</f>
        <v/>
      </c>
      <c r="F1786" t="str">
        <f>""</f>
        <v/>
      </c>
      <c r="H1786" t="str">
        <f t="shared" si="32"/>
        <v>GUARDIAN</v>
      </c>
    </row>
    <row r="1787" spans="5:8" x14ac:dyDescent="0.25">
      <c r="E1787" t="str">
        <f>"LIC201902067161"</f>
        <v>LIC201902067161</v>
      </c>
      <c r="F1787" t="str">
        <f>"GUARDIAN"</f>
        <v>GUARDIAN</v>
      </c>
      <c r="G1787" s="2">
        <v>34.53</v>
      </c>
      <c r="H1787" t="str">
        <f t="shared" si="32"/>
        <v>GUARDIAN</v>
      </c>
    </row>
    <row r="1788" spans="5:8" x14ac:dyDescent="0.25">
      <c r="E1788" t="str">
        <f>"LIC201902067196"</f>
        <v>LIC201902067196</v>
      </c>
      <c r="F1788" t="str">
        <f>"GUARDIAN"</f>
        <v>GUARDIAN</v>
      </c>
      <c r="G1788" s="2">
        <v>1.05</v>
      </c>
      <c r="H1788" t="str">
        <f t="shared" si="32"/>
        <v>GUARDIAN</v>
      </c>
    </row>
    <row r="1789" spans="5:8" x14ac:dyDescent="0.25">
      <c r="E1789" t="str">
        <f>"LIC201902277538"</f>
        <v>LIC201902277538</v>
      </c>
      <c r="F1789" t="str">
        <f>"GUARDIAN"</f>
        <v>GUARDIAN</v>
      </c>
      <c r="G1789" s="2">
        <v>1.05</v>
      </c>
      <c r="H1789" t="str">
        <f t="shared" si="32"/>
        <v>GUARDIAN</v>
      </c>
    </row>
    <row r="1790" spans="5:8" x14ac:dyDescent="0.25">
      <c r="E1790" t="str">
        <f>"LIC201902277541"</f>
        <v>LIC201902277541</v>
      </c>
      <c r="F1790" t="str">
        <f>"GUARDIAN"</f>
        <v>GUARDIAN</v>
      </c>
      <c r="G1790" s="2">
        <v>32.43</v>
      </c>
      <c r="H1790" t="str">
        <f t="shared" si="32"/>
        <v>GUARDIAN</v>
      </c>
    </row>
    <row r="1791" spans="5:8" x14ac:dyDescent="0.25">
      <c r="E1791" t="str">
        <f>"LIE201902067161"</f>
        <v>LIE201902067161</v>
      </c>
      <c r="F1791" t="str">
        <f>"GUARDIAN"</f>
        <v>GUARDIAN</v>
      </c>
      <c r="G1791" s="2">
        <v>3525.05</v>
      </c>
      <c r="H1791" t="str">
        <f t="shared" si="32"/>
        <v>GUARDIAN</v>
      </c>
    </row>
    <row r="1792" spans="5:8" x14ac:dyDescent="0.25">
      <c r="E1792" t="str">
        <f>""</f>
        <v/>
      </c>
      <c r="F1792" t="str">
        <f>""</f>
        <v/>
      </c>
      <c r="H1792" t="str">
        <f t="shared" si="32"/>
        <v>GUARDIAN</v>
      </c>
    </row>
    <row r="1793" spans="5:8" x14ac:dyDescent="0.25">
      <c r="E1793" t="str">
        <f>""</f>
        <v/>
      </c>
      <c r="F1793" t="str">
        <f>""</f>
        <v/>
      </c>
      <c r="H1793" t="str">
        <f t="shared" si="32"/>
        <v>GUARDIAN</v>
      </c>
    </row>
    <row r="1794" spans="5:8" x14ac:dyDescent="0.25">
      <c r="E1794" t="str">
        <f>""</f>
        <v/>
      </c>
      <c r="F1794" t="str">
        <f>""</f>
        <v/>
      </c>
      <c r="H1794" t="str">
        <f t="shared" si="32"/>
        <v>GUARDIAN</v>
      </c>
    </row>
    <row r="1795" spans="5:8" x14ac:dyDescent="0.25">
      <c r="E1795" t="str">
        <f>""</f>
        <v/>
      </c>
      <c r="F1795" t="str">
        <f>""</f>
        <v/>
      </c>
      <c r="H1795" t="str">
        <f t="shared" si="32"/>
        <v>GUARDIAN</v>
      </c>
    </row>
    <row r="1796" spans="5:8" x14ac:dyDescent="0.25">
      <c r="E1796" t="str">
        <f>""</f>
        <v/>
      </c>
      <c r="F1796" t="str">
        <f>""</f>
        <v/>
      </c>
      <c r="H1796" t="str">
        <f t="shared" si="32"/>
        <v>GUARDIAN</v>
      </c>
    </row>
    <row r="1797" spans="5:8" x14ac:dyDescent="0.25">
      <c r="E1797" t="str">
        <f>""</f>
        <v/>
      </c>
      <c r="F1797" t="str">
        <f>""</f>
        <v/>
      </c>
      <c r="H1797" t="str">
        <f t="shared" si="32"/>
        <v>GUARDIAN</v>
      </c>
    </row>
    <row r="1798" spans="5:8" x14ac:dyDescent="0.25">
      <c r="E1798" t="str">
        <f>""</f>
        <v/>
      </c>
      <c r="F1798" t="str">
        <f>""</f>
        <v/>
      </c>
      <c r="H1798" t="str">
        <f t="shared" si="32"/>
        <v>GUARDIAN</v>
      </c>
    </row>
    <row r="1799" spans="5:8" x14ac:dyDescent="0.25">
      <c r="E1799" t="str">
        <f>""</f>
        <v/>
      </c>
      <c r="F1799" t="str">
        <f>""</f>
        <v/>
      </c>
      <c r="H1799" t="str">
        <f t="shared" si="32"/>
        <v>GUARDIAN</v>
      </c>
    </row>
    <row r="1800" spans="5:8" x14ac:dyDescent="0.25">
      <c r="E1800" t="str">
        <f>""</f>
        <v/>
      </c>
      <c r="F1800" t="str">
        <f>""</f>
        <v/>
      </c>
      <c r="H1800" t="str">
        <f t="shared" si="32"/>
        <v>GUARDIAN</v>
      </c>
    </row>
    <row r="1801" spans="5:8" x14ac:dyDescent="0.25">
      <c r="E1801" t="str">
        <f>""</f>
        <v/>
      </c>
      <c r="F1801" t="str">
        <f>""</f>
        <v/>
      </c>
      <c r="H1801" t="str">
        <f t="shared" ref="H1801:H1832" si="33">"GUARDIAN"</f>
        <v>GUARDIAN</v>
      </c>
    </row>
    <row r="1802" spans="5:8" x14ac:dyDescent="0.25">
      <c r="E1802" t="str">
        <f>""</f>
        <v/>
      </c>
      <c r="F1802" t="str">
        <f>""</f>
        <v/>
      </c>
      <c r="H1802" t="str">
        <f t="shared" si="33"/>
        <v>GUARDIAN</v>
      </c>
    </row>
    <row r="1803" spans="5:8" x14ac:dyDescent="0.25">
      <c r="E1803" t="str">
        <f>""</f>
        <v/>
      </c>
      <c r="F1803" t="str">
        <f>""</f>
        <v/>
      </c>
      <c r="H1803" t="str">
        <f t="shared" si="33"/>
        <v>GUARDIAN</v>
      </c>
    </row>
    <row r="1804" spans="5:8" x14ac:dyDescent="0.25">
      <c r="E1804" t="str">
        <f>""</f>
        <v/>
      </c>
      <c r="F1804" t="str">
        <f>""</f>
        <v/>
      </c>
      <c r="H1804" t="str">
        <f t="shared" si="33"/>
        <v>GUARDIAN</v>
      </c>
    </row>
    <row r="1805" spans="5:8" x14ac:dyDescent="0.25">
      <c r="E1805" t="str">
        <f>""</f>
        <v/>
      </c>
      <c r="F1805" t="str">
        <f>""</f>
        <v/>
      </c>
      <c r="H1805" t="str">
        <f t="shared" si="33"/>
        <v>GUARDIAN</v>
      </c>
    </row>
    <row r="1806" spans="5:8" x14ac:dyDescent="0.25">
      <c r="E1806" t="str">
        <f>""</f>
        <v/>
      </c>
      <c r="F1806" t="str">
        <f>""</f>
        <v/>
      </c>
      <c r="H1806" t="str">
        <f t="shared" si="33"/>
        <v>GUARDIAN</v>
      </c>
    </row>
    <row r="1807" spans="5:8" x14ac:dyDescent="0.25">
      <c r="E1807" t="str">
        <f>""</f>
        <v/>
      </c>
      <c r="F1807" t="str">
        <f>""</f>
        <v/>
      </c>
      <c r="H1807" t="str">
        <f t="shared" si="33"/>
        <v>GUARDIAN</v>
      </c>
    </row>
    <row r="1808" spans="5:8" x14ac:dyDescent="0.25">
      <c r="E1808" t="str">
        <f>""</f>
        <v/>
      </c>
      <c r="F1808" t="str">
        <f>""</f>
        <v/>
      </c>
      <c r="H1808" t="str">
        <f t="shared" si="33"/>
        <v>GUARDIAN</v>
      </c>
    </row>
    <row r="1809" spans="5:8" x14ac:dyDescent="0.25">
      <c r="E1809" t="str">
        <f>""</f>
        <v/>
      </c>
      <c r="F1809" t="str">
        <f>""</f>
        <v/>
      </c>
      <c r="H1809" t="str">
        <f t="shared" si="33"/>
        <v>GUARDIAN</v>
      </c>
    </row>
    <row r="1810" spans="5:8" x14ac:dyDescent="0.25">
      <c r="E1810" t="str">
        <f>""</f>
        <v/>
      </c>
      <c r="F1810" t="str">
        <f>""</f>
        <v/>
      </c>
      <c r="H1810" t="str">
        <f t="shared" si="33"/>
        <v>GUARDIAN</v>
      </c>
    </row>
    <row r="1811" spans="5:8" x14ac:dyDescent="0.25">
      <c r="E1811" t="str">
        <f>""</f>
        <v/>
      </c>
      <c r="F1811" t="str">
        <f>""</f>
        <v/>
      </c>
      <c r="H1811" t="str">
        <f t="shared" si="33"/>
        <v>GUARDIAN</v>
      </c>
    </row>
    <row r="1812" spans="5:8" x14ac:dyDescent="0.25">
      <c r="E1812" t="str">
        <f>""</f>
        <v/>
      </c>
      <c r="F1812" t="str">
        <f>""</f>
        <v/>
      </c>
      <c r="H1812" t="str">
        <f t="shared" si="33"/>
        <v>GUARDIAN</v>
      </c>
    </row>
    <row r="1813" spans="5:8" x14ac:dyDescent="0.25">
      <c r="E1813" t="str">
        <f>""</f>
        <v/>
      </c>
      <c r="F1813" t="str">
        <f>""</f>
        <v/>
      </c>
      <c r="H1813" t="str">
        <f t="shared" si="33"/>
        <v>GUARDIAN</v>
      </c>
    </row>
    <row r="1814" spans="5:8" x14ac:dyDescent="0.25">
      <c r="E1814" t="str">
        <f>""</f>
        <v/>
      </c>
      <c r="F1814" t="str">
        <f>""</f>
        <v/>
      </c>
      <c r="H1814" t="str">
        <f t="shared" si="33"/>
        <v>GUARDIAN</v>
      </c>
    </row>
    <row r="1815" spans="5:8" x14ac:dyDescent="0.25">
      <c r="E1815" t="str">
        <f>""</f>
        <v/>
      </c>
      <c r="F1815" t="str">
        <f>""</f>
        <v/>
      </c>
      <c r="H1815" t="str">
        <f t="shared" si="33"/>
        <v>GUARDIAN</v>
      </c>
    </row>
    <row r="1816" spans="5:8" x14ac:dyDescent="0.25">
      <c r="E1816" t="str">
        <f>""</f>
        <v/>
      </c>
      <c r="F1816" t="str">
        <f>""</f>
        <v/>
      </c>
      <c r="H1816" t="str">
        <f t="shared" si="33"/>
        <v>GUARDIAN</v>
      </c>
    </row>
    <row r="1817" spans="5:8" x14ac:dyDescent="0.25">
      <c r="E1817" t="str">
        <f>""</f>
        <v/>
      </c>
      <c r="F1817" t="str">
        <f>""</f>
        <v/>
      </c>
      <c r="H1817" t="str">
        <f t="shared" si="33"/>
        <v>GUARDIAN</v>
      </c>
    </row>
    <row r="1818" spans="5:8" x14ac:dyDescent="0.25">
      <c r="E1818" t="str">
        <f>""</f>
        <v/>
      </c>
      <c r="F1818" t="str">
        <f>""</f>
        <v/>
      </c>
      <c r="H1818" t="str">
        <f t="shared" si="33"/>
        <v>GUARDIAN</v>
      </c>
    </row>
    <row r="1819" spans="5:8" x14ac:dyDescent="0.25">
      <c r="E1819" t="str">
        <f>""</f>
        <v/>
      </c>
      <c r="F1819" t="str">
        <f>""</f>
        <v/>
      </c>
      <c r="H1819" t="str">
        <f t="shared" si="33"/>
        <v>GUARDIAN</v>
      </c>
    </row>
    <row r="1820" spans="5:8" x14ac:dyDescent="0.25">
      <c r="E1820" t="str">
        <f>""</f>
        <v/>
      </c>
      <c r="F1820" t="str">
        <f>""</f>
        <v/>
      </c>
      <c r="H1820" t="str">
        <f t="shared" si="33"/>
        <v>GUARDIAN</v>
      </c>
    </row>
    <row r="1821" spans="5:8" x14ac:dyDescent="0.25">
      <c r="E1821" t="str">
        <f>""</f>
        <v/>
      </c>
      <c r="F1821" t="str">
        <f>""</f>
        <v/>
      </c>
      <c r="H1821" t="str">
        <f t="shared" si="33"/>
        <v>GUARDIAN</v>
      </c>
    </row>
    <row r="1822" spans="5:8" x14ac:dyDescent="0.25">
      <c r="E1822" t="str">
        <f>""</f>
        <v/>
      </c>
      <c r="F1822" t="str">
        <f>""</f>
        <v/>
      </c>
      <c r="H1822" t="str">
        <f t="shared" si="33"/>
        <v>GUARDIAN</v>
      </c>
    </row>
    <row r="1823" spans="5:8" x14ac:dyDescent="0.25">
      <c r="E1823" t="str">
        <f>""</f>
        <v/>
      </c>
      <c r="F1823" t="str">
        <f>""</f>
        <v/>
      </c>
      <c r="H1823" t="str">
        <f t="shared" si="33"/>
        <v>GUARDIAN</v>
      </c>
    </row>
    <row r="1824" spans="5:8" x14ac:dyDescent="0.25">
      <c r="E1824" t="str">
        <f>""</f>
        <v/>
      </c>
      <c r="F1824" t="str">
        <f>""</f>
        <v/>
      </c>
      <c r="H1824" t="str">
        <f t="shared" si="33"/>
        <v>GUARDIAN</v>
      </c>
    </row>
    <row r="1825" spans="5:8" x14ac:dyDescent="0.25">
      <c r="E1825" t="str">
        <f>""</f>
        <v/>
      </c>
      <c r="F1825" t="str">
        <f>""</f>
        <v/>
      </c>
      <c r="H1825" t="str">
        <f t="shared" si="33"/>
        <v>GUARDIAN</v>
      </c>
    </row>
    <row r="1826" spans="5:8" x14ac:dyDescent="0.25">
      <c r="E1826" t="str">
        <f>""</f>
        <v/>
      </c>
      <c r="F1826" t="str">
        <f>""</f>
        <v/>
      </c>
      <c r="H1826" t="str">
        <f t="shared" si="33"/>
        <v>GUARDIAN</v>
      </c>
    </row>
    <row r="1827" spans="5:8" x14ac:dyDescent="0.25">
      <c r="E1827" t="str">
        <f>""</f>
        <v/>
      </c>
      <c r="F1827" t="str">
        <f>""</f>
        <v/>
      </c>
      <c r="H1827" t="str">
        <f t="shared" si="33"/>
        <v>GUARDIAN</v>
      </c>
    </row>
    <row r="1828" spans="5:8" x14ac:dyDescent="0.25">
      <c r="E1828" t="str">
        <f>""</f>
        <v/>
      </c>
      <c r="F1828" t="str">
        <f>""</f>
        <v/>
      </c>
      <c r="H1828" t="str">
        <f t="shared" si="33"/>
        <v>GUARDIAN</v>
      </c>
    </row>
    <row r="1829" spans="5:8" x14ac:dyDescent="0.25">
      <c r="E1829" t="str">
        <f>""</f>
        <v/>
      </c>
      <c r="F1829" t="str">
        <f>""</f>
        <v/>
      </c>
      <c r="H1829" t="str">
        <f t="shared" si="33"/>
        <v>GUARDIAN</v>
      </c>
    </row>
    <row r="1830" spans="5:8" x14ac:dyDescent="0.25">
      <c r="E1830" t="str">
        <f>""</f>
        <v/>
      </c>
      <c r="F1830" t="str">
        <f>""</f>
        <v/>
      </c>
      <c r="H1830" t="str">
        <f t="shared" si="33"/>
        <v>GUARDIAN</v>
      </c>
    </row>
    <row r="1831" spans="5:8" x14ac:dyDescent="0.25">
      <c r="E1831" t="str">
        <f>""</f>
        <v/>
      </c>
      <c r="F1831" t="str">
        <f>""</f>
        <v/>
      </c>
      <c r="H1831" t="str">
        <f t="shared" si="33"/>
        <v>GUARDIAN</v>
      </c>
    </row>
    <row r="1832" spans="5:8" x14ac:dyDescent="0.25">
      <c r="E1832" t="str">
        <f>""</f>
        <v/>
      </c>
      <c r="F1832" t="str">
        <f>""</f>
        <v/>
      </c>
      <c r="H1832" t="str">
        <f t="shared" si="33"/>
        <v>GUARDIAN</v>
      </c>
    </row>
    <row r="1833" spans="5:8" x14ac:dyDescent="0.25">
      <c r="E1833" t="str">
        <f>""</f>
        <v/>
      </c>
      <c r="F1833" t="str">
        <f>""</f>
        <v/>
      </c>
      <c r="H1833" t="str">
        <f t="shared" ref="H1833:H1864" si="34">"GUARDIAN"</f>
        <v>GUARDIAN</v>
      </c>
    </row>
    <row r="1834" spans="5:8" x14ac:dyDescent="0.25">
      <c r="E1834" t="str">
        <f>""</f>
        <v/>
      </c>
      <c r="F1834" t="str">
        <f>""</f>
        <v/>
      </c>
      <c r="H1834" t="str">
        <f t="shared" si="34"/>
        <v>GUARDIAN</v>
      </c>
    </row>
    <row r="1835" spans="5:8" x14ac:dyDescent="0.25">
      <c r="E1835" t="str">
        <f>""</f>
        <v/>
      </c>
      <c r="F1835" t="str">
        <f>""</f>
        <v/>
      </c>
      <c r="H1835" t="str">
        <f t="shared" si="34"/>
        <v>GUARDIAN</v>
      </c>
    </row>
    <row r="1836" spans="5:8" x14ac:dyDescent="0.25">
      <c r="E1836" t="str">
        <f>""</f>
        <v/>
      </c>
      <c r="F1836" t="str">
        <f>""</f>
        <v/>
      </c>
      <c r="H1836" t="str">
        <f t="shared" si="34"/>
        <v>GUARDIAN</v>
      </c>
    </row>
    <row r="1837" spans="5:8" x14ac:dyDescent="0.25">
      <c r="E1837" t="str">
        <f>""</f>
        <v/>
      </c>
      <c r="F1837" t="str">
        <f>""</f>
        <v/>
      </c>
      <c r="H1837" t="str">
        <f t="shared" si="34"/>
        <v>GUARDIAN</v>
      </c>
    </row>
    <row r="1838" spans="5:8" x14ac:dyDescent="0.25">
      <c r="E1838" t="str">
        <f>""</f>
        <v/>
      </c>
      <c r="F1838" t="str">
        <f>""</f>
        <v/>
      </c>
      <c r="H1838" t="str">
        <f t="shared" si="34"/>
        <v>GUARDIAN</v>
      </c>
    </row>
    <row r="1839" spans="5:8" x14ac:dyDescent="0.25">
      <c r="E1839" t="str">
        <f>""</f>
        <v/>
      </c>
      <c r="F1839" t="str">
        <f>""</f>
        <v/>
      </c>
      <c r="H1839" t="str">
        <f t="shared" si="34"/>
        <v>GUARDIAN</v>
      </c>
    </row>
    <row r="1840" spans="5:8" x14ac:dyDescent="0.25">
      <c r="E1840" t="str">
        <f>"LIE201902067196"</f>
        <v>LIE201902067196</v>
      </c>
      <c r="F1840" t="str">
        <f>"GUARDIAN"</f>
        <v>GUARDIAN</v>
      </c>
      <c r="G1840" s="2">
        <v>83.65</v>
      </c>
      <c r="H1840" t="str">
        <f t="shared" si="34"/>
        <v>GUARDIAN</v>
      </c>
    </row>
    <row r="1841" spans="5:8" x14ac:dyDescent="0.25">
      <c r="E1841" t="str">
        <f>""</f>
        <v/>
      </c>
      <c r="F1841" t="str">
        <f>""</f>
        <v/>
      </c>
      <c r="H1841" t="str">
        <f t="shared" si="34"/>
        <v>GUARDIAN</v>
      </c>
    </row>
    <row r="1842" spans="5:8" x14ac:dyDescent="0.25">
      <c r="E1842" t="str">
        <f>"LIE201902277538"</f>
        <v>LIE201902277538</v>
      </c>
      <c r="F1842" t="str">
        <f>"GUARDIAN"</f>
        <v>GUARDIAN</v>
      </c>
      <c r="G1842" s="2">
        <v>83.65</v>
      </c>
      <c r="H1842" t="str">
        <f t="shared" si="34"/>
        <v>GUARDIAN</v>
      </c>
    </row>
    <row r="1843" spans="5:8" x14ac:dyDescent="0.25">
      <c r="E1843" t="str">
        <f>""</f>
        <v/>
      </c>
      <c r="F1843" t="str">
        <f>""</f>
        <v/>
      </c>
      <c r="H1843" t="str">
        <f t="shared" si="34"/>
        <v>GUARDIAN</v>
      </c>
    </row>
    <row r="1844" spans="5:8" x14ac:dyDescent="0.25">
      <c r="E1844" t="str">
        <f>"LIE201902277541"</f>
        <v>LIE201902277541</v>
      </c>
      <c r="F1844" t="str">
        <f>"GUARDIAN"</f>
        <v>GUARDIAN</v>
      </c>
      <c r="G1844" s="2">
        <v>3461.5</v>
      </c>
      <c r="H1844" t="str">
        <f t="shared" si="34"/>
        <v>GUARDIAN</v>
      </c>
    </row>
    <row r="1845" spans="5:8" x14ac:dyDescent="0.25">
      <c r="E1845" t="str">
        <f>""</f>
        <v/>
      </c>
      <c r="F1845" t="str">
        <f>""</f>
        <v/>
      </c>
      <c r="H1845" t="str">
        <f t="shared" si="34"/>
        <v>GUARDIAN</v>
      </c>
    </row>
    <row r="1846" spans="5:8" x14ac:dyDescent="0.25">
      <c r="E1846" t="str">
        <f>""</f>
        <v/>
      </c>
      <c r="F1846" t="str">
        <f>""</f>
        <v/>
      </c>
      <c r="H1846" t="str">
        <f t="shared" si="34"/>
        <v>GUARDIAN</v>
      </c>
    </row>
    <row r="1847" spans="5:8" x14ac:dyDescent="0.25">
      <c r="E1847" t="str">
        <f>""</f>
        <v/>
      </c>
      <c r="F1847" t="str">
        <f>""</f>
        <v/>
      </c>
      <c r="H1847" t="str">
        <f t="shared" si="34"/>
        <v>GUARDIAN</v>
      </c>
    </row>
    <row r="1848" spans="5:8" x14ac:dyDescent="0.25">
      <c r="E1848" t="str">
        <f>""</f>
        <v/>
      </c>
      <c r="F1848" t="str">
        <f>""</f>
        <v/>
      </c>
      <c r="H1848" t="str">
        <f t="shared" si="34"/>
        <v>GUARDIAN</v>
      </c>
    </row>
    <row r="1849" spans="5:8" x14ac:dyDescent="0.25">
      <c r="E1849" t="str">
        <f>""</f>
        <v/>
      </c>
      <c r="F1849" t="str">
        <f>""</f>
        <v/>
      </c>
      <c r="H1849" t="str">
        <f t="shared" si="34"/>
        <v>GUARDIAN</v>
      </c>
    </row>
    <row r="1850" spans="5:8" x14ac:dyDescent="0.25">
      <c r="E1850" t="str">
        <f>""</f>
        <v/>
      </c>
      <c r="F1850" t="str">
        <f>""</f>
        <v/>
      </c>
      <c r="H1850" t="str">
        <f t="shared" si="34"/>
        <v>GUARDIAN</v>
      </c>
    </row>
    <row r="1851" spans="5:8" x14ac:dyDescent="0.25">
      <c r="E1851" t="str">
        <f>""</f>
        <v/>
      </c>
      <c r="F1851" t="str">
        <f>""</f>
        <v/>
      </c>
      <c r="H1851" t="str">
        <f t="shared" si="34"/>
        <v>GUARDIAN</v>
      </c>
    </row>
    <row r="1852" spans="5:8" x14ac:dyDescent="0.25">
      <c r="E1852" t="str">
        <f>""</f>
        <v/>
      </c>
      <c r="F1852" t="str">
        <f>""</f>
        <v/>
      </c>
      <c r="H1852" t="str">
        <f t="shared" si="34"/>
        <v>GUARDIAN</v>
      </c>
    </row>
    <row r="1853" spans="5:8" x14ac:dyDescent="0.25">
      <c r="E1853" t="str">
        <f>""</f>
        <v/>
      </c>
      <c r="F1853" t="str">
        <f>""</f>
        <v/>
      </c>
      <c r="H1853" t="str">
        <f t="shared" si="34"/>
        <v>GUARDIAN</v>
      </c>
    </row>
    <row r="1854" spans="5:8" x14ac:dyDescent="0.25">
      <c r="E1854" t="str">
        <f>""</f>
        <v/>
      </c>
      <c r="F1854" t="str">
        <f>""</f>
        <v/>
      </c>
      <c r="H1854" t="str">
        <f t="shared" si="34"/>
        <v>GUARDIAN</v>
      </c>
    </row>
    <row r="1855" spans="5:8" x14ac:dyDescent="0.25">
      <c r="E1855" t="str">
        <f>""</f>
        <v/>
      </c>
      <c r="F1855" t="str">
        <f>""</f>
        <v/>
      </c>
      <c r="H1855" t="str">
        <f t="shared" si="34"/>
        <v>GUARDIAN</v>
      </c>
    </row>
    <row r="1856" spans="5:8" x14ac:dyDescent="0.25">
      <c r="E1856" t="str">
        <f>""</f>
        <v/>
      </c>
      <c r="F1856" t="str">
        <f>""</f>
        <v/>
      </c>
      <c r="H1856" t="str">
        <f t="shared" si="34"/>
        <v>GUARDIAN</v>
      </c>
    </row>
    <row r="1857" spans="5:8" x14ac:dyDescent="0.25">
      <c r="E1857" t="str">
        <f>""</f>
        <v/>
      </c>
      <c r="F1857" t="str">
        <f>""</f>
        <v/>
      </c>
      <c r="H1857" t="str">
        <f t="shared" si="34"/>
        <v>GUARDIAN</v>
      </c>
    </row>
    <row r="1858" spans="5:8" x14ac:dyDescent="0.25">
      <c r="E1858" t="str">
        <f>""</f>
        <v/>
      </c>
      <c r="F1858" t="str">
        <f>""</f>
        <v/>
      </c>
      <c r="H1858" t="str">
        <f t="shared" si="34"/>
        <v>GUARDIAN</v>
      </c>
    </row>
    <row r="1859" spans="5:8" x14ac:dyDescent="0.25">
      <c r="E1859" t="str">
        <f>""</f>
        <v/>
      </c>
      <c r="F1859" t="str">
        <f>""</f>
        <v/>
      </c>
      <c r="H1859" t="str">
        <f t="shared" si="34"/>
        <v>GUARDIAN</v>
      </c>
    </row>
    <row r="1860" spans="5:8" x14ac:dyDescent="0.25">
      <c r="E1860" t="str">
        <f>""</f>
        <v/>
      </c>
      <c r="F1860" t="str">
        <f>""</f>
        <v/>
      </c>
      <c r="H1860" t="str">
        <f t="shared" si="34"/>
        <v>GUARDIAN</v>
      </c>
    </row>
    <row r="1861" spans="5:8" x14ac:dyDescent="0.25">
      <c r="E1861" t="str">
        <f>""</f>
        <v/>
      </c>
      <c r="F1861" t="str">
        <f>""</f>
        <v/>
      </c>
      <c r="H1861" t="str">
        <f t="shared" si="34"/>
        <v>GUARDIAN</v>
      </c>
    </row>
    <row r="1862" spans="5:8" x14ac:dyDescent="0.25">
      <c r="E1862" t="str">
        <f>""</f>
        <v/>
      </c>
      <c r="F1862" t="str">
        <f>""</f>
        <v/>
      </c>
      <c r="H1862" t="str">
        <f t="shared" si="34"/>
        <v>GUARDIAN</v>
      </c>
    </row>
    <row r="1863" spans="5:8" x14ac:dyDescent="0.25">
      <c r="E1863" t="str">
        <f>""</f>
        <v/>
      </c>
      <c r="F1863" t="str">
        <f>""</f>
        <v/>
      </c>
      <c r="H1863" t="str">
        <f t="shared" si="34"/>
        <v>GUARDIAN</v>
      </c>
    </row>
    <row r="1864" spans="5:8" x14ac:dyDescent="0.25">
      <c r="E1864" t="str">
        <f>""</f>
        <v/>
      </c>
      <c r="F1864" t="str">
        <f>""</f>
        <v/>
      </c>
      <c r="H1864" t="str">
        <f t="shared" si="34"/>
        <v>GUARDIAN</v>
      </c>
    </row>
    <row r="1865" spans="5:8" x14ac:dyDescent="0.25">
      <c r="E1865" t="str">
        <f>""</f>
        <v/>
      </c>
      <c r="F1865" t="str">
        <f>""</f>
        <v/>
      </c>
      <c r="H1865" t="str">
        <f t="shared" ref="H1865:H1896" si="35">"GUARDIAN"</f>
        <v>GUARDIAN</v>
      </c>
    </row>
    <row r="1866" spans="5:8" x14ac:dyDescent="0.25">
      <c r="E1866" t="str">
        <f>""</f>
        <v/>
      </c>
      <c r="F1866" t="str">
        <f>""</f>
        <v/>
      </c>
      <c r="H1866" t="str">
        <f t="shared" si="35"/>
        <v>GUARDIAN</v>
      </c>
    </row>
    <row r="1867" spans="5:8" x14ac:dyDescent="0.25">
      <c r="E1867" t="str">
        <f>""</f>
        <v/>
      </c>
      <c r="F1867" t="str">
        <f>""</f>
        <v/>
      </c>
      <c r="H1867" t="str">
        <f t="shared" si="35"/>
        <v>GUARDIAN</v>
      </c>
    </row>
    <row r="1868" spans="5:8" x14ac:dyDescent="0.25">
      <c r="E1868" t="str">
        <f>""</f>
        <v/>
      </c>
      <c r="F1868" t="str">
        <f>""</f>
        <v/>
      </c>
      <c r="H1868" t="str">
        <f t="shared" si="35"/>
        <v>GUARDIAN</v>
      </c>
    </row>
    <row r="1869" spans="5:8" x14ac:dyDescent="0.25">
      <c r="E1869" t="str">
        <f>""</f>
        <v/>
      </c>
      <c r="F1869" t="str">
        <f>""</f>
        <v/>
      </c>
      <c r="H1869" t="str">
        <f t="shared" si="35"/>
        <v>GUARDIAN</v>
      </c>
    </row>
    <row r="1870" spans="5:8" x14ac:dyDescent="0.25">
      <c r="E1870" t="str">
        <f>""</f>
        <v/>
      </c>
      <c r="F1870" t="str">
        <f>""</f>
        <v/>
      </c>
      <c r="H1870" t="str">
        <f t="shared" si="35"/>
        <v>GUARDIAN</v>
      </c>
    </row>
    <row r="1871" spans="5:8" x14ac:dyDescent="0.25">
      <c r="E1871" t="str">
        <f>""</f>
        <v/>
      </c>
      <c r="F1871" t="str">
        <f>""</f>
        <v/>
      </c>
      <c r="H1871" t="str">
        <f t="shared" si="35"/>
        <v>GUARDIAN</v>
      </c>
    </row>
    <row r="1872" spans="5:8" x14ac:dyDescent="0.25">
      <c r="E1872" t="str">
        <f>""</f>
        <v/>
      </c>
      <c r="F1872" t="str">
        <f>""</f>
        <v/>
      </c>
      <c r="H1872" t="str">
        <f t="shared" si="35"/>
        <v>GUARDIAN</v>
      </c>
    </row>
    <row r="1873" spans="5:8" x14ac:dyDescent="0.25">
      <c r="E1873" t="str">
        <f>""</f>
        <v/>
      </c>
      <c r="F1873" t="str">
        <f>""</f>
        <v/>
      </c>
      <c r="H1873" t="str">
        <f t="shared" si="35"/>
        <v>GUARDIAN</v>
      </c>
    </row>
    <row r="1874" spans="5:8" x14ac:dyDescent="0.25">
      <c r="E1874" t="str">
        <f>""</f>
        <v/>
      </c>
      <c r="F1874" t="str">
        <f>""</f>
        <v/>
      </c>
      <c r="H1874" t="str">
        <f t="shared" si="35"/>
        <v>GUARDIAN</v>
      </c>
    </row>
    <row r="1875" spans="5:8" x14ac:dyDescent="0.25">
      <c r="E1875" t="str">
        <f>""</f>
        <v/>
      </c>
      <c r="F1875" t="str">
        <f>""</f>
        <v/>
      </c>
      <c r="H1875" t="str">
        <f t="shared" si="35"/>
        <v>GUARDIAN</v>
      </c>
    </row>
    <row r="1876" spans="5:8" x14ac:dyDescent="0.25">
      <c r="E1876" t="str">
        <f>""</f>
        <v/>
      </c>
      <c r="F1876" t="str">
        <f>""</f>
        <v/>
      </c>
      <c r="H1876" t="str">
        <f t="shared" si="35"/>
        <v>GUARDIAN</v>
      </c>
    </row>
    <row r="1877" spans="5:8" x14ac:dyDescent="0.25">
      <c r="E1877" t="str">
        <f>""</f>
        <v/>
      </c>
      <c r="F1877" t="str">
        <f>""</f>
        <v/>
      </c>
      <c r="H1877" t="str">
        <f t="shared" si="35"/>
        <v>GUARDIAN</v>
      </c>
    </row>
    <row r="1878" spans="5:8" x14ac:dyDescent="0.25">
      <c r="E1878" t="str">
        <f>""</f>
        <v/>
      </c>
      <c r="F1878" t="str">
        <f>""</f>
        <v/>
      </c>
      <c r="H1878" t="str">
        <f t="shared" si="35"/>
        <v>GUARDIAN</v>
      </c>
    </row>
    <row r="1879" spans="5:8" x14ac:dyDescent="0.25">
      <c r="E1879" t="str">
        <f>""</f>
        <v/>
      </c>
      <c r="F1879" t="str">
        <f>""</f>
        <v/>
      </c>
      <c r="H1879" t="str">
        <f t="shared" si="35"/>
        <v>GUARDIAN</v>
      </c>
    </row>
    <row r="1880" spans="5:8" x14ac:dyDescent="0.25">
      <c r="E1880" t="str">
        <f>""</f>
        <v/>
      </c>
      <c r="F1880" t="str">
        <f>""</f>
        <v/>
      </c>
      <c r="H1880" t="str">
        <f t="shared" si="35"/>
        <v>GUARDIAN</v>
      </c>
    </row>
    <row r="1881" spans="5:8" x14ac:dyDescent="0.25">
      <c r="E1881" t="str">
        <f>""</f>
        <v/>
      </c>
      <c r="F1881" t="str">
        <f>""</f>
        <v/>
      </c>
      <c r="H1881" t="str">
        <f t="shared" si="35"/>
        <v>GUARDIAN</v>
      </c>
    </row>
    <row r="1882" spans="5:8" x14ac:dyDescent="0.25">
      <c r="E1882" t="str">
        <f>""</f>
        <v/>
      </c>
      <c r="F1882" t="str">
        <f>""</f>
        <v/>
      </c>
      <c r="H1882" t="str">
        <f t="shared" si="35"/>
        <v>GUARDIAN</v>
      </c>
    </row>
    <row r="1883" spans="5:8" x14ac:dyDescent="0.25">
      <c r="E1883" t="str">
        <f>""</f>
        <v/>
      </c>
      <c r="F1883" t="str">
        <f>""</f>
        <v/>
      </c>
      <c r="H1883" t="str">
        <f t="shared" si="35"/>
        <v>GUARDIAN</v>
      </c>
    </row>
    <row r="1884" spans="5:8" x14ac:dyDescent="0.25">
      <c r="E1884" t="str">
        <f>""</f>
        <v/>
      </c>
      <c r="F1884" t="str">
        <f>""</f>
        <v/>
      </c>
      <c r="H1884" t="str">
        <f t="shared" si="35"/>
        <v>GUARDIAN</v>
      </c>
    </row>
    <row r="1885" spans="5:8" x14ac:dyDescent="0.25">
      <c r="E1885" t="str">
        <f>""</f>
        <v/>
      </c>
      <c r="F1885" t="str">
        <f>""</f>
        <v/>
      </c>
      <c r="H1885" t="str">
        <f t="shared" si="35"/>
        <v>GUARDIAN</v>
      </c>
    </row>
    <row r="1886" spans="5:8" x14ac:dyDescent="0.25">
      <c r="E1886" t="str">
        <f>""</f>
        <v/>
      </c>
      <c r="F1886" t="str">
        <f>""</f>
        <v/>
      </c>
      <c r="H1886" t="str">
        <f t="shared" si="35"/>
        <v>GUARDIAN</v>
      </c>
    </row>
    <row r="1887" spans="5:8" x14ac:dyDescent="0.25">
      <c r="E1887" t="str">
        <f>""</f>
        <v/>
      </c>
      <c r="F1887" t="str">
        <f>""</f>
        <v/>
      </c>
      <c r="H1887" t="str">
        <f t="shared" si="35"/>
        <v>GUARDIAN</v>
      </c>
    </row>
    <row r="1888" spans="5:8" x14ac:dyDescent="0.25">
      <c r="E1888" t="str">
        <f>""</f>
        <v/>
      </c>
      <c r="F1888" t="str">
        <f>""</f>
        <v/>
      </c>
      <c r="H1888" t="str">
        <f t="shared" si="35"/>
        <v>GUARDIAN</v>
      </c>
    </row>
    <row r="1889" spans="1:8" x14ac:dyDescent="0.25">
      <c r="E1889" t="str">
        <f>""</f>
        <v/>
      </c>
      <c r="F1889" t="str">
        <f>""</f>
        <v/>
      </c>
      <c r="H1889" t="str">
        <f t="shared" si="35"/>
        <v>GUARDIAN</v>
      </c>
    </row>
    <row r="1890" spans="1:8" x14ac:dyDescent="0.25">
      <c r="E1890" t="str">
        <f>""</f>
        <v/>
      </c>
      <c r="F1890" t="str">
        <f>""</f>
        <v/>
      </c>
      <c r="H1890" t="str">
        <f t="shared" si="35"/>
        <v>GUARDIAN</v>
      </c>
    </row>
    <row r="1891" spans="1:8" x14ac:dyDescent="0.25">
      <c r="E1891" t="str">
        <f>""</f>
        <v/>
      </c>
      <c r="F1891" t="str">
        <f>""</f>
        <v/>
      </c>
      <c r="H1891" t="str">
        <f t="shared" si="35"/>
        <v>GUARDIAN</v>
      </c>
    </row>
    <row r="1892" spans="1:8" x14ac:dyDescent="0.25">
      <c r="E1892" t="str">
        <f>""</f>
        <v/>
      </c>
      <c r="F1892" t="str">
        <f>""</f>
        <v/>
      </c>
      <c r="H1892" t="str">
        <f t="shared" si="35"/>
        <v>GUARDIAN</v>
      </c>
    </row>
    <row r="1893" spans="1:8" x14ac:dyDescent="0.25">
      <c r="E1893" t="str">
        <f>"LIS201902067161"</f>
        <v>LIS201902067161</v>
      </c>
      <c r="F1893" t="str">
        <f t="shared" ref="F1893:F1904" si="36">"GUARDIAN"</f>
        <v>GUARDIAN</v>
      </c>
      <c r="G1893" s="2">
        <v>481.53</v>
      </c>
      <c r="H1893" t="str">
        <f t="shared" si="35"/>
        <v>GUARDIAN</v>
      </c>
    </row>
    <row r="1894" spans="1:8" x14ac:dyDescent="0.25">
      <c r="E1894" t="str">
        <f>"LIS201902067196"</f>
        <v>LIS201902067196</v>
      </c>
      <c r="F1894" t="str">
        <f t="shared" si="36"/>
        <v>GUARDIAN</v>
      </c>
      <c r="G1894" s="2">
        <v>36.15</v>
      </c>
      <c r="H1894" t="str">
        <f t="shared" si="35"/>
        <v>GUARDIAN</v>
      </c>
    </row>
    <row r="1895" spans="1:8" x14ac:dyDescent="0.25">
      <c r="E1895" t="str">
        <f>"LIS201902277538"</f>
        <v>LIS201902277538</v>
      </c>
      <c r="F1895" t="str">
        <f t="shared" si="36"/>
        <v>GUARDIAN</v>
      </c>
      <c r="G1895" s="2">
        <v>36.15</v>
      </c>
      <c r="H1895" t="str">
        <f t="shared" si="35"/>
        <v>GUARDIAN</v>
      </c>
    </row>
    <row r="1896" spans="1:8" x14ac:dyDescent="0.25">
      <c r="E1896" t="str">
        <f>"LIS201902277541"</f>
        <v>LIS201902277541</v>
      </c>
      <c r="F1896" t="str">
        <f t="shared" si="36"/>
        <v>GUARDIAN</v>
      </c>
      <c r="G1896" s="2">
        <v>478.38</v>
      </c>
      <c r="H1896" t="str">
        <f t="shared" si="35"/>
        <v>GUARDIAN</v>
      </c>
    </row>
    <row r="1897" spans="1:8" x14ac:dyDescent="0.25">
      <c r="E1897" t="str">
        <f>"LTD201902067161"</f>
        <v>LTD201902067161</v>
      </c>
      <c r="F1897" t="str">
        <f t="shared" si="36"/>
        <v>GUARDIAN</v>
      </c>
      <c r="G1897" s="2">
        <v>947.83</v>
      </c>
      <c r="H1897" t="str">
        <f t="shared" ref="H1897:H1904" si="37">"GUARDIAN"</f>
        <v>GUARDIAN</v>
      </c>
    </row>
    <row r="1898" spans="1:8" x14ac:dyDescent="0.25">
      <c r="E1898" t="str">
        <f>"LTD201902067196"</f>
        <v>LTD201902067196</v>
      </c>
      <c r="F1898" t="str">
        <f t="shared" si="36"/>
        <v>GUARDIAN</v>
      </c>
      <c r="G1898" s="2">
        <v>6.11</v>
      </c>
      <c r="H1898" t="str">
        <f t="shared" si="37"/>
        <v>GUARDIAN</v>
      </c>
    </row>
    <row r="1899" spans="1:8" x14ac:dyDescent="0.25">
      <c r="E1899" t="str">
        <f>"LTD201902277538"</f>
        <v>LTD201902277538</v>
      </c>
      <c r="F1899" t="str">
        <f t="shared" si="36"/>
        <v>GUARDIAN</v>
      </c>
      <c r="G1899" s="2">
        <v>6.11</v>
      </c>
      <c r="H1899" t="str">
        <f t="shared" si="37"/>
        <v>GUARDIAN</v>
      </c>
    </row>
    <row r="1900" spans="1:8" x14ac:dyDescent="0.25">
      <c r="E1900" t="str">
        <f>"LTD201902277541"</f>
        <v>LTD201902277541</v>
      </c>
      <c r="F1900" t="str">
        <f t="shared" si="36"/>
        <v>GUARDIAN</v>
      </c>
      <c r="G1900" s="2">
        <v>905.02</v>
      </c>
      <c r="H1900" t="str">
        <f t="shared" si="37"/>
        <v>GUARDIAN</v>
      </c>
    </row>
    <row r="1901" spans="1:8" x14ac:dyDescent="0.25">
      <c r="A1901" t="s">
        <v>450</v>
      </c>
      <c r="B1901">
        <v>74</v>
      </c>
      <c r="C1901" s="2">
        <v>112.44</v>
      </c>
      <c r="D1901" s="1">
        <v>43524</v>
      </c>
      <c r="E1901" t="str">
        <f>"AEG201902067161"</f>
        <v>AEG201902067161</v>
      </c>
      <c r="F1901" t="str">
        <f t="shared" si="36"/>
        <v>GUARDIAN</v>
      </c>
      <c r="G1901" s="2">
        <v>6.66</v>
      </c>
      <c r="H1901" t="str">
        <f t="shared" si="37"/>
        <v>GUARDIAN</v>
      </c>
    </row>
    <row r="1902" spans="1:8" x14ac:dyDescent="0.25">
      <c r="E1902" t="str">
        <f>"AEG201902277541"</f>
        <v>AEG201902277541</v>
      </c>
      <c r="F1902" t="str">
        <f t="shared" si="36"/>
        <v>GUARDIAN</v>
      </c>
      <c r="G1902" s="2">
        <v>6.66</v>
      </c>
      <c r="H1902" t="str">
        <f t="shared" si="37"/>
        <v>GUARDIAN</v>
      </c>
    </row>
    <row r="1903" spans="1:8" x14ac:dyDescent="0.25">
      <c r="E1903" t="str">
        <f>"AFG201902067161"</f>
        <v>AFG201902067161</v>
      </c>
      <c r="F1903" t="str">
        <f t="shared" si="36"/>
        <v>GUARDIAN</v>
      </c>
      <c r="G1903" s="2">
        <v>49.56</v>
      </c>
      <c r="H1903" t="str">
        <f t="shared" si="37"/>
        <v>GUARDIAN</v>
      </c>
    </row>
    <row r="1904" spans="1:8" x14ac:dyDescent="0.25">
      <c r="E1904" t="str">
        <f>"AFG201902277541"</f>
        <v>AFG201902277541</v>
      </c>
      <c r="F1904" t="str">
        <f t="shared" si="36"/>
        <v>GUARDIAN</v>
      </c>
      <c r="G1904" s="2">
        <v>49.56</v>
      </c>
      <c r="H1904" t="str">
        <f t="shared" si="37"/>
        <v>GUARDIAN</v>
      </c>
    </row>
    <row r="1905" spans="1:8" x14ac:dyDescent="0.25">
      <c r="A1905" t="s">
        <v>451</v>
      </c>
      <c r="B1905">
        <v>58</v>
      </c>
      <c r="C1905" s="2">
        <v>223642.43</v>
      </c>
      <c r="D1905" s="1">
        <v>43504</v>
      </c>
      <c r="E1905" t="str">
        <f>"T1 201902067161"</f>
        <v>T1 201902067161</v>
      </c>
      <c r="F1905" t="str">
        <f>"FEDERAL WITHHOLDING"</f>
        <v>FEDERAL WITHHOLDING</v>
      </c>
      <c r="G1905" s="2">
        <v>72343.600000000006</v>
      </c>
      <c r="H1905" t="str">
        <f>"FEDERAL WITHHOLDING"</f>
        <v>FEDERAL WITHHOLDING</v>
      </c>
    </row>
    <row r="1906" spans="1:8" x14ac:dyDescent="0.25">
      <c r="E1906" t="str">
        <f>"T1 201902067196"</f>
        <v>T1 201902067196</v>
      </c>
      <c r="F1906" t="str">
        <f>"FEDERAL WITHHOLDING"</f>
        <v>FEDERAL WITHHOLDING</v>
      </c>
      <c r="G1906" s="2">
        <v>2841.67</v>
      </c>
      <c r="H1906" t="str">
        <f>"FEDERAL WITHHOLDING"</f>
        <v>FEDERAL WITHHOLDING</v>
      </c>
    </row>
    <row r="1907" spans="1:8" x14ac:dyDescent="0.25">
      <c r="E1907" t="str">
        <f>"T1 201902067198"</f>
        <v>T1 201902067198</v>
      </c>
      <c r="F1907" t="str">
        <f>"FEDERAL WITHHOLDING"</f>
        <v>FEDERAL WITHHOLDING</v>
      </c>
      <c r="G1907" s="2">
        <v>4791.42</v>
      </c>
      <c r="H1907" t="str">
        <f>"FEDERAL WITHHOLDING"</f>
        <v>FEDERAL WITHHOLDING</v>
      </c>
    </row>
    <row r="1908" spans="1:8" x14ac:dyDescent="0.25">
      <c r="E1908" t="str">
        <f>"T3 201902067161"</f>
        <v>T3 201902067161</v>
      </c>
      <c r="F1908" t="str">
        <f>"SOCIAL SECURITY TAXES"</f>
        <v>SOCIAL SECURITY TAXES</v>
      </c>
      <c r="G1908" s="2">
        <v>106597.52</v>
      </c>
      <c r="H1908" t="str">
        <f t="shared" ref="H1908:H1939" si="38">"SOCIAL SECURITY TAXES"</f>
        <v>SOCIAL SECURITY TAXES</v>
      </c>
    </row>
    <row r="1909" spans="1:8" x14ac:dyDescent="0.25">
      <c r="E1909" t="str">
        <f>""</f>
        <v/>
      </c>
      <c r="F1909" t="str">
        <f>""</f>
        <v/>
      </c>
      <c r="H1909" t="str">
        <f t="shared" si="38"/>
        <v>SOCIAL SECURITY TAXES</v>
      </c>
    </row>
    <row r="1910" spans="1:8" x14ac:dyDescent="0.25">
      <c r="E1910" t="str">
        <f>""</f>
        <v/>
      </c>
      <c r="F1910" t="str">
        <f>""</f>
        <v/>
      </c>
      <c r="H1910" t="str">
        <f t="shared" si="38"/>
        <v>SOCIAL SECURITY TAXES</v>
      </c>
    </row>
    <row r="1911" spans="1:8" x14ac:dyDescent="0.25">
      <c r="E1911" t="str">
        <f>""</f>
        <v/>
      </c>
      <c r="F1911" t="str">
        <f>""</f>
        <v/>
      </c>
      <c r="H1911" t="str">
        <f t="shared" si="38"/>
        <v>SOCIAL SECURITY TAXES</v>
      </c>
    </row>
    <row r="1912" spans="1:8" x14ac:dyDescent="0.25">
      <c r="E1912" t="str">
        <f>""</f>
        <v/>
      </c>
      <c r="F1912" t="str">
        <f>""</f>
        <v/>
      </c>
      <c r="H1912" t="str">
        <f t="shared" si="38"/>
        <v>SOCIAL SECURITY TAXES</v>
      </c>
    </row>
    <row r="1913" spans="1:8" x14ac:dyDescent="0.25">
      <c r="E1913" t="str">
        <f>""</f>
        <v/>
      </c>
      <c r="F1913" t="str">
        <f>""</f>
        <v/>
      </c>
      <c r="H1913" t="str">
        <f t="shared" si="38"/>
        <v>SOCIAL SECURITY TAXES</v>
      </c>
    </row>
    <row r="1914" spans="1:8" x14ac:dyDescent="0.25">
      <c r="E1914" t="str">
        <f>""</f>
        <v/>
      </c>
      <c r="F1914" t="str">
        <f>""</f>
        <v/>
      </c>
      <c r="H1914" t="str">
        <f t="shared" si="38"/>
        <v>SOCIAL SECURITY TAXES</v>
      </c>
    </row>
    <row r="1915" spans="1:8" x14ac:dyDescent="0.25">
      <c r="E1915" t="str">
        <f>""</f>
        <v/>
      </c>
      <c r="F1915" t="str">
        <f>""</f>
        <v/>
      </c>
      <c r="H1915" t="str">
        <f t="shared" si="38"/>
        <v>SOCIAL SECURITY TAXES</v>
      </c>
    </row>
    <row r="1916" spans="1:8" x14ac:dyDescent="0.25">
      <c r="E1916" t="str">
        <f>""</f>
        <v/>
      </c>
      <c r="F1916" t="str">
        <f>""</f>
        <v/>
      </c>
      <c r="H1916" t="str">
        <f t="shared" si="38"/>
        <v>SOCIAL SECURITY TAXES</v>
      </c>
    </row>
    <row r="1917" spans="1:8" x14ac:dyDescent="0.25">
      <c r="E1917" t="str">
        <f>""</f>
        <v/>
      </c>
      <c r="F1917" t="str">
        <f>""</f>
        <v/>
      </c>
      <c r="H1917" t="str">
        <f t="shared" si="38"/>
        <v>SOCIAL SECURITY TAXES</v>
      </c>
    </row>
    <row r="1918" spans="1:8" x14ac:dyDescent="0.25">
      <c r="E1918" t="str">
        <f>""</f>
        <v/>
      </c>
      <c r="F1918" t="str">
        <f>""</f>
        <v/>
      </c>
      <c r="H1918" t="str">
        <f t="shared" si="38"/>
        <v>SOCIAL SECURITY TAXES</v>
      </c>
    </row>
    <row r="1919" spans="1:8" x14ac:dyDescent="0.25">
      <c r="E1919" t="str">
        <f>""</f>
        <v/>
      </c>
      <c r="F1919" t="str">
        <f>""</f>
        <v/>
      </c>
      <c r="H1919" t="str">
        <f t="shared" si="38"/>
        <v>SOCIAL SECURITY TAXES</v>
      </c>
    </row>
    <row r="1920" spans="1:8" x14ac:dyDescent="0.25">
      <c r="E1920" t="str">
        <f>""</f>
        <v/>
      </c>
      <c r="F1920" t="str">
        <f>""</f>
        <v/>
      </c>
      <c r="H1920" t="str">
        <f t="shared" si="38"/>
        <v>SOCIAL SECURITY TAXES</v>
      </c>
    </row>
    <row r="1921" spans="5:8" x14ac:dyDescent="0.25">
      <c r="E1921" t="str">
        <f>""</f>
        <v/>
      </c>
      <c r="F1921" t="str">
        <f>""</f>
        <v/>
      </c>
      <c r="H1921" t="str">
        <f t="shared" si="38"/>
        <v>SOCIAL SECURITY TAXES</v>
      </c>
    </row>
    <row r="1922" spans="5:8" x14ac:dyDescent="0.25">
      <c r="E1922" t="str">
        <f>""</f>
        <v/>
      </c>
      <c r="F1922" t="str">
        <f>""</f>
        <v/>
      </c>
      <c r="H1922" t="str">
        <f t="shared" si="38"/>
        <v>SOCIAL SECURITY TAXES</v>
      </c>
    </row>
    <row r="1923" spans="5:8" x14ac:dyDescent="0.25">
      <c r="E1923" t="str">
        <f>""</f>
        <v/>
      </c>
      <c r="F1923" t="str">
        <f>""</f>
        <v/>
      </c>
      <c r="H1923" t="str">
        <f t="shared" si="38"/>
        <v>SOCIAL SECURITY TAXES</v>
      </c>
    </row>
    <row r="1924" spans="5:8" x14ac:dyDescent="0.25">
      <c r="E1924" t="str">
        <f>""</f>
        <v/>
      </c>
      <c r="F1924" t="str">
        <f>""</f>
        <v/>
      </c>
      <c r="H1924" t="str">
        <f t="shared" si="38"/>
        <v>SOCIAL SECURITY TAXES</v>
      </c>
    </row>
    <row r="1925" spans="5:8" x14ac:dyDescent="0.25">
      <c r="E1925" t="str">
        <f>""</f>
        <v/>
      </c>
      <c r="F1925" t="str">
        <f>""</f>
        <v/>
      </c>
      <c r="H1925" t="str">
        <f t="shared" si="38"/>
        <v>SOCIAL SECURITY TAXES</v>
      </c>
    </row>
    <row r="1926" spans="5:8" x14ac:dyDescent="0.25">
      <c r="E1926" t="str">
        <f>""</f>
        <v/>
      </c>
      <c r="F1926" t="str">
        <f>""</f>
        <v/>
      </c>
      <c r="H1926" t="str">
        <f t="shared" si="38"/>
        <v>SOCIAL SECURITY TAXES</v>
      </c>
    </row>
    <row r="1927" spans="5:8" x14ac:dyDescent="0.25">
      <c r="E1927" t="str">
        <f>""</f>
        <v/>
      </c>
      <c r="F1927" t="str">
        <f>""</f>
        <v/>
      </c>
      <c r="H1927" t="str">
        <f t="shared" si="38"/>
        <v>SOCIAL SECURITY TAXES</v>
      </c>
    </row>
    <row r="1928" spans="5:8" x14ac:dyDescent="0.25">
      <c r="E1928" t="str">
        <f>""</f>
        <v/>
      </c>
      <c r="F1928" t="str">
        <f>""</f>
        <v/>
      </c>
      <c r="H1928" t="str">
        <f t="shared" si="38"/>
        <v>SOCIAL SECURITY TAXES</v>
      </c>
    </row>
    <row r="1929" spans="5:8" x14ac:dyDescent="0.25">
      <c r="E1929" t="str">
        <f>""</f>
        <v/>
      </c>
      <c r="F1929" t="str">
        <f>""</f>
        <v/>
      </c>
      <c r="H1929" t="str">
        <f t="shared" si="38"/>
        <v>SOCIAL SECURITY TAXES</v>
      </c>
    </row>
    <row r="1930" spans="5:8" x14ac:dyDescent="0.25">
      <c r="E1930" t="str">
        <f>""</f>
        <v/>
      </c>
      <c r="F1930" t="str">
        <f>""</f>
        <v/>
      </c>
      <c r="H1930" t="str">
        <f t="shared" si="38"/>
        <v>SOCIAL SECURITY TAXES</v>
      </c>
    </row>
    <row r="1931" spans="5:8" x14ac:dyDescent="0.25">
      <c r="E1931" t="str">
        <f>""</f>
        <v/>
      </c>
      <c r="F1931" t="str">
        <f>""</f>
        <v/>
      </c>
      <c r="H1931" t="str">
        <f t="shared" si="38"/>
        <v>SOCIAL SECURITY TAXES</v>
      </c>
    </row>
    <row r="1932" spans="5:8" x14ac:dyDescent="0.25">
      <c r="E1932" t="str">
        <f>""</f>
        <v/>
      </c>
      <c r="F1932" t="str">
        <f>""</f>
        <v/>
      </c>
      <c r="H1932" t="str">
        <f t="shared" si="38"/>
        <v>SOCIAL SECURITY TAXES</v>
      </c>
    </row>
    <row r="1933" spans="5:8" x14ac:dyDescent="0.25">
      <c r="E1933" t="str">
        <f>""</f>
        <v/>
      </c>
      <c r="F1933" t="str">
        <f>""</f>
        <v/>
      </c>
      <c r="H1933" t="str">
        <f t="shared" si="38"/>
        <v>SOCIAL SECURITY TAXES</v>
      </c>
    </row>
    <row r="1934" spans="5:8" x14ac:dyDescent="0.25">
      <c r="E1934" t="str">
        <f>""</f>
        <v/>
      </c>
      <c r="F1934" t="str">
        <f>""</f>
        <v/>
      </c>
      <c r="H1934" t="str">
        <f t="shared" si="38"/>
        <v>SOCIAL SECURITY TAXES</v>
      </c>
    </row>
    <row r="1935" spans="5:8" x14ac:dyDescent="0.25">
      <c r="E1935" t="str">
        <f>""</f>
        <v/>
      </c>
      <c r="F1935" t="str">
        <f>""</f>
        <v/>
      </c>
      <c r="H1935" t="str">
        <f t="shared" si="38"/>
        <v>SOCIAL SECURITY TAXES</v>
      </c>
    </row>
    <row r="1936" spans="5:8" x14ac:dyDescent="0.25">
      <c r="E1936" t="str">
        <f>""</f>
        <v/>
      </c>
      <c r="F1936" t="str">
        <f>""</f>
        <v/>
      </c>
      <c r="H1936" t="str">
        <f t="shared" si="38"/>
        <v>SOCIAL SECURITY TAXES</v>
      </c>
    </row>
    <row r="1937" spans="5:8" x14ac:dyDescent="0.25">
      <c r="E1937" t="str">
        <f>""</f>
        <v/>
      </c>
      <c r="F1937" t="str">
        <f>""</f>
        <v/>
      </c>
      <c r="H1937" t="str">
        <f t="shared" si="38"/>
        <v>SOCIAL SECURITY TAXES</v>
      </c>
    </row>
    <row r="1938" spans="5:8" x14ac:dyDescent="0.25">
      <c r="E1938" t="str">
        <f>""</f>
        <v/>
      </c>
      <c r="F1938" t="str">
        <f>""</f>
        <v/>
      </c>
      <c r="H1938" t="str">
        <f t="shared" si="38"/>
        <v>SOCIAL SECURITY TAXES</v>
      </c>
    </row>
    <row r="1939" spans="5:8" x14ac:dyDescent="0.25">
      <c r="E1939" t="str">
        <f>""</f>
        <v/>
      </c>
      <c r="F1939" t="str">
        <f>""</f>
        <v/>
      </c>
      <c r="H1939" t="str">
        <f t="shared" si="38"/>
        <v>SOCIAL SECURITY TAXES</v>
      </c>
    </row>
    <row r="1940" spans="5:8" x14ac:dyDescent="0.25">
      <c r="E1940" t="str">
        <f>""</f>
        <v/>
      </c>
      <c r="F1940" t="str">
        <f>""</f>
        <v/>
      </c>
      <c r="H1940" t="str">
        <f t="shared" ref="H1940:H1963" si="39">"SOCIAL SECURITY TAXES"</f>
        <v>SOCIAL SECURITY TAXES</v>
      </c>
    </row>
    <row r="1941" spans="5:8" x14ac:dyDescent="0.25">
      <c r="E1941" t="str">
        <f>""</f>
        <v/>
      </c>
      <c r="F1941" t="str">
        <f>""</f>
        <v/>
      </c>
      <c r="H1941" t="str">
        <f t="shared" si="39"/>
        <v>SOCIAL SECURITY TAXES</v>
      </c>
    </row>
    <row r="1942" spans="5:8" x14ac:dyDescent="0.25">
      <c r="E1942" t="str">
        <f>""</f>
        <v/>
      </c>
      <c r="F1942" t="str">
        <f>""</f>
        <v/>
      </c>
      <c r="H1942" t="str">
        <f t="shared" si="39"/>
        <v>SOCIAL SECURITY TAXES</v>
      </c>
    </row>
    <row r="1943" spans="5:8" x14ac:dyDescent="0.25">
      <c r="E1943" t="str">
        <f>""</f>
        <v/>
      </c>
      <c r="F1943" t="str">
        <f>""</f>
        <v/>
      </c>
      <c r="H1943" t="str">
        <f t="shared" si="39"/>
        <v>SOCIAL SECURITY TAXES</v>
      </c>
    </row>
    <row r="1944" spans="5:8" x14ac:dyDescent="0.25">
      <c r="E1944" t="str">
        <f>""</f>
        <v/>
      </c>
      <c r="F1944" t="str">
        <f>""</f>
        <v/>
      </c>
      <c r="H1944" t="str">
        <f t="shared" si="39"/>
        <v>SOCIAL SECURITY TAXES</v>
      </c>
    </row>
    <row r="1945" spans="5:8" x14ac:dyDescent="0.25">
      <c r="E1945" t="str">
        <f>""</f>
        <v/>
      </c>
      <c r="F1945" t="str">
        <f>""</f>
        <v/>
      </c>
      <c r="H1945" t="str">
        <f t="shared" si="39"/>
        <v>SOCIAL SECURITY TAXES</v>
      </c>
    </row>
    <row r="1946" spans="5:8" x14ac:dyDescent="0.25">
      <c r="E1946" t="str">
        <f>""</f>
        <v/>
      </c>
      <c r="F1946" t="str">
        <f>""</f>
        <v/>
      </c>
      <c r="H1946" t="str">
        <f t="shared" si="39"/>
        <v>SOCIAL SECURITY TAXES</v>
      </c>
    </row>
    <row r="1947" spans="5:8" x14ac:dyDescent="0.25">
      <c r="E1947" t="str">
        <f>""</f>
        <v/>
      </c>
      <c r="F1947" t="str">
        <f>""</f>
        <v/>
      </c>
      <c r="H1947" t="str">
        <f t="shared" si="39"/>
        <v>SOCIAL SECURITY TAXES</v>
      </c>
    </row>
    <row r="1948" spans="5:8" x14ac:dyDescent="0.25">
      <c r="E1948" t="str">
        <f>""</f>
        <v/>
      </c>
      <c r="F1948" t="str">
        <f>""</f>
        <v/>
      </c>
      <c r="H1948" t="str">
        <f t="shared" si="39"/>
        <v>SOCIAL SECURITY TAXES</v>
      </c>
    </row>
    <row r="1949" spans="5:8" x14ac:dyDescent="0.25">
      <c r="E1949" t="str">
        <f>""</f>
        <v/>
      </c>
      <c r="F1949" t="str">
        <f>""</f>
        <v/>
      </c>
      <c r="H1949" t="str">
        <f t="shared" si="39"/>
        <v>SOCIAL SECURITY TAXES</v>
      </c>
    </row>
    <row r="1950" spans="5:8" x14ac:dyDescent="0.25">
      <c r="E1950" t="str">
        <f>""</f>
        <v/>
      </c>
      <c r="F1950" t="str">
        <f>""</f>
        <v/>
      </c>
      <c r="H1950" t="str">
        <f t="shared" si="39"/>
        <v>SOCIAL SECURITY TAXES</v>
      </c>
    </row>
    <row r="1951" spans="5:8" x14ac:dyDescent="0.25">
      <c r="E1951" t="str">
        <f>""</f>
        <v/>
      </c>
      <c r="F1951" t="str">
        <f>""</f>
        <v/>
      </c>
      <c r="H1951" t="str">
        <f t="shared" si="39"/>
        <v>SOCIAL SECURITY TAXES</v>
      </c>
    </row>
    <row r="1952" spans="5:8" x14ac:dyDescent="0.25">
      <c r="E1952" t="str">
        <f>""</f>
        <v/>
      </c>
      <c r="F1952" t="str">
        <f>""</f>
        <v/>
      </c>
      <c r="H1952" t="str">
        <f t="shared" si="39"/>
        <v>SOCIAL SECURITY TAXES</v>
      </c>
    </row>
    <row r="1953" spans="5:8" x14ac:dyDescent="0.25">
      <c r="E1953" t="str">
        <f>""</f>
        <v/>
      </c>
      <c r="F1953" t="str">
        <f>""</f>
        <v/>
      </c>
      <c r="H1953" t="str">
        <f t="shared" si="39"/>
        <v>SOCIAL SECURITY TAXES</v>
      </c>
    </row>
    <row r="1954" spans="5:8" x14ac:dyDescent="0.25">
      <c r="E1954" t="str">
        <f>""</f>
        <v/>
      </c>
      <c r="F1954" t="str">
        <f>""</f>
        <v/>
      </c>
      <c r="H1954" t="str">
        <f t="shared" si="39"/>
        <v>SOCIAL SECURITY TAXES</v>
      </c>
    </row>
    <row r="1955" spans="5:8" x14ac:dyDescent="0.25">
      <c r="E1955" t="str">
        <f>""</f>
        <v/>
      </c>
      <c r="F1955" t="str">
        <f>""</f>
        <v/>
      </c>
      <c r="H1955" t="str">
        <f t="shared" si="39"/>
        <v>SOCIAL SECURITY TAXES</v>
      </c>
    </row>
    <row r="1956" spans="5:8" x14ac:dyDescent="0.25">
      <c r="E1956" t="str">
        <f>""</f>
        <v/>
      </c>
      <c r="F1956" t="str">
        <f>""</f>
        <v/>
      </c>
      <c r="H1956" t="str">
        <f t="shared" si="39"/>
        <v>SOCIAL SECURITY TAXES</v>
      </c>
    </row>
    <row r="1957" spans="5:8" x14ac:dyDescent="0.25">
      <c r="E1957" t="str">
        <f>""</f>
        <v/>
      </c>
      <c r="F1957" t="str">
        <f>""</f>
        <v/>
      </c>
      <c r="H1957" t="str">
        <f t="shared" si="39"/>
        <v>SOCIAL SECURITY TAXES</v>
      </c>
    </row>
    <row r="1958" spans="5:8" x14ac:dyDescent="0.25">
      <c r="E1958" t="str">
        <f>""</f>
        <v/>
      </c>
      <c r="F1958" t="str">
        <f>""</f>
        <v/>
      </c>
      <c r="H1958" t="str">
        <f t="shared" si="39"/>
        <v>SOCIAL SECURITY TAXES</v>
      </c>
    </row>
    <row r="1959" spans="5:8" x14ac:dyDescent="0.25">
      <c r="E1959" t="str">
        <f>""</f>
        <v/>
      </c>
      <c r="F1959" t="str">
        <f>""</f>
        <v/>
      </c>
      <c r="H1959" t="str">
        <f t="shared" si="39"/>
        <v>SOCIAL SECURITY TAXES</v>
      </c>
    </row>
    <row r="1960" spans="5:8" x14ac:dyDescent="0.25">
      <c r="E1960" t="str">
        <f>"T3 201902067196"</f>
        <v>T3 201902067196</v>
      </c>
      <c r="F1960" t="str">
        <f>"SOCIAL SECURITY TAXES"</f>
        <v>SOCIAL SECURITY TAXES</v>
      </c>
      <c r="G1960" s="2">
        <v>3973.78</v>
      </c>
      <c r="H1960" t="str">
        <f t="shared" si="39"/>
        <v>SOCIAL SECURITY TAXES</v>
      </c>
    </row>
    <row r="1961" spans="5:8" x14ac:dyDescent="0.25">
      <c r="E1961" t="str">
        <f>""</f>
        <v/>
      </c>
      <c r="F1961" t="str">
        <f>""</f>
        <v/>
      </c>
      <c r="H1961" t="str">
        <f t="shared" si="39"/>
        <v>SOCIAL SECURITY TAXES</v>
      </c>
    </row>
    <row r="1962" spans="5:8" x14ac:dyDescent="0.25">
      <c r="E1962" t="str">
        <f>"T3 201902067198"</f>
        <v>T3 201902067198</v>
      </c>
      <c r="F1962" t="str">
        <f>"SOCIAL SECURITY TAXES"</f>
        <v>SOCIAL SECURITY TAXES</v>
      </c>
      <c r="G1962" s="2">
        <v>5863.66</v>
      </c>
      <c r="H1962" t="str">
        <f t="shared" si="39"/>
        <v>SOCIAL SECURITY TAXES</v>
      </c>
    </row>
    <row r="1963" spans="5:8" x14ac:dyDescent="0.25">
      <c r="E1963" t="str">
        <f>""</f>
        <v/>
      </c>
      <c r="F1963" t="str">
        <f>""</f>
        <v/>
      </c>
      <c r="H1963" t="str">
        <f t="shared" si="39"/>
        <v>SOCIAL SECURITY TAXES</v>
      </c>
    </row>
    <row r="1964" spans="5:8" x14ac:dyDescent="0.25">
      <c r="E1964" t="str">
        <f>"T4 201902067161"</f>
        <v>T4 201902067161</v>
      </c>
      <c r="F1964" t="str">
        <f>"MEDICARE TAXES"</f>
        <v>MEDICARE TAXES</v>
      </c>
      <c r="G1964" s="2">
        <v>24930.04</v>
      </c>
      <c r="H1964" t="str">
        <f t="shared" ref="H1964:H1995" si="40">"MEDICARE TAXES"</f>
        <v>MEDICARE TAXES</v>
      </c>
    </row>
    <row r="1965" spans="5:8" x14ac:dyDescent="0.25">
      <c r="E1965" t="str">
        <f>""</f>
        <v/>
      </c>
      <c r="F1965" t="str">
        <f>""</f>
        <v/>
      </c>
      <c r="H1965" t="str">
        <f t="shared" si="40"/>
        <v>MEDICARE TAXES</v>
      </c>
    </row>
    <row r="1966" spans="5:8" x14ac:dyDescent="0.25">
      <c r="E1966" t="str">
        <f>""</f>
        <v/>
      </c>
      <c r="F1966" t="str">
        <f>""</f>
        <v/>
      </c>
      <c r="H1966" t="str">
        <f t="shared" si="40"/>
        <v>MEDICARE TAXES</v>
      </c>
    </row>
    <row r="1967" spans="5:8" x14ac:dyDescent="0.25">
      <c r="E1967" t="str">
        <f>""</f>
        <v/>
      </c>
      <c r="F1967" t="str">
        <f>""</f>
        <v/>
      </c>
      <c r="H1967" t="str">
        <f t="shared" si="40"/>
        <v>MEDICARE TAXES</v>
      </c>
    </row>
    <row r="1968" spans="5:8" x14ac:dyDescent="0.25">
      <c r="E1968" t="str">
        <f>""</f>
        <v/>
      </c>
      <c r="F1968" t="str">
        <f>""</f>
        <v/>
      </c>
      <c r="H1968" t="str">
        <f t="shared" si="40"/>
        <v>MEDICARE TAXES</v>
      </c>
    </row>
    <row r="1969" spans="5:8" x14ac:dyDescent="0.25">
      <c r="E1969" t="str">
        <f>""</f>
        <v/>
      </c>
      <c r="F1969" t="str">
        <f>""</f>
        <v/>
      </c>
      <c r="H1969" t="str">
        <f t="shared" si="40"/>
        <v>MEDICARE TAXES</v>
      </c>
    </row>
    <row r="1970" spans="5:8" x14ac:dyDescent="0.25">
      <c r="E1970" t="str">
        <f>""</f>
        <v/>
      </c>
      <c r="F1970" t="str">
        <f>""</f>
        <v/>
      </c>
      <c r="H1970" t="str">
        <f t="shared" si="40"/>
        <v>MEDICARE TAXES</v>
      </c>
    </row>
    <row r="1971" spans="5:8" x14ac:dyDescent="0.25">
      <c r="E1971" t="str">
        <f>""</f>
        <v/>
      </c>
      <c r="F1971" t="str">
        <f>""</f>
        <v/>
      </c>
      <c r="H1971" t="str">
        <f t="shared" si="40"/>
        <v>MEDICARE TAXES</v>
      </c>
    </row>
    <row r="1972" spans="5:8" x14ac:dyDescent="0.25">
      <c r="E1972" t="str">
        <f>""</f>
        <v/>
      </c>
      <c r="F1972" t="str">
        <f>""</f>
        <v/>
      </c>
      <c r="H1972" t="str">
        <f t="shared" si="40"/>
        <v>MEDICARE TAXES</v>
      </c>
    </row>
    <row r="1973" spans="5:8" x14ac:dyDescent="0.25">
      <c r="E1973" t="str">
        <f>""</f>
        <v/>
      </c>
      <c r="F1973" t="str">
        <f>""</f>
        <v/>
      </c>
      <c r="H1973" t="str">
        <f t="shared" si="40"/>
        <v>MEDICARE TAXES</v>
      </c>
    </row>
    <row r="1974" spans="5:8" x14ac:dyDescent="0.25">
      <c r="E1974" t="str">
        <f>""</f>
        <v/>
      </c>
      <c r="F1974" t="str">
        <f>""</f>
        <v/>
      </c>
      <c r="H1974" t="str">
        <f t="shared" si="40"/>
        <v>MEDICARE TAXES</v>
      </c>
    </row>
    <row r="1975" spans="5:8" x14ac:dyDescent="0.25">
      <c r="E1975" t="str">
        <f>""</f>
        <v/>
      </c>
      <c r="F1975" t="str">
        <f>""</f>
        <v/>
      </c>
      <c r="H1975" t="str">
        <f t="shared" si="40"/>
        <v>MEDICARE TAXES</v>
      </c>
    </row>
    <row r="1976" spans="5:8" x14ac:dyDescent="0.25">
      <c r="E1976" t="str">
        <f>""</f>
        <v/>
      </c>
      <c r="F1976" t="str">
        <f>""</f>
        <v/>
      </c>
      <c r="H1976" t="str">
        <f t="shared" si="40"/>
        <v>MEDICARE TAXES</v>
      </c>
    </row>
    <row r="1977" spans="5:8" x14ac:dyDescent="0.25">
      <c r="E1977" t="str">
        <f>""</f>
        <v/>
      </c>
      <c r="F1977" t="str">
        <f>""</f>
        <v/>
      </c>
      <c r="H1977" t="str">
        <f t="shared" si="40"/>
        <v>MEDICARE TAXES</v>
      </c>
    </row>
    <row r="1978" spans="5:8" x14ac:dyDescent="0.25">
      <c r="E1978" t="str">
        <f>""</f>
        <v/>
      </c>
      <c r="F1978" t="str">
        <f>""</f>
        <v/>
      </c>
      <c r="H1978" t="str">
        <f t="shared" si="40"/>
        <v>MEDICARE TAXES</v>
      </c>
    </row>
    <row r="1979" spans="5:8" x14ac:dyDescent="0.25">
      <c r="E1979" t="str">
        <f>""</f>
        <v/>
      </c>
      <c r="F1979" t="str">
        <f>""</f>
        <v/>
      </c>
      <c r="H1979" t="str">
        <f t="shared" si="40"/>
        <v>MEDICARE TAXES</v>
      </c>
    </row>
    <row r="1980" spans="5:8" x14ac:dyDescent="0.25">
      <c r="E1980" t="str">
        <f>""</f>
        <v/>
      </c>
      <c r="F1980" t="str">
        <f>""</f>
        <v/>
      </c>
      <c r="H1980" t="str">
        <f t="shared" si="40"/>
        <v>MEDICARE TAXES</v>
      </c>
    </row>
    <row r="1981" spans="5:8" x14ac:dyDescent="0.25">
      <c r="E1981" t="str">
        <f>""</f>
        <v/>
      </c>
      <c r="F1981" t="str">
        <f>""</f>
        <v/>
      </c>
      <c r="H1981" t="str">
        <f t="shared" si="40"/>
        <v>MEDICARE TAXES</v>
      </c>
    </row>
    <row r="1982" spans="5:8" x14ac:dyDescent="0.25">
      <c r="E1982" t="str">
        <f>""</f>
        <v/>
      </c>
      <c r="F1982" t="str">
        <f>""</f>
        <v/>
      </c>
      <c r="H1982" t="str">
        <f t="shared" si="40"/>
        <v>MEDICARE TAXES</v>
      </c>
    </row>
    <row r="1983" spans="5:8" x14ac:dyDescent="0.25">
      <c r="E1983" t="str">
        <f>""</f>
        <v/>
      </c>
      <c r="F1983" t="str">
        <f>""</f>
        <v/>
      </c>
      <c r="H1983" t="str">
        <f t="shared" si="40"/>
        <v>MEDICARE TAXES</v>
      </c>
    </row>
    <row r="1984" spans="5:8" x14ac:dyDescent="0.25">
      <c r="E1984" t="str">
        <f>""</f>
        <v/>
      </c>
      <c r="F1984" t="str">
        <f>""</f>
        <v/>
      </c>
      <c r="H1984" t="str">
        <f t="shared" si="40"/>
        <v>MEDICARE TAXES</v>
      </c>
    </row>
    <row r="1985" spans="5:8" x14ac:dyDescent="0.25">
      <c r="E1985" t="str">
        <f>""</f>
        <v/>
      </c>
      <c r="F1985" t="str">
        <f>""</f>
        <v/>
      </c>
      <c r="H1985" t="str">
        <f t="shared" si="40"/>
        <v>MEDICARE TAXES</v>
      </c>
    </row>
    <row r="1986" spans="5:8" x14ac:dyDescent="0.25">
      <c r="E1986" t="str">
        <f>""</f>
        <v/>
      </c>
      <c r="F1986" t="str">
        <f>""</f>
        <v/>
      </c>
      <c r="H1986" t="str">
        <f t="shared" si="40"/>
        <v>MEDICARE TAXES</v>
      </c>
    </row>
    <row r="1987" spans="5:8" x14ac:dyDescent="0.25">
      <c r="E1987" t="str">
        <f>""</f>
        <v/>
      </c>
      <c r="F1987" t="str">
        <f>""</f>
        <v/>
      </c>
      <c r="H1987" t="str">
        <f t="shared" si="40"/>
        <v>MEDICARE TAXES</v>
      </c>
    </row>
    <row r="1988" spans="5:8" x14ac:dyDescent="0.25">
      <c r="E1988" t="str">
        <f>""</f>
        <v/>
      </c>
      <c r="F1988" t="str">
        <f>""</f>
        <v/>
      </c>
      <c r="H1988" t="str">
        <f t="shared" si="40"/>
        <v>MEDICARE TAXES</v>
      </c>
    </row>
    <row r="1989" spans="5:8" x14ac:dyDescent="0.25">
      <c r="E1989" t="str">
        <f>""</f>
        <v/>
      </c>
      <c r="F1989" t="str">
        <f>""</f>
        <v/>
      </c>
      <c r="H1989" t="str">
        <f t="shared" si="40"/>
        <v>MEDICARE TAXES</v>
      </c>
    </row>
    <row r="1990" spans="5:8" x14ac:dyDescent="0.25">
      <c r="E1990" t="str">
        <f>""</f>
        <v/>
      </c>
      <c r="F1990" t="str">
        <f>""</f>
        <v/>
      </c>
      <c r="H1990" t="str">
        <f t="shared" si="40"/>
        <v>MEDICARE TAXES</v>
      </c>
    </row>
    <row r="1991" spans="5:8" x14ac:dyDescent="0.25">
      <c r="E1991" t="str">
        <f>""</f>
        <v/>
      </c>
      <c r="F1991" t="str">
        <f>""</f>
        <v/>
      </c>
      <c r="H1991" t="str">
        <f t="shared" si="40"/>
        <v>MEDICARE TAXES</v>
      </c>
    </row>
    <row r="1992" spans="5:8" x14ac:dyDescent="0.25">
      <c r="E1992" t="str">
        <f>""</f>
        <v/>
      </c>
      <c r="F1992" t="str">
        <f>""</f>
        <v/>
      </c>
      <c r="H1992" t="str">
        <f t="shared" si="40"/>
        <v>MEDICARE TAXES</v>
      </c>
    </row>
    <row r="1993" spans="5:8" x14ac:dyDescent="0.25">
      <c r="E1993" t="str">
        <f>""</f>
        <v/>
      </c>
      <c r="F1993" t="str">
        <f>""</f>
        <v/>
      </c>
      <c r="H1993" t="str">
        <f t="shared" si="40"/>
        <v>MEDICARE TAXES</v>
      </c>
    </row>
    <row r="1994" spans="5:8" x14ac:dyDescent="0.25">
      <c r="E1994" t="str">
        <f>""</f>
        <v/>
      </c>
      <c r="F1994" t="str">
        <f>""</f>
        <v/>
      </c>
      <c r="H1994" t="str">
        <f t="shared" si="40"/>
        <v>MEDICARE TAXES</v>
      </c>
    </row>
    <row r="1995" spans="5:8" x14ac:dyDescent="0.25">
      <c r="E1995" t="str">
        <f>""</f>
        <v/>
      </c>
      <c r="F1995" t="str">
        <f>""</f>
        <v/>
      </c>
      <c r="H1995" t="str">
        <f t="shared" si="40"/>
        <v>MEDICARE TAXES</v>
      </c>
    </row>
    <row r="1996" spans="5:8" x14ac:dyDescent="0.25">
      <c r="E1996" t="str">
        <f>""</f>
        <v/>
      </c>
      <c r="F1996" t="str">
        <f>""</f>
        <v/>
      </c>
      <c r="H1996" t="str">
        <f t="shared" ref="H1996:H2019" si="41">"MEDICARE TAXES"</f>
        <v>MEDICARE TAXES</v>
      </c>
    </row>
    <row r="1997" spans="5:8" x14ac:dyDescent="0.25">
      <c r="E1997" t="str">
        <f>""</f>
        <v/>
      </c>
      <c r="F1997" t="str">
        <f>""</f>
        <v/>
      </c>
      <c r="H1997" t="str">
        <f t="shared" si="41"/>
        <v>MEDICARE TAXES</v>
      </c>
    </row>
    <row r="1998" spans="5:8" x14ac:dyDescent="0.25">
      <c r="E1998" t="str">
        <f>""</f>
        <v/>
      </c>
      <c r="F1998" t="str">
        <f>""</f>
        <v/>
      </c>
      <c r="H1998" t="str">
        <f t="shared" si="41"/>
        <v>MEDICARE TAXES</v>
      </c>
    </row>
    <row r="1999" spans="5:8" x14ac:dyDescent="0.25">
      <c r="E1999" t="str">
        <f>""</f>
        <v/>
      </c>
      <c r="F1999" t="str">
        <f>""</f>
        <v/>
      </c>
      <c r="H1999" t="str">
        <f t="shared" si="41"/>
        <v>MEDICARE TAXES</v>
      </c>
    </row>
    <row r="2000" spans="5:8" x14ac:dyDescent="0.25">
      <c r="E2000" t="str">
        <f>""</f>
        <v/>
      </c>
      <c r="F2000" t="str">
        <f>""</f>
        <v/>
      </c>
      <c r="H2000" t="str">
        <f t="shared" si="41"/>
        <v>MEDICARE TAXES</v>
      </c>
    </row>
    <row r="2001" spans="5:8" x14ac:dyDescent="0.25">
      <c r="E2001" t="str">
        <f>""</f>
        <v/>
      </c>
      <c r="F2001" t="str">
        <f>""</f>
        <v/>
      </c>
      <c r="H2001" t="str">
        <f t="shared" si="41"/>
        <v>MEDICARE TAXES</v>
      </c>
    </row>
    <row r="2002" spans="5:8" x14ac:dyDescent="0.25">
      <c r="E2002" t="str">
        <f>""</f>
        <v/>
      </c>
      <c r="F2002" t="str">
        <f>""</f>
        <v/>
      </c>
      <c r="H2002" t="str">
        <f t="shared" si="41"/>
        <v>MEDICARE TAXES</v>
      </c>
    </row>
    <row r="2003" spans="5:8" x14ac:dyDescent="0.25">
      <c r="E2003" t="str">
        <f>""</f>
        <v/>
      </c>
      <c r="F2003" t="str">
        <f>""</f>
        <v/>
      </c>
      <c r="H2003" t="str">
        <f t="shared" si="41"/>
        <v>MEDICARE TAXES</v>
      </c>
    </row>
    <row r="2004" spans="5:8" x14ac:dyDescent="0.25">
      <c r="E2004" t="str">
        <f>""</f>
        <v/>
      </c>
      <c r="F2004" t="str">
        <f>""</f>
        <v/>
      </c>
      <c r="H2004" t="str">
        <f t="shared" si="41"/>
        <v>MEDICARE TAXES</v>
      </c>
    </row>
    <row r="2005" spans="5:8" x14ac:dyDescent="0.25">
      <c r="E2005" t="str">
        <f>""</f>
        <v/>
      </c>
      <c r="F2005" t="str">
        <f>""</f>
        <v/>
      </c>
      <c r="H2005" t="str">
        <f t="shared" si="41"/>
        <v>MEDICARE TAXES</v>
      </c>
    </row>
    <row r="2006" spans="5:8" x14ac:dyDescent="0.25">
      <c r="E2006" t="str">
        <f>""</f>
        <v/>
      </c>
      <c r="F2006" t="str">
        <f>""</f>
        <v/>
      </c>
      <c r="H2006" t="str">
        <f t="shared" si="41"/>
        <v>MEDICARE TAXES</v>
      </c>
    </row>
    <row r="2007" spans="5:8" x14ac:dyDescent="0.25">
      <c r="E2007" t="str">
        <f>""</f>
        <v/>
      </c>
      <c r="F2007" t="str">
        <f>""</f>
        <v/>
      </c>
      <c r="H2007" t="str">
        <f t="shared" si="41"/>
        <v>MEDICARE TAXES</v>
      </c>
    </row>
    <row r="2008" spans="5:8" x14ac:dyDescent="0.25">
      <c r="E2008" t="str">
        <f>""</f>
        <v/>
      </c>
      <c r="F2008" t="str">
        <f>""</f>
        <v/>
      </c>
      <c r="H2008" t="str">
        <f t="shared" si="41"/>
        <v>MEDICARE TAXES</v>
      </c>
    </row>
    <row r="2009" spans="5:8" x14ac:dyDescent="0.25">
      <c r="E2009" t="str">
        <f>""</f>
        <v/>
      </c>
      <c r="F2009" t="str">
        <f>""</f>
        <v/>
      </c>
      <c r="H2009" t="str">
        <f t="shared" si="41"/>
        <v>MEDICARE TAXES</v>
      </c>
    </row>
    <row r="2010" spans="5:8" x14ac:dyDescent="0.25">
      <c r="E2010" t="str">
        <f>""</f>
        <v/>
      </c>
      <c r="F2010" t="str">
        <f>""</f>
        <v/>
      </c>
      <c r="H2010" t="str">
        <f t="shared" si="41"/>
        <v>MEDICARE TAXES</v>
      </c>
    </row>
    <row r="2011" spans="5:8" x14ac:dyDescent="0.25">
      <c r="E2011" t="str">
        <f>""</f>
        <v/>
      </c>
      <c r="F2011" t="str">
        <f>""</f>
        <v/>
      </c>
      <c r="H2011" t="str">
        <f t="shared" si="41"/>
        <v>MEDICARE TAXES</v>
      </c>
    </row>
    <row r="2012" spans="5:8" x14ac:dyDescent="0.25">
      <c r="E2012" t="str">
        <f>""</f>
        <v/>
      </c>
      <c r="F2012" t="str">
        <f>""</f>
        <v/>
      </c>
      <c r="H2012" t="str">
        <f t="shared" si="41"/>
        <v>MEDICARE TAXES</v>
      </c>
    </row>
    <row r="2013" spans="5:8" x14ac:dyDescent="0.25">
      <c r="E2013" t="str">
        <f>""</f>
        <v/>
      </c>
      <c r="F2013" t="str">
        <f>""</f>
        <v/>
      </c>
      <c r="H2013" t="str">
        <f t="shared" si="41"/>
        <v>MEDICARE TAXES</v>
      </c>
    </row>
    <row r="2014" spans="5:8" x14ac:dyDescent="0.25">
      <c r="E2014" t="str">
        <f>""</f>
        <v/>
      </c>
      <c r="F2014" t="str">
        <f>""</f>
        <v/>
      </c>
      <c r="H2014" t="str">
        <f t="shared" si="41"/>
        <v>MEDICARE TAXES</v>
      </c>
    </row>
    <row r="2015" spans="5:8" x14ac:dyDescent="0.25">
      <c r="E2015" t="str">
        <f>""</f>
        <v/>
      </c>
      <c r="F2015" t="str">
        <f>""</f>
        <v/>
      </c>
      <c r="H2015" t="str">
        <f t="shared" si="41"/>
        <v>MEDICARE TAXES</v>
      </c>
    </row>
    <row r="2016" spans="5:8" x14ac:dyDescent="0.25">
      <c r="E2016" t="str">
        <f>"T4 201902067196"</f>
        <v>T4 201902067196</v>
      </c>
      <c r="F2016" t="str">
        <f>"MEDICARE TAXES"</f>
        <v>MEDICARE TAXES</v>
      </c>
      <c r="G2016" s="2">
        <v>929.38</v>
      </c>
      <c r="H2016" t="str">
        <f t="shared" si="41"/>
        <v>MEDICARE TAXES</v>
      </c>
    </row>
    <row r="2017" spans="1:8" x14ac:dyDescent="0.25">
      <c r="E2017" t="str">
        <f>""</f>
        <v/>
      </c>
      <c r="F2017" t="str">
        <f>""</f>
        <v/>
      </c>
      <c r="H2017" t="str">
        <f t="shared" si="41"/>
        <v>MEDICARE TAXES</v>
      </c>
    </row>
    <row r="2018" spans="1:8" x14ac:dyDescent="0.25">
      <c r="E2018" t="str">
        <f>"T4 201902067198"</f>
        <v>T4 201902067198</v>
      </c>
      <c r="F2018" t="str">
        <f>"MEDICARE TAXES"</f>
        <v>MEDICARE TAXES</v>
      </c>
      <c r="G2018" s="2">
        <v>1371.36</v>
      </c>
      <c r="H2018" t="str">
        <f t="shared" si="41"/>
        <v>MEDICARE TAXES</v>
      </c>
    </row>
    <row r="2019" spans="1:8" x14ac:dyDescent="0.25">
      <c r="E2019" t="str">
        <f>""</f>
        <v/>
      </c>
      <c r="F2019" t="str">
        <f>""</f>
        <v/>
      </c>
      <c r="H2019" t="str">
        <f t="shared" si="41"/>
        <v>MEDICARE TAXES</v>
      </c>
    </row>
    <row r="2020" spans="1:8" x14ac:dyDescent="0.25">
      <c r="A2020" t="s">
        <v>451</v>
      </c>
      <c r="B2020">
        <v>66</v>
      </c>
      <c r="C2020" s="2">
        <v>217424.35</v>
      </c>
      <c r="D2020" s="1">
        <v>43518</v>
      </c>
      <c r="E2020" t="str">
        <f>"T1 201902277538"</f>
        <v>T1 201902277538</v>
      </c>
      <c r="F2020" t="str">
        <f>"FEDERAL WITHHOLDING"</f>
        <v>FEDERAL WITHHOLDING</v>
      </c>
      <c r="G2020" s="2">
        <v>2805.05</v>
      </c>
      <c r="H2020" t="str">
        <f>"FEDERAL WITHHOLDING"</f>
        <v>FEDERAL WITHHOLDING</v>
      </c>
    </row>
    <row r="2021" spans="1:8" x14ac:dyDescent="0.25">
      <c r="E2021" t="str">
        <f>"T1 201902277540"</f>
        <v>T1 201902277540</v>
      </c>
      <c r="F2021" t="str">
        <f>"FEDERAL WITHHOLDING"</f>
        <v>FEDERAL WITHHOLDING</v>
      </c>
      <c r="G2021" s="2">
        <v>2894.92</v>
      </c>
      <c r="H2021" t="str">
        <f>"FEDERAL WITHHOLDING"</f>
        <v>FEDERAL WITHHOLDING</v>
      </c>
    </row>
    <row r="2022" spans="1:8" x14ac:dyDescent="0.25">
      <c r="E2022" t="str">
        <f>"T1 201902277541"</f>
        <v>T1 201902277541</v>
      </c>
      <c r="F2022" t="str">
        <f>"FEDERAL WITHHOLDING"</f>
        <v>FEDERAL WITHHOLDING</v>
      </c>
      <c r="G2022" s="2">
        <v>71278.34</v>
      </c>
      <c r="H2022" t="str">
        <f>"FEDERAL WITHHOLDING"</f>
        <v>FEDERAL WITHHOLDING</v>
      </c>
    </row>
    <row r="2023" spans="1:8" x14ac:dyDescent="0.25">
      <c r="E2023" t="str">
        <f>"T3 201902277538"</f>
        <v>T3 201902277538</v>
      </c>
      <c r="F2023" t="str">
        <f>"SOCIAL SECURITY TAXES"</f>
        <v>SOCIAL SECURITY TAXES</v>
      </c>
      <c r="G2023" s="2">
        <v>3950.46</v>
      </c>
      <c r="H2023" t="str">
        <f t="shared" ref="H2023:H2054" si="42">"SOCIAL SECURITY TAXES"</f>
        <v>SOCIAL SECURITY TAXES</v>
      </c>
    </row>
    <row r="2024" spans="1:8" x14ac:dyDescent="0.25">
      <c r="E2024" t="str">
        <f>""</f>
        <v/>
      </c>
      <c r="F2024" t="str">
        <f>""</f>
        <v/>
      </c>
      <c r="H2024" t="str">
        <f t="shared" si="42"/>
        <v>SOCIAL SECURITY TAXES</v>
      </c>
    </row>
    <row r="2025" spans="1:8" x14ac:dyDescent="0.25">
      <c r="E2025" t="str">
        <f>"T3 201902277540"</f>
        <v>T3 201902277540</v>
      </c>
      <c r="F2025" t="str">
        <f>"SOCIAL SECURITY TAXES"</f>
        <v>SOCIAL SECURITY TAXES</v>
      </c>
      <c r="G2025" s="2">
        <v>4396.18</v>
      </c>
      <c r="H2025" t="str">
        <f t="shared" si="42"/>
        <v>SOCIAL SECURITY TAXES</v>
      </c>
    </row>
    <row r="2026" spans="1:8" x14ac:dyDescent="0.25">
      <c r="E2026" t="str">
        <f>""</f>
        <v/>
      </c>
      <c r="F2026" t="str">
        <f>""</f>
        <v/>
      </c>
      <c r="H2026" t="str">
        <f t="shared" si="42"/>
        <v>SOCIAL SECURITY TAXES</v>
      </c>
    </row>
    <row r="2027" spans="1:8" x14ac:dyDescent="0.25">
      <c r="E2027" t="str">
        <f>"T3 201902277541"</f>
        <v>T3 201902277541</v>
      </c>
      <c r="F2027" t="str">
        <f>"SOCIAL SECURITY TAXES"</f>
        <v>SOCIAL SECURITY TAXES</v>
      </c>
      <c r="G2027" s="2">
        <v>105478.96</v>
      </c>
      <c r="H2027" t="str">
        <f t="shared" si="42"/>
        <v>SOCIAL SECURITY TAXES</v>
      </c>
    </row>
    <row r="2028" spans="1:8" x14ac:dyDescent="0.25">
      <c r="E2028" t="str">
        <f>""</f>
        <v/>
      </c>
      <c r="F2028" t="str">
        <f>""</f>
        <v/>
      </c>
      <c r="H2028" t="str">
        <f t="shared" si="42"/>
        <v>SOCIAL SECURITY TAXES</v>
      </c>
    </row>
    <row r="2029" spans="1:8" x14ac:dyDescent="0.25">
      <c r="E2029" t="str">
        <f>""</f>
        <v/>
      </c>
      <c r="F2029" t="str">
        <f>""</f>
        <v/>
      </c>
      <c r="H2029" t="str">
        <f t="shared" si="42"/>
        <v>SOCIAL SECURITY TAXES</v>
      </c>
    </row>
    <row r="2030" spans="1:8" x14ac:dyDescent="0.25">
      <c r="E2030" t="str">
        <f>""</f>
        <v/>
      </c>
      <c r="F2030" t="str">
        <f>""</f>
        <v/>
      </c>
      <c r="H2030" t="str">
        <f t="shared" si="42"/>
        <v>SOCIAL SECURITY TAXES</v>
      </c>
    </row>
    <row r="2031" spans="1:8" x14ac:dyDescent="0.25">
      <c r="E2031" t="str">
        <f>""</f>
        <v/>
      </c>
      <c r="F2031" t="str">
        <f>""</f>
        <v/>
      </c>
      <c r="H2031" t="str">
        <f t="shared" si="42"/>
        <v>SOCIAL SECURITY TAXES</v>
      </c>
    </row>
    <row r="2032" spans="1:8" x14ac:dyDescent="0.25">
      <c r="E2032" t="str">
        <f>""</f>
        <v/>
      </c>
      <c r="F2032" t="str">
        <f>""</f>
        <v/>
      </c>
      <c r="H2032" t="str">
        <f t="shared" si="42"/>
        <v>SOCIAL SECURITY TAXES</v>
      </c>
    </row>
    <row r="2033" spans="5:8" x14ac:dyDescent="0.25">
      <c r="E2033" t="str">
        <f>""</f>
        <v/>
      </c>
      <c r="F2033" t="str">
        <f>""</f>
        <v/>
      </c>
      <c r="H2033" t="str">
        <f t="shared" si="42"/>
        <v>SOCIAL SECURITY TAXES</v>
      </c>
    </row>
    <row r="2034" spans="5:8" x14ac:dyDescent="0.25">
      <c r="E2034" t="str">
        <f>""</f>
        <v/>
      </c>
      <c r="F2034" t="str">
        <f>""</f>
        <v/>
      </c>
      <c r="H2034" t="str">
        <f t="shared" si="42"/>
        <v>SOCIAL SECURITY TAXES</v>
      </c>
    </row>
    <row r="2035" spans="5:8" x14ac:dyDescent="0.25">
      <c r="E2035" t="str">
        <f>""</f>
        <v/>
      </c>
      <c r="F2035" t="str">
        <f>""</f>
        <v/>
      </c>
      <c r="H2035" t="str">
        <f t="shared" si="42"/>
        <v>SOCIAL SECURITY TAXES</v>
      </c>
    </row>
    <row r="2036" spans="5:8" x14ac:dyDescent="0.25">
      <c r="E2036" t="str">
        <f>""</f>
        <v/>
      </c>
      <c r="F2036" t="str">
        <f>""</f>
        <v/>
      </c>
      <c r="H2036" t="str">
        <f t="shared" si="42"/>
        <v>SOCIAL SECURITY TAXES</v>
      </c>
    </row>
    <row r="2037" spans="5:8" x14ac:dyDescent="0.25">
      <c r="E2037" t="str">
        <f>""</f>
        <v/>
      </c>
      <c r="F2037" t="str">
        <f>""</f>
        <v/>
      </c>
      <c r="H2037" t="str">
        <f t="shared" si="42"/>
        <v>SOCIAL SECURITY TAXES</v>
      </c>
    </row>
    <row r="2038" spans="5:8" x14ac:dyDescent="0.25">
      <c r="E2038" t="str">
        <f>""</f>
        <v/>
      </c>
      <c r="F2038" t="str">
        <f>""</f>
        <v/>
      </c>
      <c r="H2038" t="str">
        <f t="shared" si="42"/>
        <v>SOCIAL SECURITY TAXES</v>
      </c>
    </row>
    <row r="2039" spans="5:8" x14ac:dyDescent="0.25">
      <c r="E2039" t="str">
        <f>""</f>
        <v/>
      </c>
      <c r="F2039" t="str">
        <f>""</f>
        <v/>
      </c>
      <c r="H2039" t="str">
        <f t="shared" si="42"/>
        <v>SOCIAL SECURITY TAXES</v>
      </c>
    </row>
    <row r="2040" spans="5:8" x14ac:dyDescent="0.25">
      <c r="E2040" t="str">
        <f>""</f>
        <v/>
      </c>
      <c r="F2040" t="str">
        <f>""</f>
        <v/>
      </c>
      <c r="H2040" t="str">
        <f t="shared" si="42"/>
        <v>SOCIAL SECURITY TAXES</v>
      </c>
    </row>
    <row r="2041" spans="5:8" x14ac:dyDescent="0.25">
      <c r="E2041" t="str">
        <f>""</f>
        <v/>
      </c>
      <c r="F2041" t="str">
        <f>""</f>
        <v/>
      </c>
      <c r="H2041" t="str">
        <f t="shared" si="42"/>
        <v>SOCIAL SECURITY TAXES</v>
      </c>
    </row>
    <row r="2042" spans="5:8" x14ac:dyDescent="0.25">
      <c r="E2042" t="str">
        <f>""</f>
        <v/>
      </c>
      <c r="F2042" t="str">
        <f>""</f>
        <v/>
      </c>
      <c r="H2042" t="str">
        <f t="shared" si="42"/>
        <v>SOCIAL SECURITY TAXES</v>
      </c>
    </row>
    <row r="2043" spans="5:8" x14ac:dyDescent="0.25">
      <c r="E2043" t="str">
        <f>""</f>
        <v/>
      </c>
      <c r="F2043" t="str">
        <f>""</f>
        <v/>
      </c>
      <c r="H2043" t="str">
        <f t="shared" si="42"/>
        <v>SOCIAL SECURITY TAXES</v>
      </c>
    </row>
    <row r="2044" spans="5:8" x14ac:dyDescent="0.25">
      <c r="E2044" t="str">
        <f>""</f>
        <v/>
      </c>
      <c r="F2044" t="str">
        <f>""</f>
        <v/>
      </c>
      <c r="H2044" t="str">
        <f t="shared" si="42"/>
        <v>SOCIAL SECURITY TAXES</v>
      </c>
    </row>
    <row r="2045" spans="5:8" x14ac:dyDescent="0.25">
      <c r="E2045" t="str">
        <f>""</f>
        <v/>
      </c>
      <c r="F2045" t="str">
        <f>""</f>
        <v/>
      </c>
      <c r="H2045" t="str">
        <f t="shared" si="42"/>
        <v>SOCIAL SECURITY TAXES</v>
      </c>
    </row>
    <row r="2046" spans="5:8" x14ac:dyDescent="0.25">
      <c r="E2046" t="str">
        <f>""</f>
        <v/>
      </c>
      <c r="F2046" t="str">
        <f>""</f>
        <v/>
      </c>
      <c r="H2046" t="str">
        <f t="shared" si="42"/>
        <v>SOCIAL SECURITY TAXES</v>
      </c>
    </row>
    <row r="2047" spans="5:8" x14ac:dyDescent="0.25">
      <c r="E2047" t="str">
        <f>""</f>
        <v/>
      </c>
      <c r="F2047" t="str">
        <f>""</f>
        <v/>
      </c>
      <c r="H2047" t="str">
        <f t="shared" si="42"/>
        <v>SOCIAL SECURITY TAXES</v>
      </c>
    </row>
    <row r="2048" spans="5:8" x14ac:dyDescent="0.25">
      <c r="E2048" t="str">
        <f>""</f>
        <v/>
      </c>
      <c r="F2048" t="str">
        <f>""</f>
        <v/>
      </c>
      <c r="H2048" t="str">
        <f t="shared" si="42"/>
        <v>SOCIAL SECURITY TAXES</v>
      </c>
    </row>
    <row r="2049" spans="5:8" x14ac:dyDescent="0.25">
      <c r="E2049" t="str">
        <f>""</f>
        <v/>
      </c>
      <c r="F2049" t="str">
        <f>""</f>
        <v/>
      </c>
      <c r="H2049" t="str">
        <f t="shared" si="42"/>
        <v>SOCIAL SECURITY TAXES</v>
      </c>
    </row>
    <row r="2050" spans="5:8" x14ac:dyDescent="0.25">
      <c r="E2050" t="str">
        <f>""</f>
        <v/>
      </c>
      <c r="F2050" t="str">
        <f>""</f>
        <v/>
      </c>
      <c r="H2050" t="str">
        <f t="shared" si="42"/>
        <v>SOCIAL SECURITY TAXES</v>
      </c>
    </row>
    <row r="2051" spans="5:8" x14ac:dyDescent="0.25">
      <c r="E2051" t="str">
        <f>""</f>
        <v/>
      </c>
      <c r="F2051" t="str">
        <f>""</f>
        <v/>
      </c>
      <c r="H2051" t="str">
        <f t="shared" si="42"/>
        <v>SOCIAL SECURITY TAXES</v>
      </c>
    </row>
    <row r="2052" spans="5:8" x14ac:dyDescent="0.25">
      <c r="E2052" t="str">
        <f>""</f>
        <v/>
      </c>
      <c r="F2052" t="str">
        <f>""</f>
        <v/>
      </c>
      <c r="H2052" t="str">
        <f t="shared" si="42"/>
        <v>SOCIAL SECURITY TAXES</v>
      </c>
    </row>
    <row r="2053" spans="5:8" x14ac:dyDescent="0.25">
      <c r="E2053" t="str">
        <f>""</f>
        <v/>
      </c>
      <c r="F2053" t="str">
        <f>""</f>
        <v/>
      </c>
      <c r="H2053" t="str">
        <f t="shared" si="42"/>
        <v>SOCIAL SECURITY TAXES</v>
      </c>
    </row>
    <row r="2054" spans="5:8" x14ac:dyDescent="0.25">
      <c r="E2054" t="str">
        <f>""</f>
        <v/>
      </c>
      <c r="F2054" t="str">
        <f>""</f>
        <v/>
      </c>
      <c r="H2054" t="str">
        <f t="shared" si="42"/>
        <v>SOCIAL SECURITY TAXES</v>
      </c>
    </row>
    <row r="2055" spans="5:8" x14ac:dyDescent="0.25">
      <c r="E2055" t="str">
        <f>""</f>
        <v/>
      </c>
      <c r="F2055" t="str">
        <f>""</f>
        <v/>
      </c>
      <c r="H2055" t="str">
        <f t="shared" ref="H2055:H2078" si="43">"SOCIAL SECURITY TAXES"</f>
        <v>SOCIAL SECURITY TAXES</v>
      </c>
    </row>
    <row r="2056" spans="5:8" x14ac:dyDescent="0.25">
      <c r="E2056" t="str">
        <f>""</f>
        <v/>
      </c>
      <c r="F2056" t="str">
        <f>""</f>
        <v/>
      </c>
      <c r="H2056" t="str">
        <f t="shared" si="43"/>
        <v>SOCIAL SECURITY TAXES</v>
      </c>
    </row>
    <row r="2057" spans="5:8" x14ac:dyDescent="0.25">
      <c r="E2057" t="str">
        <f>""</f>
        <v/>
      </c>
      <c r="F2057" t="str">
        <f>""</f>
        <v/>
      </c>
      <c r="H2057" t="str">
        <f t="shared" si="43"/>
        <v>SOCIAL SECURITY TAXES</v>
      </c>
    </row>
    <row r="2058" spans="5:8" x14ac:dyDescent="0.25">
      <c r="E2058" t="str">
        <f>""</f>
        <v/>
      </c>
      <c r="F2058" t="str">
        <f>""</f>
        <v/>
      </c>
      <c r="H2058" t="str">
        <f t="shared" si="43"/>
        <v>SOCIAL SECURITY TAXES</v>
      </c>
    </row>
    <row r="2059" spans="5:8" x14ac:dyDescent="0.25">
      <c r="E2059" t="str">
        <f>""</f>
        <v/>
      </c>
      <c r="F2059" t="str">
        <f>""</f>
        <v/>
      </c>
      <c r="H2059" t="str">
        <f t="shared" si="43"/>
        <v>SOCIAL SECURITY TAXES</v>
      </c>
    </row>
    <row r="2060" spans="5:8" x14ac:dyDescent="0.25">
      <c r="E2060" t="str">
        <f>""</f>
        <v/>
      </c>
      <c r="F2060" t="str">
        <f>""</f>
        <v/>
      </c>
      <c r="H2060" t="str">
        <f t="shared" si="43"/>
        <v>SOCIAL SECURITY TAXES</v>
      </c>
    </row>
    <row r="2061" spans="5:8" x14ac:dyDescent="0.25">
      <c r="E2061" t="str">
        <f>""</f>
        <v/>
      </c>
      <c r="F2061" t="str">
        <f>""</f>
        <v/>
      </c>
      <c r="H2061" t="str">
        <f t="shared" si="43"/>
        <v>SOCIAL SECURITY TAXES</v>
      </c>
    </row>
    <row r="2062" spans="5:8" x14ac:dyDescent="0.25">
      <c r="E2062" t="str">
        <f>""</f>
        <v/>
      </c>
      <c r="F2062" t="str">
        <f>""</f>
        <v/>
      </c>
      <c r="H2062" t="str">
        <f t="shared" si="43"/>
        <v>SOCIAL SECURITY TAXES</v>
      </c>
    </row>
    <row r="2063" spans="5:8" x14ac:dyDescent="0.25">
      <c r="E2063" t="str">
        <f>""</f>
        <v/>
      </c>
      <c r="F2063" t="str">
        <f>""</f>
        <v/>
      </c>
      <c r="H2063" t="str">
        <f t="shared" si="43"/>
        <v>SOCIAL SECURITY TAXES</v>
      </c>
    </row>
    <row r="2064" spans="5:8" x14ac:dyDescent="0.25">
      <c r="E2064" t="str">
        <f>""</f>
        <v/>
      </c>
      <c r="F2064" t="str">
        <f>""</f>
        <v/>
      </c>
      <c r="H2064" t="str">
        <f t="shared" si="43"/>
        <v>SOCIAL SECURITY TAXES</v>
      </c>
    </row>
    <row r="2065" spans="5:8" x14ac:dyDescent="0.25">
      <c r="E2065" t="str">
        <f>""</f>
        <v/>
      </c>
      <c r="F2065" t="str">
        <f>""</f>
        <v/>
      </c>
      <c r="H2065" t="str">
        <f t="shared" si="43"/>
        <v>SOCIAL SECURITY TAXES</v>
      </c>
    </row>
    <row r="2066" spans="5:8" x14ac:dyDescent="0.25">
      <c r="E2066" t="str">
        <f>""</f>
        <v/>
      </c>
      <c r="F2066" t="str">
        <f>""</f>
        <v/>
      </c>
      <c r="H2066" t="str">
        <f t="shared" si="43"/>
        <v>SOCIAL SECURITY TAXES</v>
      </c>
    </row>
    <row r="2067" spans="5:8" x14ac:dyDescent="0.25">
      <c r="E2067" t="str">
        <f>""</f>
        <v/>
      </c>
      <c r="F2067" t="str">
        <f>""</f>
        <v/>
      </c>
      <c r="H2067" t="str">
        <f t="shared" si="43"/>
        <v>SOCIAL SECURITY TAXES</v>
      </c>
    </row>
    <row r="2068" spans="5:8" x14ac:dyDescent="0.25">
      <c r="E2068" t="str">
        <f>""</f>
        <v/>
      </c>
      <c r="F2068" t="str">
        <f>""</f>
        <v/>
      </c>
      <c r="H2068" t="str">
        <f t="shared" si="43"/>
        <v>SOCIAL SECURITY TAXES</v>
      </c>
    </row>
    <row r="2069" spans="5:8" x14ac:dyDescent="0.25">
      <c r="E2069" t="str">
        <f>""</f>
        <v/>
      </c>
      <c r="F2069" t="str">
        <f>""</f>
        <v/>
      </c>
      <c r="H2069" t="str">
        <f t="shared" si="43"/>
        <v>SOCIAL SECURITY TAXES</v>
      </c>
    </row>
    <row r="2070" spans="5:8" x14ac:dyDescent="0.25">
      <c r="E2070" t="str">
        <f>""</f>
        <v/>
      </c>
      <c r="F2070" t="str">
        <f>""</f>
        <v/>
      </c>
      <c r="H2070" t="str">
        <f t="shared" si="43"/>
        <v>SOCIAL SECURITY TAXES</v>
      </c>
    </row>
    <row r="2071" spans="5:8" x14ac:dyDescent="0.25">
      <c r="E2071" t="str">
        <f>""</f>
        <v/>
      </c>
      <c r="F2071" t="str">
        <f>""</f>
        <v/>
      </c>
      <c r="H2071" t="str">
        <f t="shared" si="43"/>
        <v>SOCIAL SECURITY TAXES</v>
      </c>
    </row>
    <row r="2072" spans="5:8" x14ac:dyDescent="0.25">
      <c r="E2072" t="str">
        <f>""</f>
        <v/>
      </c>
      <c r="F2072" t="str">
        <f>""</f>
        <v/>
      </c>
      <c r="H2072" t="str">
        <f t="shared" si="43"/>
        <v>SOCIAL SECURITY TAXES</v>
      </c>
    </row>
    <row r="2073" spans="5:8" x14ac:dyDescent="0.25">
      <c r="E2073" t="str">
        <f>""</f>
        <v/>
      </c>
      <c r="F2073" t="str">
        <f>""</f>
        <v/>
      </c>
      <c r="H2073" t="str">
        <f t="shared" si="43"/>
        <v>SOCIAL SECURITY TAXES</v>
      </c>
    </row>
    <row r="2074" spans="5:8" x14ac:dyDescent="0.25">
      <c r="E2074" t="str">
        <f>""</f>
        <v/>
      </c>
      <c r="F2074" t="str">
        <f>""</f>
        <v/>
      </c>
      <c r="H2074" t="str">
        <f t="shared" si="43"/>
        <v>SOCIAL SECURITY TAXES</v>
      </c>
    </row>
    <row r="2075" spans="5:8" x14ac:dyDescent="0.25">
      <c r="E2075" t="str">
        <f>""</f>
        <v/>
      </c>
      <c r="F2075" t="str">
        <f>""</f>
        <v/>
      </c>
      <c r="H2075" t="str">
        <f t="shared" si="43"/>
        <v>SOCIAL SECURITY TAXES</v>
      </c>
    </row>
    <row r="2076" spans="5:8" x14ac:dyDescent="0.25">
      <c r="E2076" t="str">
        <f>""</f>
        <v/>
      </c>
      <c r="F2076" t="str">
        <f>""</f>
        <v/>
      </c>
      <c r="H2076" t="str">
        <f t="shared" si="43"/>
        <v>SOCIAL SECURITY TAXES</v>
      </c>
    </row>
    <row r="2077" spans="5:8" x14ac:dyDescent="0.25">
      <c r="E2077" t="str">
        <f>""</f>
        <v/>
      </c>
      <c r="F2077" t="str">
        <f>""</f>
        <v/>
      </c>
      <c r="H2077" t="str">
        <f t="shared" si="43"/>
        <v>SOCIAL SECURITY TAXES</v>
      </c>
    </row>
    <row r="2078" spans="5:8" x14ac:dyDescent="0.25">
      <c r="E2078" t="str">
        <f>""</f>
        <v/>
      </c>
      <c r="F2078" t="str">
        <f>""</f>
        <v/>
      </c>
      <c r="H2078" t="str">
        <f t="shared" si="43"/>
        <v>SOCIAL SECURITY TAXES</v>
      </c>
    </row>
    <row r="2079" spans="5:8" x14ac:dyDescent="0.25">
      <c r="E2079" t="str">
        <f>"T4 201902277538"</f>
        <v>T4 201902277538</v>
      </c>
      <c r="F2079" t="str">
        <f>"MEDICARE TAXES"</f>
        <v>MEDICARE TAXES</v>
      </c>
      <c r="G2079" s="2">
        <v>923.92</v>
      </c>
      <c r="H2079" t="str">
        <f t="shared" ref="H2079:H2110" si="44">"MEDICARE TAXES"</f>
        <v>MEDICARE TAXES</v>
      </c>
    </row>
    <row r="2080" spans="5:8" x14ac:dyDescent="0.25">
      <c r="E2080" t="str">
        <f>""</f>
        <v/>
      </c>
      <c r="F2080" t="str">
        <f>""</f>
        <v/>
      </c>
      <c r="H2080" t="str">
        <f t="shared" si="44"/>
        <v>MEDICARE TAXES</v>
      </c>
    </row>
    <row r="2081" spans="5:8" x14ac:dyDescent="0.25">
      <c r="E2081" t="str">
        <f>"T4 201902277540"</f>
        <v>T4 201902277540</v>
      </c>
      <c r="F2081" t="str">
        <f>"MEDICARE TAXES"</f>
        <v>MEDICARE TAXES</v>
      </c>
      <c r="G2081" s="2">
        <v>1028.1400000000001</v>
      </c>
      <c r="H2081" t="str">
        <f t="shared" si="44"/>
        <v>MEDICARE TAXES</v>
      </c>
    </row>
    <row r="2082" spans="5:8" x14ac:dyDescent="0.25">
      <c r="E2082" t="str">
        <f>""</f>
        <v/>
      </c>
      <c r="F2082" t="str">
        <f>""</f>
        <v/>
      </c>
      <c r="H2082" t="str">
        <f t="shared" si="44"/>
        <v>MEDICARE TAXES</v>
      </c>
    </row>
    <row r="2083" spans="5:8" x14ac:dyDescent="0.25">
      <c r="E2083" t="str">
        <f>"T4 201902277541"</f>
        <v>T4 201902277541</v>
      </c>
      <c r="F2083" t="str">
        <f>"MEDICARE TAXES"</f>
        <v>MEDICARE TAXES</v>
      </c>
      <c r="G2083" s="2">
        <v>24668.38</v>
      </c>
      <c r="H2083" t="str">
        <f t="shared" si="44"/>
        <v>MEDICARE TAXES</v>
      </c>
    </row>
    <row r="2084" spans="5:8" x14ac:dyDescent="0.25">
      <c r="E2084" t="str">
        <f>""</f>
        <v/>
      </c>
      <c r="F2084" t="str">
        <f>""</f>
        <v/>
      </c>
      <c r="H2084" t="str">
        <f t="shared" si="44"/>
        <v>MEDICARE TAXES</v>
      </c>
    </row>
    <row r="2085" spans="5:8" x14ac:dyDescent="0.25">
      <c r="E2085" t="str">
        <f>""</f>
        <v/>
      </c>
      <c r="F2085" t="str">
        <f>""</f>
        <v/>
      </c>
      <c r="H2085" t="str">
        <f t="shared" si="44"/>
        <v>MEDICARE TAXES</v>
      </c>
    </row>
    <row r="2086" spans="5:8" x14ac:dyDescent="0.25">
      <c r="E2086" t="str">
        <f>""</f>
        <v/>
      </c>
      <c r="F2086" t="str">
        <f>""</f>
        <v/>
      </c>
      <c r="H2086" t="str">
        <f t="shared" si="44"/>
        <v>MEDICARE TAXES</v>
      </c>
    </row>
    <row r="2087" spans="5:8" x14ac:dyDescent="0.25">
      <c r="E2087" t="str">
        <f>""</f>
        <v/>
      </c>
      <c r="F2087" t="str">
        <f>""</f>
        <v/>
      </c>
      <c r="H2087" t="str">
        <f t="shared" si="44"/>
        <v>MEDICARE TAXES</v>
      </c>
    </row>
    <row r="2088" spans="5:8" x14ac:dyDescent="0.25">
      <c r="E2088" t="str">
        <f>""</f>
        <v/>
      </c>
      <c r="F2088" t="str">
        <f>""</f>
        <v/>
      </c>
      <c r="H2088" t="str">
        <f t="shared" si="44"/>
        <v>MEDICARE TAXES</v>
      </c>
    </row>
    <row r="2089" spans="5:8" x14ac:dyDescent="0.25">
      <c r="E2089" t="str">
        <f>""</f>
        <v/>
      </c>
      <c r="F2089" t="str">
        <f>""</f>
        <v/>
      </c>
      <c r="H2089" t="str">
        <f t="shared" si="44"/>
        <v>MEDICARE TAXES</v>
      </c>
    </row>
    <row r="2090" spans="5:8" x14ac:dyDescent="0.25">
      <c r="E2090" t="str">
        <f>""</f>
        <v/>
      </c>
      <c r="F2090" t="str">
        <f>""</f>
        <v/>
      </c>
      <c r="H2090" t="str">
        <f t="shared" si="44"/>
        <v>MEDICARE TAXES</v>
      </c>
    </row>
    <row r="2091" spans="5:8" x14ac:dyDescent="0.25">
      <c r="E2091" t="str">
        <f>""</f>
        <v/>
      </c>
      <c r="F2091" t="str">
        <f>""</f>
        <v/>
      </c>
      <c r="H2091" t="str">
        <f t="shared" si="44"/>
        <v>MEDICARE TAXES</v>
      </c>
    </row>
    <row r="2092" spans="5:8" x14ac:dyDescent="0.25">
      <c r="E2092" t="str">
        <f>""</f>
        <v/>
      </c>
      <c r="F2092" t="str">
        <f>""</f>
        <v/>
      </c>
      <c r="H2092" t="str">
        <f t="shared" si="44"/>
        <v>MEDICARE TAXES</v>
      </c>
    </row>
    <row r="2093" spans="5:8" x14ac:dyDescent="0.25">
      <c r="E2093" t="str">
        <f>""</f>
        <v/>
      </c>
      <c r="F2093" t="str">
        <f>""</f>
        <v/>
      </c>
      <c r="H2093" t="str">
        <f t="shared" si="44"/>
        <v>MEDICARE TAXES</v>
      </c>
    </row>
    <row r="2094" spans="5:8" x14ac:dyDescent="0.25">
      <c r="E2094" t="str">
        <f>""</f>
        <v/>
      </c>
      <c r="F2094" t="str">
        <f>""</f>
        <v/>
      </c>
      <c r="H2094" t="str">
        <f t="shared" si="44"/>
        <v>MEDICARE TAXES</v>
      </c>
    </row>
    <row r="2095" spans="5:8" x14ac:dyDescent="0.25">
      <c r="E2095" t="str">
        <f>""</f>
        <v/>
      </c>
      <c r="F2095" t="str">
        <f>""</f>
        <v/>
      </c>
      <c r="H2095" t="str">
        <f t="shared" si="44"/>
        <v>MEDICARE TAXES</v>
      </c>
    </row>
    <row r="2096" spans="5:8" x14ac:dyDescent="0.25">
      <c r="E2096" t="str">
        <f>""</f>
        <v/>
      </c>
      <c r="F2096" t="str">
        <f>""</f>
        <v/>
      </c>
      <c r="H2096" t="str">
        <f t="shared" si="44"/>
        <v>MEDICARE TAXES</v>
      </c>
    </row>
    <row r="2097" spans="5:8" x14ac:dyDescent="0.25">
      <c r="E2097" t="str">
        <f>""</f>
        <v/>
      </c>
      <c r="F2097" t="str">
        <f>""</f>
        <v/>
      </c>
      <c r="H2097" t="str">
        <f t="shared" si="44"/>
        <v>MEDICARE TAXES</v>
      </c>
    </row>
    <row r="2098" spans="5:8" x14ac:dyDescent="0.25">
      <c r="E2098" t="str">
        <f>""</f>
        <v/>
      </c>
      <c r="F2098" t="str">
        <f>""</f>
        <v/>
      </c>
      <c r="H2098" t="str">
        <f t="shared" si="44"/>
        <v>MEDICARE TAXES</v>
      </c>
    </row>
    <row r="2099" spans="5:8" x14ac:dyDescent="0.25">
      <c r="E2099" t="str">
        <f>""</f>
        <v/>
      </c>
      <c r="F2099" t="str">
        <f>""</f>
        <v/>
      </c>
      <c r="H2099" t="str">
        <f t="shared" si="44"/>
        <v>MEDICARE TAXES</v>
      </c>
    </row>
    <row r="2100" spans="5:8" x14ac:dyDescent="0.25">
      <c r="E2100" t="str">
        <f>""</f>
        <v/>
      </c>
      <c r="F2100" t="str">
        <f>""</f>
        <v/>
      </c>
      <c r="H2100" t="str">
        <f t="shared" si="44"/>
        <v>MEDICARE TAXES</v>
      </c>
    </row>
    <row r="2101" spans="5:8" x14ac:dyDescent="0.25">
      <c r="E2101" t="str">
        <f>""</f>
        <v/>
      </c>
      <c r="F2101" t="str">
        <f>""</f>
        <v/>
      </c>
      <c r="H2101" t="str">
        <f t="shared" si="44"/>
        <v>MEDICARE TAXES</v>
      </c>
    </row>
    <row r="2102" spans="5:8" x14ac:dyDescent="0.25">
      <c r="E2102" t="str">
        <f>""</f>
        <v/>
      </c>
      <c r="F2102" t="str">
        <f>""</f>
        <v/>
      </c>
      <c r="H2102" t="str">
        <f t="shared" si="44"/>
        <v>MEDICARE TAXES</v>
      </c>
    </row>
    <row r="2103" spans="5:8" x14ac:dyDescent="0.25">
      <c r="E2103" t="str">
        <f>""</f>
        <v/>
      </c>
      <c r="F2103" t="str">
        <f>""</f>
        <v/>
      </c>
      <c r="H2103" t="str">
        <f t="shared" si="44"/>
        <v>MEDICARE TAXES</v>
      </c>
    </row>
    <row r="2104" spans="5:8" x14ac:dyDescent="0.25">
      <c r="E2104" t="str">
        <f>""</f>
        <v/>
      </c>
      <c r="F2104" t="str">
        <f>""</f>
        <v/>
      </c>
      <c r="H2104" t="str">
        <f t="shared" si="44"/>
        <v>MEDICARE TAXES</v>
      </c>
    </row>
    <row r="2105" spans="5:8" x14ac:dyDescent="0.25">
      <c r="E2105" t="str">
        <f>""</f>
        <v/>
      </c>
      <c r="F2105" t="str">
        <f>""</f>
        <v/>
      </c>
      <c r="H2105" t="str">
        <f t="shared" si="44"/>
        <v>MEDICARE TAXES</v>
      </c>
    </row>
    <row r="2106" spans="5:8" x14ac:dyDescent="0.25">
      <c r="E2106" t="str">
        <f>""</f>
        <v/>
      </c>
      <c r="F2106" t="str">
        <f>""</f>
        <v/>
      </c>
      <c r="H2106" t="str">
        <f t="shared" si="44"/>
        <v>MEDICARE TAXES</v>
      </c>
    </row>
    <row r="2107" spans="5:8" x14ac:dyDescent="0.25">
      <c r="E2107" t="str">
        <f>""</f>
        <v/>
      </c>
      <c r="F2107" t="str">
        <f>""</f>
        <v/>
      </c>
      <c r="H2107" t="str">
        <f t="shared" si="44"/>
        <v>MEDICARE TAXES</v>
      </c>
    </row>
    <row r="2108" spans="5:8" x14ac:dyDescent="0.25">
      <c r="E2108" t="str">
        <f>""</f>
        <v/>
      </c>
      <c r="F2108" t="str">
        <f>""</f>
        <v/>
      </c>
      <c r="H2108" t="str">
        <f t="shared" si="44"/>
        <v>MEDICARE TAXES</v>
      </c>
    </row>
    <row r="2109" spans="5:8" x14ac:dyDescent="0.25">
      <c r="E2109" t="str">
        <f>""</f>
        <v/>
      </c>
      <c r="F2109" t="str">
        <f>""</f>
        <v/>
      </c>
      <c r="H2109" t="str">
        <f t="shared" si="44"/>
        <v>MEDICARE TAXES</v>
      </c>
    </row>
    <row r="2110" spans="5:8" x14ac:dyDescent="0.25">
      <c r="E2110" t="str">
        <f>""</f>
        <v/>
      </c>
      <c r="F2110" t="str">
        <f>""</f>
        <v/>
      </c>
      <c r="H2110" t="str">
        <f t="shared" si="44"/>
        <v>MEDICARE TAXES</v>
      </c>
    </row>
    <row r="2111" spans="5:8" x14ac:dyDescent="0.25">
      <c r="E2111" t="str">
        <f>""</f>
        <v/>
      </c>
      <c r="F2111" t="str">
        <f>""</f>
        <v/>
      </c>
      <c r="H2111" t="str">
        <f t="shared" ref="H2111:H2134" si="45">"MEDICARE TAXES"</f>
        <v>MEDICARE TAXES</v>
      </c>
    </row>
    <row r="2112" spans="5:8" x14ac:dyDescent="0.25">
      <c r="E2112" t="str">
        <f>""</f>
        <v/>
      </c>
      <c r="F2112" t="str">
        <f>""</f>
        <v/>
      </c>
      <c r="H2112" t="str">
        <f t="shared" si="45"/>
        <v>MEDICARE TAXES</v>
      </c>
    </row>
    <row r="2113" spans="5:8" x14ac:dyDescent="0.25">
      <c r="E2113" t="str">
        <f>""</f>
        <v/>
      </c>
      <c r="F2113" t="str">
        <f>""</f>
        <v/>
      </c>
      <c r="H2113" t="str">
        <f t="shared" si="45"/>
        <v>MEDICARE TAXES</v>
      </c>
    </row>
    <row r="2114" spans="5:8" x14ac:dyDescent="0.25">
      <c r="E2114" t="str">
        <f>""</f>
        <v/>
      </c>
      <c r="F2114" t="str">
        <f>""</f>
        <v/>
      </c>
      <c r="H2114" t="str">
        <f t="shared" si="45"/>
        <v>MEDICARE TAXES</v>
      </c>
    </row>
    <row r="2115" spans="5:8" x14ac:dyDescent="0.25">
      <c r="E2115" t="str">
        <f>""</f>
        <v/>
      </c>
      <c r="F2115" t="str">
        <f>""</f>
        <v/>
      </c>
      <c r="H2115" t="str">
        <f t="shared" si="45"/>
        <v>MEDICARE TAXES</v>
      </c>
    </row>
    <row r="2116" spans="5:8" x14ac:dyDescent="0.25">
      <c r="E2116" t="str">
        <f>""</f>
        <v/>
      </c>
      <c r="F2116" t="str">
        <f>""</f>
        <v/>
      </c>
      <c r="H2116" t="str">
        <f t="shared" si="45"/>
        <v>MEDICARE TAXES</v>
      </c>
    </row>
    <row r="2117" spans="5:8" x14ac:dyDescent="0.25">
      <c r="E2117" t="str">
        <f>""</f>
        <v/>
      </c>
      <c r="F2117" t="str">
        <f>""</f>
        <v/>
      </c>
      <c r="H2117" t="str">
        <f t="shared" si="45"/>
        <v>MEDICARE TAXES</v>
      </c>
    </row>
    <row r="2118" spans="5:8" x14ac:dyDescent="0.25">
      <c r="E2118" t="str">
        <f>""</f>
        <v/>
      </c>
      <c r="F2118" t="str">
        <f>""</f>
        <v/>
      </c>
      <c r="H2118" t="str">
        <f t="shared" si="45"/>
        <v>MEDICARE TAXES</v>
      </c>
    </row>
    <row r="2119" spans="5:8" x14ac:dyDescent="0.25">
      <c r="E2119" t="str">
        <f>""</f>
        <v/>
      </c>
      <c r="F2119" t="str">
        <f>""</f>
        <v/>
      </c>
      <c r="H2119" t="str">
        <f t="shared" si="45"/>
        <v>MEDICARE TAXES</v>
      </c>
    </row>
    <row r="2120" spans="5:8" x14ac:dyDescent="0.25">
      <c r="E2120" t="str">
        <f>""</f>
        <v/>
      </c>
      <c r="F2120" t="str">
        <f>""</f>
        <v/>
      </c>
      <c r="H2120" t="str">
        <f t="shared" si="45"/>
        <v>MEDICARE TAXES</v>
      </c>
    </row>
    <row r="2121" spans="5:8" x14ac:dyDescent="0.25">
      <c r="E2121" t="str">
        <f>""</f>
        <v/>
      </c>
      <c r="F2121" t="str">
        <f>""</f>
        <v/>
      </c>
      <c r="H2121" t="str">
        <f t="shared" si="45"/>
        <v>MEDICARE TAXES</v>
      </c>
    </row>
    <row r="2122" spans="5:8" x14ac:dyDescent="0.25">
      <c r="E2122" t="str">
        <f>""</f>
        <v/>
      </c>
      <c r="F2122" t="str">
        <f>""</f>
        <v/>
      </c>
      <c r="H2122" t="str">
        <f t="shared" si="45"/>
        <v>MEDICARE TAXES</v>
      </c>
    </row>
    <row r="2123" spans="5:8" x14ac:dyDescent="0.25">
      <c r="E2123" t="str">
        <f>""</f>
        <v/>
      </c>
      <c r="F2123" t="str">
        <f>""</f>
        <v/>
      </c>
      <c r="H2123" t="str">
        <f t="shared" si="45"/>
        <v>MEDICARE TAXES</v>
      </c>
    </row>
    <row r="2124" spans="5:8" x14ac:dyDescent="0.25">
      <c r="E2124" t="str">
        <f>""</f>
        <v/>
      </c>
      <c r="F2124" t="str">
        <f>""</f>
        <v/>
      </c>
      <c r="H2124" t="str">
        <f t="shared" si="45"/>
        <v>MEDICARE TAXES</v>
      </c>
    </row>
    <row r="2125" spans="5:8" x14ac:dyDescent="0.25">
      <c r="E2125" t="str">
        <f>""</f>
        <v/>
      </c>
      <c r="F2125" t="str">
        <f>""</f>
        <v/>
      </c>
      <c r="H2125" t="str">
        <f t="shared" si="45"/>
        <v>MEDICARE TAXES</v>
      </c>
    </row>
    <row r="2126" spans="5:8" x14ac:dyDescent="0.25">
      <c r="E2126" t="str">
        <f>""</f>
        <v/>
      </c>
      <c r="F2126" t="str">
        <f>""</f>
        <v/>
      </c>
      <c r="H2126" t="str">
        <f t="shared" si="45"/>
        <v>MEDICARE TAXES</v>
      </c>
    </row>
    <row r="2127" spans="5:8" x14ac:dyDescent="0.25">
      <c r="E2127" t="str">
        <f>""</f>
        <v/>
      </c>
      <c r="F2127" t="str">
        <f>""</f>
        <v/>
      </c>
      <c r="H2127" t="str">
        <f t="shared" si="45"/>
        <v>MEDICARE TAXES</v>
      </c>
    </row>
    <row r="2128" spans="5:8" x14ac:dyDescent="0.25">
      <c r="E2128" t="str">
        <f>""</f>
        <v/>
      </c>
      <c r="F2128" t="str">
        <f>""</f>
        <v/>
      </c>
      <c r="H2128" t="str">
        <f t="shared" si="45"/>
        <v>MEDICARE TAXES</v>
      </c>
    </row>
    <row r="2129" spans="1:8" x14ac:dyDescent="0.25">
      <c r="E2129" t="str">
        <f>""</f>
        <v/>
      </c>
      <c r="F2129" t="str">
        <f>""</f>
        <v/>
      </c>
      <c r="H2129" t="str">
        <f t="shared" si="45"/>
        <v>MEDICARE TAXES</v>
      </c>
    </row>
    <row r="2130" spans="1:8" x14ac:dyDescent="0.25">
      <c r="E2130" t="str">
        <f>""</f>
        <v/>
      </c>
      <c r="F2130" t="str">
        <f>""</f>
        <v/>
      </c>
      <c r="H2130" t="str">
        <f t="shared" si="45"/>
        <v>MEDICARE TAXES</v>
      </c>
    </row>
    <row r="2131" spans="1:8" x14ac:dyDescent="0.25">
      <c r="E2131" t="str">
        <f>""</f>
        <v/>
      </c>
      <c r="F2131" t="str">
        <f>""</f>
        <v/>
      </c>
      <c r="H2131" t="str">
        <f t="shared" si="45"/>
        <v>MEDICARE TAXES</v>
      </c>
    </row>
    <row r="2132" spans="1:8" x14ac:dyDescent="0.25">
      <c r="E2132" t="str">
        <f>""</f>
        <v/>
      </c>
      <c r="F2132" t="str">
        <f>""</f>
        <v/>
      </c>
      <c r="H2132" t="str">
        <f t="shared" si="45"/>
        <v>MEDICARE TAXES</v>
      </c>
    </row>
    <row r="2133" spans="1:8" x14ac:dyDescent="0.25">
      <c r="E2133" t="str">
        <f>""</f>
        <v/>
      </c>
      <c r="F2133" t="str">
        <f>""</f>
        <v/>
      </c>
      <c r="H2133" t="str">
        <f t="shared" si="45"/>
        <v>MEDICARE TAXES</v>
      </c>
    </row>
    <row r="2134" spans="1:8" x14ac:dyDescent="0.25">
      <c r="E2134" t="str">
        <f>""</f>
        <v/>
      </c>
      <c r="F2134" t="str">
        <f>""</f>
        <v/>
      </c>
      <c r="H2134" t="str">
        <f t="shared" si="45"/>
        <v>MEDICARE TAXES</v>
      </c>
    </row>
    <row r="2135" spans="1:8" x14ac:dyDescent="0.25">
      <c r="A2135" t="s">
        <v>452</v>
      </c>
      <c r="B2135">
        <v>47295</v>
      </c>
      <c r="C2135" s="2">
        <v>222.76</v>
      </c>
      <c r="D2135" s="1">
        <v>43504</v>
      </c>
      <c r="E2135" t="str">
        <f>"C64201902067161"</f>
        <v>C64201902067161</v>
      </c>
      <c r="F2135" t="str">
        <f>"CASE #912745322"</f>
        <v>CASE #912745322</v>
      </c>
      <c r="G2135" s="2">
        <v>222.76</v>
      </c>
      <c r="H2135" t="str">
        <f>"CASE #912745322"</f>
        <v>CASE #912745322</v>
      </c>
    </row>
    <row r="2136" spans="1:8" x14ac:dyDescent="0.25">
      <c r="A2136" t="s">
        <v>452</v>
      </c>
      <c r="B2136">
        <v>47316</v>
      </c>
      <c r="C2136" s="2">
        <v>222.76</v>
      </c>
      <c r="D2136" s="1">
        <v>43518</v>
      </c>
      <c r="E2136" t="str">
        <f>"C64201902277541"</f>
        <v>C64201902277541</v>
      </c>
      <c r="F2136" t="str">
        <f>"CASE #912745322"</f>
        <v>CASE #912745322</v>
      </c>
      <c r="G2136" s="2">
        <v>222.76</v>
      </c>
      <c r="H2136" t="str">
        <f>"CASE #912745322"</f>
        <v>CASE #912745322</v>
      </c>
    </row>
    <row r="2137" spans="1:8" x14ac:dyDescent="0.25">
      <c r="A2137" t="s">
        <v>453</v>
      </c>
      <c r="B2137">
        <v>75</v>
      </c>
      <c r="C2137" s="2">
        <v>674.82</v>
      </c>
      <c r="D2137" s="1">
        <v>43524</v>
      </c>
      <c r="E2137" t="str">
        <f>"LIX201902067161"</f>
        <v>LIX201902067161</v>
      </c>
      <c r="F2137" t="str">
        <f>"TEXAS LIFE/OLIVO GROUP"</f>
        <v>TEXAS LIFE/OLIVO GROUP</v>
      </c>
      <c r="G2137" s="2">
        <v>337.41</v>
      </c>
      <c r="H2137" t="str">
        <f>"TEXAS LIFE/OLIVO GROUP"</f>
        <v>TEXAS LIFE/OLIVO GROUP</v>
      </c>
    </row>
    <row r="2138" spans="1:8" x14ac:dyDescent="0.25">
      <c r="E2138" t="str">
        <f>"LIX201902277541"</f>
        <v>LIX201902277541</v>
      </c>
      <c r="F2138" t="str">
        <f>"TEXAS LIFE/OLIVO GROUP"</f>
        <v>TEXAS LIFE/OLIVO GROUP</v>
      </c>
      <c r="G2138" s="2">
        <v>337.41</v>
      </c>
      <c r="H2138" t="str">
        <f>"TEXAS LIFE/OLIVO GROUP"</f>
        <v>TEXAS LIFE/OLIVO GROUP</v>
      </c>
    </row>
    <row r="2139" spans="1:8" x14ac:dyDescent="0.25">
      <c r="A2139" t="s">
        <v>454</v>
      </c>
      <c r="B2139">
        <v>47321</v>
      </c>
      <c r="C2139" s="2">
        <v>334256.90000000002</v>
      </c>
      <c r="D2139" s="1">
        <v>43524</v>
      </c>
      <c r="E2139" t="str">
        <f>"201902287552"</f>
        <v>201902287552</v>
      </c>
      <c r="F2139" t="str">
        <f>"Retiree Feb 2019"</f>
        <v>Retiree Feb 2019</v>
      </c>
      <c r="G2139" s="2">
        <v>15523.3</v>
      </c>
      <c r="H2139" t="str">
        <f>"TAC HEALTH BENEFITS POOL"</f>
        <v>TAC HEALTH BENEFITS POOL</v>
      </c>
    </row>
    <row r="2140" spans="1:8" x14ac:dyDescent="0.25">
      <c r="E2140" t="str">
        <f>"2EC201902067161"</f>
        <v>2EC201902067161</v>
      </c>
      <c r="F2140" t="str">
        <f>"BCBS PAYABLE"</f>
        <v>BCBS PAYABLE</v>
      </c>
      <c r="G2140" s="2">
        <v>47355.05</v>
      </c>
      <c r="H2140" t="str">
        <f t="shared" ref="H2140:H2171" si="46">"BCBS PAYABLE"</f>
        <v>BCBS PAYABLE</v>
      </c>
    </row>
    <row r="2141" spans="1:8" x14ac:dyDescent="0.25">
      <c r="E2141" t="str">
        <f>""</f>
        <v/>
      </c>
      <c r="F2141" t="str">
        <f>""</f>
        <v/>
      </c>
      <c r="H2141" t="str">
        <f t="shared" si="46"/>
        <v>BCBS PAYABLE</v>
      </c>
    </row>
    <row r="2142" spans="1:8" x14ac:dyDescent="0.25">
      <c r="E2142" t="str">
        <f>""</f>
        <v/>
      </c>
      <c r="F2142" t="str">
        <f>""</f>
        <v/>
      </c>
      <c r="H2142" t="str">
        <f t="shared" si="46"/>
        <v>BCBS PAYABLE</v>
      </c>
    </row>
    <row r="2143" spans="1:8" x14ac:dyDescent="0.25">
      <c r="E2143" t="str">
        <f>""</f>
        <v/>
      </c>
      <c r="F2143" t="str">
        <f>""</f>
        <v/>
      </c>
      <c r="H2143" t="str">
        <f t="shared" si="46"/>
        <v>BCBS PAYABLE</v>
      </c>
    </row>
    <row r="2144" spans="1:8" x14ac:dyDescent="0.25">
      <c r="E2144" t="str">
        <f>""</f>
        <v/>
      </c>
      <c r="F2144" t="str">
        <f>""</f>
        <v/>
      </c>
      <c r="H2144" t="str">
        <f t="shared" si="46"/>
        <v>BCBS PAYABLE</v>
      </c>
    </row>
    <row r="2145" spans="5:8" x14ac:dyDescent="0.25">
      <c r="E2145" t="str">
        <f>""</f>
        <v/>
      </c>
      <c r="F2145" t="str">
        <f>""</f>
        <v/>
      </c>
      <c r="H2145" t="str">
        <f t="shared" si="46"/>
        <v>BCBS PAYABLE</v>
      </c>
    </row>
    <row r="2146" spans="5:8" x14ac:dyDescent="0.25">
      <c r="E2146" t="str">
        <f>""</f>
        <v/>
      </c>
      <c r="F2146" t="str">
        <f>""</f>
        <v/>
      </c>
      <c r="H2146" t="str">
        <f t="shared" si="46"/>
        <v>BCBS PAYABLE</v>
      </c>
    </row>
    <row r="2147" spans="5:8" x14ac:dyDescent="0.25">
      <c r="E2147" t="str">
        <f>""</f>
        <v/>
      </c>
      <c r="F2147" t="str">
        <f>""</f>
        <v/>
      </c>
      <c r="H2147" t="str">
        <f t="shared" si="46"/>
        <v>BCBS PAYABLE</v>
      </c>
    </row>
    <row r="2148" spans="5:8" x14ac:dyDescent="0.25">
      <c r="E2148" t="str">
        <f>""</f>
        <v/>
      </c>
      <c r="F2148" t="str">
        <f>""</f>
        <v/>
      </c>
      <c r="H2148" t="str">
        <f t="shared" si="46"/>
        <v>BCBS PAYABLE</v>
      </c>
    </row>
    <row r="2149" spans="5:8" x14ac:dyDescent="0.25">
      <c r="E2149" t="str">
        <f>""</f>
        <v/>
      </c>
      <c r="F2149" t="str">
        <f>""</f>
        <v/>
      </c>
      <c r="H2149" t="str">
        <f t="shared" si="46"/>
        <v>BCBS PAYABLE</v>
      </c>
    </row>
    <row r="2150" spans="5:8" x14ac:dyDescent="0.25">
      <c r="E2150" t="str">
        <f>""</f>
        <v/>
      </c>
      <c r="F2150" t="str">
        <f>""</f>
        <v/>
      </c>
      <c r="H2150" t="str">
        <f t="shared" si="46"/>
        <v>BCBS PAYABLE</v>
      </c>
    </row>
    <row r="2151" spans="5:8" x14ac:dyDescent="0.25">
      <c r="E2151" t="str">
        <f>""</f>
        <v/>
      </c>
      <c r="F2151" t="str">
        <f>""</f>
        <v/>
      </c>
      <c r="H2151" t="str">
        <f t="shared" si="46"/>
        <v>BCBS PAYABLE</v>
      </c>
    </row>
    <row r="2152" spans="5:8" x14ac:dyDescent="0.25">
      <c r="E2152" t="str">
        <f>""</f>
        <v/>
      </c>
      <c r="F2152" t="str">
        <f>""</f>
        <v/>
      </c>
      <c r="H2152" t="str">
        <f t="shared" si="46"/>
        <v>BCBS PAYABLE</v>
      </c>
    </row>
    <row r="2153" spans="5:8" x14ac:dyDescent="0.25">
      <c r="E2153" t="str">
        <f>""</f>
        <v/>
      </c>
      <c r="F2153" t="str">
        <f>""</f>
        <v/>
      </c>
      <c r="H2153" t="str">
        <f t="shared" si="46"/>
        <v>BCBS PAYABLE</v>
      </c>
    </row>
    <row r="2154" spans="5:8" x14ac:dyDescent="0.25">
      <c r="E2154" t="str">
        <f>""</f>
        <v/>
      </c>
      <c r="F2154" t="str">
        <f>""</f>
        <v/>
      </c>
      <c r="H2154" t="str">
        <f t="shared" si="46"/>
        <v>BCBS PAYABLE</v>
      </c>
    </row>
    <row r="2155" spans="5:8" x14ac:dyDescent="0.25">
      <c r="E2155" t="str">
        <f>""</f>
        <v/>
      </c>
      <c r="F2155" t="str">
        <f>""</f>
        <v/>
      </c>
      <c r="H2155" t="str">
        <f t="shared" si="46"/>
        <v>BCBS PAYABLE</v>
      </c>
    </row>
    <row r="2156" spans="5:8" x14ac:dyDescent="0.25">
      <c r="E2156" t="str">
        <f>""</f>
        <v/>
      </c>
      <c r="F2156" t="str">
        <f>""</f>
        <v/>
      </c>
      <c r="H2156" t="str">
        <f t="shared" si="46"/>
        <v>BCBS PAYABLE</v>
      </c>
    </row>
    <row r="2157" spans="5:8" x14ac:dyDescent="0.25">
      <c r="E2157" t="str">
        <f>""</f>
        <v/>
      </c>
      <c r="F2157" t="str">
        <f>""</f>
        <v/>
      </c>
      <c r="H2157" t="str">
        <f t="shared" si="46"/>
        <v>BCBS PAYABLE</v>
      </c>
    </row>
    <row r="2158" spans="5:8" x14ac:dyDescent="0.25">
      <c r="E2158" t="str">
        <f>""</f>
        <v/>
      </c>
      <c r="F2158" t="str">
        <f>""</f>
        <v/>
      </c>
      <c r="H2158" t="str">
        <f t="shared" si="46"/>
        <v>BCBS PAYABLE</v>
      </c>
    </row>
    <row r="2159" spans="5:8" x14ac:dyDescent="0.25">
      <c r="E2159" t="str">
        <f>""</f>
        <v/>
      </c>
      <c r="F2159" t="str">
        <f>""</f>
        <v/>
      </c>
      <c r="H2159" t="str">
        <f t="shared" si="46"/>
        <v>BCBS PAYABLE</v>
      </c>
    </row>
    <row r="2160" spans="5:8" x14ac:dyDescent="0.25">
      <c r="E2160" t="str">
        <f>""</f>
        <v/>
      </c>
      <c r="F2160" t="str">
        <f>""</f>
        <v/>
      </c>
      <c r="H2160" t="str">
        <f t="shared" si="46"/>
        <v>BCBS PAYABLE</v>
      </c>
    </row>
    <row r="2161" spans="5:8" x14ac:dyDescent="0.25">
      <c r="E2161" t="str">
        <f>""</f>
        <v/>
      </c>
      <c r="F2161" t="str">
        <f>""</f>
        <v/>
      </c>
      <c r="H2161" t="str">
        <f t="shared" si="46"/>
        <v>BCBS PAYABLE</v>
      </c>
    </row>
    <row r="2162" spans="5:8" x14ac:dyDescent="0.25">
      <c r="E2162" t="str">
        <f>""</f>
        <v/>
      </c>
      <c r="F2162" t="str">
        <f>""</f>
        <v/>
      </c>
      <c r="H2162" t="str">
        <f t="shared" si="46"/>
        <v>BCBS PAYABLE</v>
      </c>
    </row>
    <row r="2163" spans="5:8" x14ac:dyDescent="0.25">
      <c r="E2163" t="str">
        <f>""</f>
        <v/>
      </c>
      <c r="F2163" t="str">
        <f>""</f>
        <v/>
      </c>
      <c r="H2163" t="str">
        <f t="shared" si="46"/>
        <v>BCBS PAYABLE</v>
      </c>
    </row>
    <row r="2164" spans="5:8" x14ac:dyDescent="0.25">
      <c r="E2164" t="str">
        <f>""</f>
        <v/>
      </c>
      <c r="F2164" t="str">
        <f>""</f>
        <v/>
      </c>
      <c r="H2164" t="str">
        <f t="shared" si="46"/>
        <v>BCBS PAYABLE</v>
      </c>
    </row>
    <row r="2165" spans="5:8" x14ac:dyDescent="0.25">
      <c r="E2165" t="str">
        <f>""</f>
        <v/>
      </c>
      <c r="F2165" t="str">
        <f>""</f>
        <v/>
      </c>
      <c r="H2165" t="str">
        <f t="shared" si="46"/>
        <v>BCBS PAYABLE</v>
      </c>
    </row>
    <row r="2166" spans="5:8" x14ac:dyDescent="0.25">
      <c r="E2166" t="str">
        <f>""</f>
        <v/>
      </c>
      <c r="F2166" t="str">
        <f>""</f>
        <v/>
      </c>
      <c r="H2166" t="str">
        <f t="shared" si="46"/>
        <v>BCBS PAYABLE</v>
      </c>
    </row>
    <row r="2167" spans="5:8" x14ac:dyDescent="0.25">
      <c r="E2167" t="str">
        <f>""</f>
        <v/>
      </c>
      <c r="F2167" t="str">
        <f>""</f>
        <v/>
      </c>
      <c r="H2167" t="str">
        <f t="shared" si="46"/>
        <v>BCBS PAYABLE</v>
      </c>
    </row>
    <row r="2168" spans="5:8" x14ac:dyDescent="0.25">
      <c r="E2168" t="str">
        <f>""</f>
        <v/>
      </c>
      <c r="F2168" t="str">
        <f>""</f>
        <v/>
      </c>
      <c r="H2168" t="str">
        <f t="shared" si="46"/>
        <v>BCBS PAYABLE</v>
      </c>
    </row>
    <row r="2169" spans="5:8" x14ac:dyDescent="0.25">
      <c r="E2169" t="str">
        <f>""</f>
        <v/>
      </c>
      <c r="F2169" t="str">
        <f>""</f>
        <v/>
      </c>
      <c r="H2169" t="str">
        <f t="shared" si="46"/>
        <v>BCBS PAYABLE</v>
      </c>
    </row>
    <row r="2170" spans="5:8" x14ac:dyDescent="0.25">
      <c r="E2170" t="str">
        <f>""</f>
        <v/>
      </c>
      <c r="F2170" t="str">
        <f>""</f>
        <v/>
      </c>
      <c r="H2170" t="str">
        <f t="shared" si="46"/>
        <v>BCBS PAYABLE</v>
      </c>
    </row>
    <row r="2171" spans="5:8" x14ac:dyDescent="0.25">
      <c r="E2171" t="str">
        <f>"2EC201902067196"</f>
        <v>2EC201902067196</v>
      </c>
      <c r="F2171" t="str">
        <f>"BCBS PAYABLE"</f>
        <v>BCBS PAYABLE</v>
      </c>
      <c r="G2171" s="2">
        <v>1737.8</v>
      </c>
      <c r="H2171" t="str">
        <f t="shared" si="46"/>
        <v>BCBS PAYABLE</v>
      </c>
    </row>
    <row r="2172" spans="5:8" x14ac:dyDescent="0.25">
      <c r="E2172" t="str">
        <f>""</f>
        <v/>
      </c>
      <c r="F2172" t="str">
        <f>""</f>
        <v/>
      </c>
      <c r="H2172" t="str">
        <f t="shared" ref="H2172:H2203" si="47">"BCBS PAYABLE"</f>
        <v>BCBS PAYABLE</v>
      </c>
    </row>
    <row r="2173" spans="5:8" x14ac:dyDescent="0.25">
      <c r="E2173" t="str">
        <f>"2EC201902277538"</f>
        <v>2EC201902277538</v>
      </c>
      <c r="F2173" t="str">
        <f>"BCBS PAYABLE"</f>
        <v>BCBS PAYABLE</v>
      </c>
      <c r="G2173" s="2">
        <v>1737.8</v>
      </c>
      <c r="H2173" t="str">
        <f t="shared" si="47"/>
        <v>BCBS PAYABLE</v>
      </c>
    </row>
    <row r="2174" spans="5:8" x14ac:dyDescent="0.25">
      <c r="E2174" t="str">
        <f>""</f>
        <v/>
      </c>
      <c r="F2174" t="str">
        <f>""</f>
        <v/>
      </c>
      <c r="H2174" t="str">
        <f t="shared" si="47"/>
        <v>BCBS PAYABLE</v>
      </c>
    </row>
    <row r="2175" spans="5:8" x14ac:dyDescent="0.25">
      <c r="E2175" t="str">
        <f>"2EC201902277541"</f>
        <v>2EC201902277541</v>
      </c>
      <c r="F2175" t="str">
        <f>"BCBS PAYABLE"</f>
        <v>BCBS PAYABLE</v>
      </c>
      <c r="G2175" s="2">
        <v>44748.35</v>
      </c>
      <c r="H2175" t="str">
        <f t="shared" si="47"/>
        <v>BCBS PAYABLE</v>
      </c>
    </row>
    <row r="2176" spans="5:8" x14ac:dyDescent="0.25">
      <c r="E2176" t="str">
        <f>""</f>
        <v/>
      </c>
      <c r="F2176" t="str">
        <f>""</f>
        <v/>
      </c>
      <c r="H2176" t="str">
        <f t="shared" si="47"/>
        <v>BCBS PAYABLE</v>
      </c>
    </row>
    <row r="2177" spans="5:8" x14ac:dyDescent="0.25">
      <c r="E2177" t="str">
        <f>""</f>
        <v/>
      </c>
      <c r="F2177" t="str">
        <f>""</f>
        <v/>
      </c>
      <c r="H2177" t="str">
        <f t="shared" si="47"/>
        <v>BCBS PAYABLE</v>
      </c>
    </row>
    <row r="2178" spans="5:8" x14ac:dyDescent="0.25">
      <c r="E2178" t="str">
        <f>""</f>
        <v/>
      </c>
      <c r="F2178" t="str">
        <f>""</f>
        <v/>
      </c>
      <c r="H2178" t="str">
        <f t="shared" si="47"/>
        <v>BCBS PAYABLE</v>
      </c>
    </row>
    <row r="2179" spans="5:8" x14ac:dyDescent="0.25">
      <c r="E2179" t="str">
        <f>""</f>
        <v/>
      </c>
      <c r="F2179" t="str">
        <f>""</f>
        <v/>
      </c>
      <c r="H2179" t="str">
        <f t="shared" si="47"/>
        <v>BCBS PAYABLE</v>
      </c>
    </row>
    <row r="2180" spans="5:8" x14ac:dyDescent="0.25">
      <c r="E2180" t="str">
        <f>""</f>
        <v/>
      </c>
      <c r="F2180" t="str">
        <f>""</f>
        <v/>
      </c>
      <c r="H2180" t="str">
        <f t="shared" si="47"/>
        <v>BCBS PAYABLE</v>
      </c>
    </row>
    <row r="2181" spans="5:8" x14ac:dyDescent="0.25">
      <c r="E2181" t="str">
        <f>""</f>
        <v/>
      </c>
      <c r="F2181" t="str">
        <f>""</f>
        <v/>
      </c>
      <c r="H2181" t="str">
        <f t="shared" si="47"/>
        <v>BCBS PAYABLE</v>
      </c>
    </row>
    <row r="2182" spans="5:8" x14ac:dyDescent="0.25">
      <c r="E2182" t="str">
        <f>""</f>
        <v/>
      </c>
      <c r="F2182" t="str">
        <f>""</f>
        <v/>
      </c>
      <c r="H2182" t="str">
        <f t="shared" si="47"/>
        <v>BCBS PAYABLE</v>
      </c>
    </row>
    <row r="2183" spans="5:8" x14ac:dyDescent="0.25">
      <c r="E2183" t="str">
        <f>""</f>
        <v/>
      </c>
      <c r="F2183" t="str">
        <f>""</f>
        <v/>
      </c>
      <c r="H2183" t="str">
        <f t="shared" si="47"/>
        <v>BCBS PAYABLE</v>
      </c>
    </row>
    <row r="2184" spans="5:8" x14ac:dyDescent="0.25">
      <c r="E2184" t="str">
        <f>""</f>
        <v/>
      </c>
      <c r="F2184" t="str">
        <f>""</f>
        <v/>
      </c>
      <c r="H2184" t="str">
        <f t="shared" si="47"/>
        <v>BCBS PAYABLE</v>
      </c>
    </row>
    <row r="2185" spans="5:8" x14ac:dyDescent="0.25">
      <c r="E2185" t="str">
        <f>""</f>
        <v/>
      </c>
      <c r="F2185" t="str">
        <f>""</f>
        <v/>
      </c>
      <c r="H2185" t="str">
        <f t="shared" si="47"/>
        <v>BCBS PAYABLE</v>
      </c>
    </row>
    <row r="2186" spans="5:8" x14ac:dyDescent="0.25">
      <c r="E2186" t="str">
        <f>""</f>
        <v/>
      </c>
      <c r="F2186" t="str">
        <f>""</f>
        <v/>
      </c>
      <c r="H2186" t="str">
        <f t="shared" si="47"/>
        <v>BCBS PAYABLE</v>
      </c>
    </row>
    <row r="2187" spans="5:8" x14ac:dyDescent="0.25">
      <c r="E2187" t="str">
        <f>""</f>
        <v/>
      </c>
      <c r="F2187" t="str">
        <f>""</f>
        <v/>
      </c>
      <c r="H2187" t="str">
        <f t="shared" si="47"/>
        <v>BCBS PAYABLE</v>
      </c>
    </row>
    <row r="2188" spans="5:8" x14ac:dyDescent="0.25">
      <c r="E2188" t="str">
        <f>""</f>
        <v/>
      </c>
      <c r="F2188" t="str">
        <f>""</f>
        <v/>
      </c>
      <c r="H2188" t="str">
        <f t="shared" si="47"/>
        <v>BCBS PAYABLE</v>
      </c>
    </row>
    <row r="2189" spans="5:8" x14ac:dyDescent="0.25">
      <c r="E2189" t="str">
        <f>""</f>
        <v/>
      </c>
      <c r="F2189" t="str">
        <f>""</f>
        <v/>
      </c>
      <c r="H2189" t="str">
        <f t="shared" si="47"/>
        <v>BCBS PAYABLE</v>
      </c>
    </row>
    <row r="2190" spans="5:8" x14ac:dyDescent="0.25">
      <c r="E2190" t="str">
        <f>""</f>
        <v/>
      </c>
      <c r="F2190" t="str">
        <f>""</f>
        <v/>
      </c>
      <c r="H2190" t="str">
        <f t="shared" si="47"/>
        <v>BCBS PAYABLE</v>
      </c>
    </row>
    <row r="2191" spans="5:8" x14ac:dyDescent="0.25">
      <c r="E2191" t="str">
        <f>""</f>
        <v/>
      </c>
      <c r="F2191" t="str">
        <f>""</f>
        <v/>
      </c>
      <c r="H2191" t="str">
        <f t="shared" si="47"/>
        <v>BCBS PAYABLE</v>
      </c>
    </row>
    <row r="2192" spans="5:8" x14ac:dyDescent="0.25">
      <c r="E2192" t="str">
        <f>""</f>
        <v/>
      </c>
      <c r="F2192" t="str">
        <f>""</f>
        <v/>
      </c>
      <c r="H2192" t="str">
        <f t="shared" si="47"/>
        <v>BCBS PAYABLE</v>
      </c>
    </row>
    <row r="2193" spans="5:8" x14ac:dyDescent="0.25">
      <c r="E2193" t="str">
        <f>""</f>
        <v/>
      </c>
      <c r="F2193" t="str">
        <f>""</f>
        <v/>
      </c>
      <c r="H2193" t="str">
        <f t="shared" si="47"/>
        <v>BCBS PAYABLE</v>
      </c>
    </row>
    <row r="2194" spans="5:8" x14ac:dyDescent="0.25">
      <c r="E2194" t="str">
        <f>""</f>
        <v/>
      </c>
      <c r="F2194" t="str">
        <f>""</f>
        <v/>
      </c>
      <c r="H2194" t="str">
        <f t="shared" si="47"/>
        <v>BCBS PAYABLE</v>
      </c>
    </row>
    <row r="2195" spans="5:8" x14ac:dyDescent="0.25">
      <c r="E2195" t="str">
        <f>""</f>
        <v/>
      </c>
      <c r="F2195" t="str">
        <f>""</f>
        <v/>
      </c>
      <c r="H2195" t="str">
        <f t="shared" si="47"/>
        <v>BCBS PAYABLE</v>
      </c>
    </row>
    <row r="2196" spans="5:8" x14ac:dyDescent="0.25">
      <c r="E2196" t="str">
        <f>""</f>
        <v/>
      </c>
      <c r="F2196" t="str">
        <f>""</f>
        <v/>
      </c>
      <c r="H2196" t="str">
        <f t="shared" si="47"/>
        <v>BCBS PAYABLE</v>
      </c>
    </row>
    <row r="2197" spans="5:8" x14ac:dyDescent="0.25">
      <c r="E2197" t="str">
        <f>""</f>
        <v/>
      </c>
      <c r="F2197" t="str">
        <f>""</f>
        <v/>
      </c>
      <c r="H2197" t="str">
        <f t="shared" si="47"/>
        <v>BCBS PAYABLE</v>
      </c>
    </row>
    <row r="2198" spans="5:8" x14ac:dyDescent="0.25">
      <c r="E2198" t="str">
        <f>""</f>
        <v/>
      </c>
      <c r="F2198" t="str">
        <f>""</f>
        <v/>
      </c>
      <c r="H2198" t="str">
        <f t="shared" si="47"/>
        <v>BCBS PAYABLE</v>
      </c>
    </row>
    <row r="2199" spans="5:8" x14ac:dyDescent="0.25">
      <c r="E2199" t="str">
        <f>""</f>
        <v/>
      </c>
      <c r="F2199" t="str">
        <f>""</f>
        <v/>
      </c>
      <c r="H2199" t="str">
        <f t="shared" si="47"/>
        <v>BCBS PAYABLE</v>
      </c>
    </row>
    <row r="2200" spans="5:8" x14ac:dyDescent="0.25">
      <c r="E2200" t="str">
        <f>""</f>
        <v/>
      </c>
      <c r="F2200" t="str">
        <f>""</f>
        <v/>
      </c>
      <c r="H2200" t="str">
        <f t="shared" si="47"/>
        <v>BCBS PAYABLE</v>
      </c>
    </row>
    <row r="2201" spans="5:8" x14ac:dyDescent="0.25">
      <c r="E2201" t="str">
        <f>""</f>
        <v/>
      </c>
      <c r="F2201" t="str">
        <f>""</f>
        <v/>
      </c>
      <c r="H2201" t="str">
        <f t="shared" si="47"/>
        <v>BCBS PAYABLE</v>
      </c>
    </row>
    <row r="2202" spans="5:8" x14ac:dyDescent="0.25">
      <c r="E2202" t="str">
        <f>""</f>
        <v/>
      </c>
      <c r="F2202" t="str">
        <f>""</f>
        <v/>
      </c>
      <c r="H2202" t="str">
        <f t="shared" si="47"/>
        <v>BCBS PAYABLE</v>
      </c>
    </row>
    <row r="2203" spans="5:8" x14ac:dyDescent="0.25">
      <c r="E2203" t="str">
        <f>""</f>
        <v/>
      </c>
      <c r="F2203" t="str">
        <f>""</f>
        <v/>
      </c>
      <c r="H2203" t="str">
        <f t="shared" si="47"/>
        <v>BCBS PAYABLE</v>
      </c>
    </row>
    <row r="2204" spans="5:8" x14ac:dyDescent="0.25">
      <c r="E2204" t="str">
        <f>""</f>
        <v/>
      </c>
      <c r="F2204" t="str">
        <f>""</f>
        <v/>
      </c>
      <c r="H2204" t="str">
        <f t="shared" ref="H2204:H2235" si="48">"BCBS PAYABLE"</f>
        <v>BCBS PAYABLE</v>
      </c>
    </row>
    <row r="2205" spans="5:8" x14ac:dyDescent="0.25">
      <c r="E2205" t="str">
        <f>""</f>
        <v/>
      </c>
      <c r="F2205" t="str">
        <f>""</f>
        <v/>
      </c>
      <c r="H2205" t="str">
        <f t="shared" si="48"/>
        <v>BCBS PAYABLE</v>
      </c>
    </row>
    <row r="2206" spans="5:8" x14ac:dyDescent="0.25">
      <c r="E2206" t="str">
        <f>"2EF201902067161"</f>
        <v>2EF201902067161</v>
      </c>
      <c r="F2206" t="str">
        <f>"BCBS PAYABLE"</f>
        <v>BCBS PAYABLE</v>
      </c>
      <c r="G2206" s="2">
        <v>1726.66</v>
      </c>
      <c r="H2206" t="str">
        <f t="shared" si="48"/>
        <v>BCBS PAYABLE</v>
      </c>
    </row>
    <row r="2207" spans="5:8" x14ac:dyDescent="0.25">
      <c r="E2207" t="str">
        <f>""</f>
        <v/>
      </c>
      <c r="F2207" t="str">
        <f>""</f>
        <v/>
      </c>
      <c r="H2207" t="str">
        <f t="shared" si="48"/>
        <v>BCBS PAYABLE</v>
      </c>
    </row>
    <row r="2208" spans="5:8" x14ac:dyDescent="0.25">
      <c r="E2208" t="str">
        <f>"2EF201902277541"</f>
        <v>2EF201902277541</v>
      </c>
      <c r="F2208" t="str">
        <f>"BCBS PAYABLE"</f>
        <v>BCBS PAYABLE</v>
      </c>
      <c r="G2208" s="2">
        <v>1726.66</v>
      </c>
      <c r="H2208" t="str">
        <f t="shared" si="48"/>
        <v>BCBS PAYABLE</v>
      </c>
    </row>
    <row r="2209" spans="5:8" x14ac:dyDescent="0.25">
      <c r="E2209" t="str">
        <f>""</f>
        <v/>
      </c>
      <c r="F2209" t="str">
        <f>""</f>
        <v/>
      </c>
      <c r="H2209" t="str">
        <f t="shared" si="48"/>
        <v>BCBS PAYABLE</v>
      </c>
    </row>
    <row r="2210" spans="5:8" x14ac:dyDescent="0.25">
      <c r="E2210" t="str">
        <f>"2EO201902067161"</f>
        <v>2EO201902067161</v>
      </c>
      <c r="F2210" t="str">
        <f>"BCBS PAYABLE"</f>
        <v>BCBS PAYABLE</v>
      </c>
      <c r="G2210" s="2">
        <v>91979.28</v>
      </c>
      <c r="H2210" t="str">
        <f t="shared" si="48"/>
        <v>BCBS PAYABLE</v>
      </c>
    </row>
    <row r="2211" spans="5:8" x14ac:dyDescent="0.25">
      <c r="E2211" t="str">
        <f>""</f>
        <v/>
      </c>
      <c r="F2211" t="str">
        <f>""</f>
        <v/>
      </c>
      <c r="H2211" t="str">
        <f t="shared" si="48"/>
        <v>BCBS PAYABLE</v>
      </c>
    </row>
    <row r="2212" spans="5:8" x14ac:dyDescent="0.25">
      <c r="E2212" t="str">
        <f>""</f>
        <v/>
      </c>
      <c r="F2212" t="str">
        <f>""</f>
        <v/>
      </c>
      <c r="H2212" t="str">
        <f t="shared" si="48"/>
        <v>BCBS PAYABLE</v>
      </c>
    </row>
    <row r="2213" spans="5:8" x14ac:dyDescent="0.25">
      <c r="E2213" t="str">
        <f>""</f>
        <v/>
      </c>
      <c r="F2213" t="str">
        <f>""</f>
        <v/>
      </c>
      <c r="H2213" t="str">
        <f t="shared" si="48"/>
        <v>BCBS PAYABLE</v>
      </c>
    </row>
    <row r="2214" spans="5:8" x14ac:dyDescent="0.25">
      <c r="E2214" t="str">
        <f>""</f>
        <v/>
      </c>
      <c r="F2214" t="str">
        <f>""</f>
        <v/>
      </c>
      <c r="H2214" t="str">
        <f t="shared" si="48"/>
        <v>BCBS PAYABLE</v>
      </c>
    </row>
    <row r="2215" spans="5:8" x14ac:dyDescent="0.25">
      <c r="E2215" t="str">
        <f>""</f>
        <v/>
      </c>
      <c r="F2215" t="str">
        <f>""</f>
        <v/>
      </c>
      <c r="H2215" t="str">
        <f t="shared" si="48"/>
        <v>BCBS PAYABLE</v>
      </c>
    </row>
    <row r="2216" spans="5:8" x14ac:dyDescent="0.25">
      <c r="E2216" t="str">
        <f>""</f>
        <v/>
      </c>
      <c r="F2216" t="str">
        <f>""</f>
        <v/>
      </c>
      <c r="H2216" t="str">
        <f t="shared" si="48"/>
        <v>BCBS PAYABLE</v>
      </c>
    </row>
    <row r="2217" spans="5:8" x14ac:dyDescent="0.25">
      <c r="E2217" t="str">
        <f>""</f>
        <v/>
      </c>
      <c r="F2217" t="str">
        <f>""</f>
        <v/>
      </c>
      <c r="H2217" t="str">
        <f t="shared" si="48"/>
        <v>BCBS PAYABLE</v>
      </c>
    </row>
    <row r="2218" spans="5:8" x14ac:dyDescent="0.25">
      <c r="E2218" t="str">
        <f>""</f>
        <v/>
      </c>
      <c r="F2218" t="str">
        <f>""</f>
        <v/>
      </c>
      <c r="H2218" t="str">
        <f t="shared" si="48"/>
        <v>BCBS PAYABLE</v>
      </c>
    </row>
    <row r="2219" spans="5:8" x14ac:dyDescent="0.25">
      <c r="E2219" t="str">
        <f>""</f>
        <v/>
      </c>
      <c r="F2219" t="str">
        <f>""</f>
        <v/>
      </c>
      <c r="H2219" t="str">
        <f t="shared" si="48"/>
        <v>BCBS PAYABLE</v>
      </c>
    </row>
    <row r="2220" spans="5:8" x14ac:dyDescent="0.25">
      <c r="E2220" t="str">
        <f>""</f>
        <v/>
      </c>
      <c r="F2220" t="str">
        <f>""</f>
        <v/>
      </c>
      <c r="H2220" t="str">
        <f t="shared" si="48"/>
        <v>BCBS PAYABLE</v>
      </c>
    </row>
    <row r="2221" spans="5:8" x14ac:dyDescent="0.25">
      <c r="E2221" t="str">
        <f>""</f>
        <v/>
      </c>
      <c r="F2221" t="str">
        <f>""</f>
        <v/>
      </c>
      <c r="H2221" t="str">
        <f t="shared" si="48"/>
        <v>BCBS PAYABLE</v>
      </c>
    </row>
    <row r="2222" spans="5:8" x14ac:dyDescent="0.25">
      <c r="E2222" t="str">
        <f>""</f>
        <v/>
      </c>
      <c r="F2222" t="str">
        <f>""</f>
        <v/>
      </c>
      <c r="H2222" t="str">
        <f t="shared" si="48"/>
        <v>BCBS PAYABLE</v>
      </c>
    </row>
    <row r="2223" spans="5:8" x14ac:dyDescent="0.25">
      <c r="E2223" t="str">
        <f>""</f>
        <v/>
      </c>
      <c r="F2223" t="str">
        <f>""</f>
        <v/>
      </c>
      <c r="H2223" t="str">
        <f t="shared" si="48"/>
        <v>BCBS PAYABLE</v>
      </c>
    </row>
    <row r="2224" spans="5:8" x14ac:dyDescent="0.25">
      <c r="E2224" t="str">
        <f>""</f>
        <v/>
      </c>
      <c r="F2224" t="str">
        <f>""</f>
        <v/>
      </c>
      <c r="H2224" t="str">
        <f t="shared" si="48"/>
        <v>BCBS PAYABLE</v>
      </c>
    </row>
    <row r="2225" spans="5:8" x14ac:dyDescent="0.25">
      <c r="E2225" t="str">
        <f>""</f>
        <v/>
      </c>
      <c r="F2225" t="str">
        <f>""</f>
        <v/>
      </c>
      <c r="H2225" t="str">
        <f t="shared" si="48"/>
        <v>BCBS PAYABLE</v>
      </c>
    </row>
    <row r="2226" spans="5:8" x14ac:dyDescent="0.25">
      <c r="E2226" t="str">
        <f>""</f>
        <v/>
      </c>
      <c r="F2226" t="str">
        <f>""</f>
        <v/>
      </c>
      <c r="H2226" t="str">
        <f t="shared" si="48"/>
        <v>BCBS PAYABLE</v>
      </c>
    </row>
    <row r="2227" spans="5:8" x14ac:dyDescent="0.25">
      <c r="E2227" t="str">
        <f>""</f>
        <v/>
      </c>
      <c r="F2227" t="str">
        <f>""</f>
        <v/>
      </c>
      <c r="H2227" t="str">
        <f t="shared" si="48"/>
        <v>BCBS PAYABLE</v>
      </c>
    </row>
    <row r="2228" spans="5:8" x14ac:dyDescent="0.25">
      <c r="E2228" t="str">
        <f>""</f>
        <v/>
      </c>
      <c r="F2228" t="str">
        <f>""</f>
        <v/>
      </c>
      <c r="H2228" t="str">
        <f t="shared" si="48"/>
        <v>BCBS PAYABLE</v>
      </c>
    </row>
    <row r="2229" spans="5:8" x14ac:dyDescent="0.25">
      <c r="E2229" t="str">
        <f>""</f>
        <v/>
      </c>
      <c r="F2229" t="str">
        <f>""</f>
        <v/>
      </c>
      <c r="H2229" t="str">
        <f t="shared" si="48"/>
        <v>BCBS PAYABLE</v>
      </c>
    </row>
    <row r="2230" spans="5:8" x14ac:dyDescent="0.25">
      <c r="E2230" t="str">
        <f>""</f>
        <v/>
      </c>
      <c r="F2230" t="str">
        <f>""</f>
        <v/>
      </c>
      <c r="H2230" t="str">
        <f t="shared" si="48"/>
        <v>BCBS PAYABLE</v>
      </c>
    </row>
    <row r="2231" spans="5:8" x14ac:dyDescent="0.25">
      <c r="E2231" t="str">
        <f>""</f>
        <v/>
      </c>
      <c r="F2231" t="str">
        <f>""</f>
        <v/>
      </c>
      <c r="H2231" t="str">
        <f t="shared" si="48"/>
        <v>BCBS PAYABLE</v>
      </c>
    </row>
    <row r="2232" spans="5:8" x14ac:dyDescent="0.25">
      <c r="E2232" t="str">
        <f>""</f>
        <v/>
      </c>
      <c r="F2232" t="str">
        <f>""</f>
        <v/>
      </c>
      <c r="H2232" t="str">
        <f t="shared" si="48"/>
        <v>BCBS PAYABLE</v>
      </c>
    </row>
    <row r="2233" spans="5:8" x14ac:dyDescent="0.25">
      <c r="E2233" t="str">
        <f>""</f>
        <v/>
      </c>
      <c r="F2233" t="str">
        <f>""</f>
        <v/>
      </c>
      <c r="H2233" t="str">
        <f t="shared" si="48"/>
        <v>BCBS PAYABLE</v>
      </c>
    </row>
    <row r="2234" spans="5:8" x14ac:dyDescent="0.25">
      <c r="E2234" t="str">
        <f>""</f>
        <v/>
      </c>
      <c r="F2234" t="str">
        <f>""</f>
        <v/>
      </c>
      <c r="H2234" t="str">
        <f t="shared" si="48"/>
        <v>BCBS PAYABLE</v>
      </c>
    </row>
    <row r="2235" spans="5:8" x14ac:dyDescent="0.25">
      <c r="E2235" t="str">
        <f>""</f>
        <v/>
      </c>
      <c r="F2235" t="str">
        <f>""</f>
        <v/>
      </c>
      <c r="H2235" t="str">
        <f t="shared" si="48"/>
        <v>BCBS PAYABLE</v>
      </c>
    </row>
    <row r="2236" spans="5:8" x14ac:dyDescent="0.25">
      <c r="E2236" t="str">
        <f>""</f>
        <v/>
      </c>
      <c r="F2236" t="str">
        <f>""</f>
        <v/>
      </c>
      <c r="H2236" t="str">
        <f t="shared" ref="H2236:H2267" si="49">"BCBS PAYABLE"</f>
        <v>BCBS PAYABLE</v>
      </c>
    </row>
    <row r="2237" spans="5:8" x14ac:dyDescent="0.25">
      <c r="E2237" t="str">
        <f>""</f>
        <v/>
      </c>
      <c r="F2237" t="str">
        <f>""</f>
        <v/>
      </c>
      <c r="H2237" t="str">
        <f t="shared" si="49"/>
        <v>BCBS PAYABLE</v>
      </c>
    </row>
    <row r="2238" spans="5:8" x14ac:dyDescent="0.25">
      <c r="E2238" t="str">
        <f>""</f>
        <v/>
      </c>
      <c r="F2238" t="str">
        <f>""</f>
        <v/>
      </c>
      <c r="H2238" t="str">
        <f t="shared" si="49"/>
        <v>BCBS PAYABLE</v>
      </c>
    </row>
    <row r="2239" spans="5:8" x14ac:dyDescent="0.25">
      <c r="E2239" t="str">
        <f>""</f>
        <v/>
      </c>
      <c r="F2239" t="str">
        <f>""</f>
        <v/>
      </c>
      <c r="H2239" t="str">
        <f t="shared" si="49"/>
        <v>BCBS PAYABLE</v>
      </c>
    </row>
    <row r="2240" spans="5:8" x14ac:dyDescent="0.25">
      <c r="E2240" t="str">
        <f>""</f>
        <v/>
      </c>
      <c r="F2240" t="str">
        <f>""</f>
        <v/>
      </c>
      <c r="H2240" t="str">
        <f t="shared" si="49"/>
        <v>BCBS PAYABLE</v>
      </c>
    </row>
    <row r="2241" spans="5:8" x14ac:dyDescent="0.25">
      <c r="E2241" t="str">
        <f>""</f>
        <v/>
      </c>
      <c r="F2241" t="str">
        <f>""</f>
        <v/>
      </c>
      <c r="H2241" t="str">
        <f t="shared" si="49"/>
        <v>BCBS PAYABLE</v>
      </c>
    </row>
    <row r="2242" spans="5:8" x14ac:dyDescent="0.25">
      <c r="E2242" t="str">
        <f>""</f>
        <v/>
      </c>
      <c r="F2242" t="str">
        <f>""</f>
        <v/>
      </c>
      <c r="H2242" t="str">
        <f t="shared" si="49"/>
        <v>BCBS PAYABLE</v>
      </c>
    </row>
    <row r="2243" spans="5:8" x14ac:dyDescent="0.25">
      <c r="E2243" t="str">
        <f>""</f>
        <v/>
      </c>
      <c r="F2243" t="str">
        <f>""</f>
        <v/>
      </c>
      <c r="H2243" t="str">
        <f t="shared" si="49"/>
        <v>BCBS PAYABLE</v>
      </c>
    </row>
    <row r="2244" spans="5:8" x14ac:dyDescent="0.25">
      <c r="E2244" t="str">
        <f>""</f>
        <v/>
      </c>
      <c r="F2244" t="str">
        <f>""</f>
        <v/>
      </c>
      <c r="H2244" t="str">
        <f t="shared" si="49"/>
        <v>BCBS PAYABLE</v>
      </c>
    </row>
    <row r="2245" spans="5:8" x14ac:dyDescent="0.25">
      <c r="E2245" t="str">
        <f>""</f>
        <v/>
      </c>
      <c r="F2245" t="str">
        <f>""</f>
        <v/>
      </c>
      <c r="H2245" t="str">
        <f t="shared" si="49"/>
        <v>BCBS PAYABLE</v>
      </c>
    </row>
    <row r="2246" spans="5:8" x14ac:dyDescent="0.25">
      <c r="E2246" t="str">
        <f>""</f>
        <v/>
      </c>
      <c r="F2246" t="str">
        <f>""</f>
        <v/>
      </c>
      <c r="H2246" t="str">
        <f t="shared" si="49"/>
        <v>BCBS PAYABLE</v>
      </c>
    </row>
    <row r="2247" spans="5:8" x14ac:dyDescent="0.25">
      <c r="E2247" t="str">
        <f>""</f>
        <v/>
      </c>
      <c r="F2247" t="str">
        <f>""</f>
        <v/>
      </c>
      <c r="H2247" t="str">
        <f t="shared" si="49"/>
        <v>BCBS PAYABLE</v>
      </c>
    </row>
    <row r="2248" spans="5:8" x14ac:dyDescent="0.25">
      <c r="E2248" t="str">
        <f>""</f>
        <v/>
      </c>
      <c r="F2248" t="str">
        <f>""</f>
        <v/>
      </c>
      <c r="H2248" t="str">
        <f t="shared" si="49"/>
        <v>BCBS PAYABLE</v>
      </c>
    </row>
    <row r="2249" spans="5:8" x14ac:dyDescent="0.25">
      <c r="E2249" t="str">
        <f>""</f>
        <v/>
      </c>
      <c r="F2249" t="str">
        <f>""</f>
        <v/>
      </c>
      <c r="H2249" t="str">
        <f t="shared" si="49"/>
        <v>BCBS PAYABLE</v>
      </c>
    </row>
    <row r="2250" spans="5:8" x14ac:dyDescent="0.25">
      <c r="E2250" t="str">
        <f>""</f>
        <v/>
      </c>
      <c r="F2250" t="str">
        <f>""</f>
        <v/>
      </c>
      <c r="H2250" t="str">
        <f t="shared" si="49"/>
        <v>BCBS PAYABLE</v>
      </c>
    </row>
    <row r="2251" spans="5:8" x14ac:dyDescent="0.25">
      <c r="E2251" t="str">
        <f>""</f>
        <v/>
      </c>
      <c r="F2251" t="str">
        <f>""</f>
        <v/>
      </c>
      <c r="H2251" t="str">
        <f t="shared" si="49"/>
        <v>BCBS PAYABLE</v>
      </c>
    </row>
    <row r="2252" spans="5:8" x14ac:dyDescent="0.25">
      <c r="E2252" t="str">
        <f>""</f>
        <v/>
      </c>
      <c r="F2252" t="str">
        <f>""</f>
        <v/>
      </c>
      <c r="H2252" t="str">
        <f t="shared" si="49"/>
        <v>BCBS PAYABLE</v>
      </c>
    </row>
    <row r="2253" spans="5:8" x14ac:dyDescent="0.25">
      <c r="E2253" t="str">
        <f>""</f>
        <v/>
      </c>
      <c r="F2253" t="str">
        <f>""</f>
        <v/>
      </c>
      <c r="H2253" t="str">
        <f t="shared" si="49"/>
        <v>BCBS PAYABLE</v>
      </c>
    </row>
    <row r="2254" spans="5:8" x14ac:dyDescent="0.25">
      <c r="E2254" t="str">
        <f>"2EO201902067196"</f>
        <v>2EO201902067196</v>
      </c>
      <c r="F2254" t="str">
        <f>"BCBS PAYABLE"</f>
        <v>BCBS PAYABLE</v>
      </c>
      <c r="G2254" s="2">
        <v>3792.96</v>
      </c>
      <c r="H2254" t="str">
        <f t="shared" si="49"/>
        <v>BCBS PAYABLE</v>
      </c>
    </row>
    <row r="2255" spans="5:8" x14ac:dyDescent="0.25">
      <c r="E2255" t="str">
        <f>"2EO201902277538"</f>
        <v>2EO201902277538</v>
      </c>
      <c r="F2255" t="str">
        <f>"BCBS PAYABLE"</f>
        <v>BCBS PAYABLE</v>
      </c>
      <c r="G2255" s="2">
        <v>3792.96</v>
      </c>
      <c r="H2255" t="str">
        <f t="shared" si="49"/>
        <v>BCBS PAYABLE</v>
      </c>
    </row>
    <row r="2256" spans="5:8" x14ac:dyDescent="0.25">
      <c r="E2256" t="str">
        <f>"2EO201902277541"</f>
        <v>2EO201902277541</v>
      </c>
      <c r="F2256" t="str">
        <f>"BCBS PAYABLE"</f>
        <v>BCBS PAYABLE</v>
      </c>
      <c r="G2256" s="2">
        <v>91979.28</v>
      </c>
      <c r="H2256" t="str">
        <f t="shared" si="49"/>
        <v>BCBS PAYABLE</v>
      </c>
    </row>
    <row r="2257" spans="5:8" x14ac:dyDescent="0.25">
      <c r="E2257" t="str">
        <f>""</f>
        <v/>
      </c>
      <c r="F2257" t="str">
        <f>""</f>
        <v/>
      </c>
      <c r="H2257" t="str">
        <f t="shared" si="49"/>
        <v>BCBS PAYABLE</v>
      </c>
    </row>
    <row r="2258" spans="5:8" x14ac:dyDescent="0.25">
      <c r="E2258" t="str">
        <f>""</f>
        <v/>
      </c>
      <c r="F2258" t="str">
        <f>""</f>
        <v/>
      </c>
      <c r="H2258" t="str">
        <f t="shared" si="49"/>
        <v>BCBS PAYABLE</v>
      </c>
    </row>
    <row r="2259" spans="5:8" x14ac:dyDescent="0.25">
      <c r="E2259" t="str">
        <f>""</f>
        <v/>
      </c>
      <c r="F2259" t="str">
        <f>""</f>
        <v/>
      </c>
      <c r="H2259" t="str">
        <f t="shared" si="49"/>
        <v>BCBS PAYABLE</v>
      </c>
    </row>
    <row r="2260" spans="5:8" x14ac:dyDescent="0.25">
      <c r="E2260" t="str">
        <f>""</f>
        <v/>
      </c>
      <c r="F2260" t="str">
        <f>""</f>
        <v/>
      </c>
      <c r="H2260" t="str">
        <f t="shared" si="49"/>
        <v>BCBS PAYABLE</v>
      </c>
    </row>
    <row r="2261" spans="5:8" x14ac:dyDescent="0.25">
      <c r="E2261" t="str">
        <f>""</f>
        <v/>
      </c>
      <c r="F2261" t="str">
        <f>""</f>
        <v/>
      </c>
      <c r="H2261" t="str">
        <f t="shared" si="49"/>
        <v>BCBS PAYABLE</v>
      </c>
    </row>
    <row r="2262" spans="5:8" x14ac:dyDescent="0.25">
      <c r="E2262" t="str">
        <f>""</f>
        <v/>
      </c>
      <c r="F2262" t="str">
        <f>""</f>
        <v/>
      </c>
      <c r="H2262" t="str">
        <f t="shared" si="49"/>
        <v>BCBS PAYABLE</v>
      </c>
    </row>
    <row r="2263" spans="5:8" x14ac:dyDescent="0.25">
      <c r="E2263" t="str">
        <f>""</f>
        <v/>
      </c>
      <c r="F2263" t="str">
        <f>""</f>
        <v/>
      </c>
      <c r="H2263" t="str">
        <f t="shared" si="49"/>
        <v>BCBS PAYABLE</v>
      </c>
    </row>
    <row r="2264" spans="5:8" x14ac:dyDescent="0.25">
      <c r="E2264" t="str">
        <f>""</f>
        <v/>
      </c>
      <c r="F2264" t="str">
        <f>""</f>
        <v/>
      </c>
      <c r="H2264" t="str">
        <f t="shared" si="49"/>
        <v>BCBS PAYABLE</v>
      </c>
    </row>
    <row r="2265" spans="5:8" x14ac:dyDescent="0.25">
      <c r="E2265" t="str">
        <f>""</f>
        <v/>
      </c>
      <c r="F2265" t="str">
        <f>""</f>
        <v/>
      </c>
      <c r="H2265" t="str">
        <f t="shared" si="49"/>
        <v>BCBS PAYABLE</v>
      </c>
    </row>
    <row r="2266" spans="5:8" x14ac:dyDescent="0.25">
      <c r="E2266" t="str">
        <f>""</f>
        <v/>
      </c>
      <c r="F2266" t="str">
        <f>""</f>
        <v/>
      </c>
      <c r="H2266" t="str">
        <f t="shared" si="49"/>
        <v>BCBS PAYABLE</v>
      </c>
    </row>
    <row r="2267" spans="5:8" x14ac:dyDescent="0.25">
      <c r="E2267" t="str">
        <f>""</f>
        <v/>
      </c>
      <c r="F2267" t="str">
        <f>""</f>
        <v/>
      </c>
      <c r="H2267" t="str">
        <f t="shared" si="49"/>
        <v>BCBS PAYABLE</v>
      </c>
    </row>
    <row r="2268" spans="5:8" x14ac:dyDescent="0.25">
      <c r="E2268" t="str">
        <f>""</f>
        <v/>
      </c>
      <c r="F2268" t="str">
        <f>""</f>
        <v/>
      </c>
      <c r="H2268" t="str">
        <f t="shared" ref="H2268:H2299" si="50">"BCBS PAYABLE"</f>
        <v>BCBS PAYABLE</v>
      </c>
    </row>
    <row r="2269" spans="5:8" x14ac:dyDescent="0.25">
      <c r="E2269" t="str">
        <f>""</f>
        <v/>
      </c>
      <c r="F2269" t="str">
        <f>""</f>
        <v/>
      </c>
      <c r="H2269" t="str">
        <f t="shared" si="50"/>
        <v>BCBS PAYABLE</v>
      </c>
    </row>
    <row r="2270" spans="5:8" x14ac:dyDescent="0.25">
      <c r="E2270" t="str">
        <f>""</f>
        <v/>
      </c>
      <c r="F2270" t="str">
        <f>""</f>
        <v/>
      </c>
      <c r="H2270" t="str">
        <f t="shared" si="50"/>
        <v>BCBS PAYABLE</v>
      </c>
    </row>
    <row r="2271" spans="5:8" x14ac:dyDescent="0.25">
      <c r="E2271" t="str">
        <f>""</f>
        <v/>
      </c>
      <c r="F2271" t="str">
        <f>""</f>
        <v/>
      </c>
      <c r="H2271" t="str">
        <f t="shared" si="50"/>
        <v>BCBS PAYABLE</v>
      </c>
    </row>
    <row r="2272" spans="5:8" x14ac:dyDescent="0.25">
      <c r="E2272" t="str">
        <f>""</f>
        <v/>
      </c>
      <c r="F2272" t="str">
        <f>""</f>
        <v/>
      </c>
      <c r="H2272" t="str">
        <f t="shared" si="50"/>
        <v>BCBS PAYABLE</v>
      </c>
    </row>
    <row r="2273" spans="5:8" x14ac:dyDescent="0.25">
      <c r="E2273" t="str">
        <f>""</f>
        <v/>
      </c>
      <c r="F2273" t="str">
        <f>""</f>
        <v/>
      </c>
      <c r="H2273" t="str">
        <f t="shared" si="50"/>
        <v>BCBS PAYABLE</v>
      </c>
    </row>
    <row r="2274" spans="5:8" x14ac:dyDescent="0.25">
      <c r="E2274" t="str">
        <f>""</f>
        <v/>
      </c>
      <c r="F2274" t="str">
        <f>""</f>
        <v/>
      </c>
      <c r="H2274" t="str">
        <f t="shared" si="50"/>
        <v>BCBS PAYABLE</v>
      </c>
    </row>
    <row r="2275" spans="5:8" x14ac:dyDescent="0.25">
      <c r="E2275" t="str">
        <f>""</f>
        <v/>
      </c>
      <c r="F2275" t="str">
        <f>""</f>
        <v/>
      </c>
      <c r="H2275" t="str">
        <f t="shared" si="50"/>
        <v>BCBS PAYABLE</v>
      </c>
    </row>
    <row r="2276" spans="5:8" x14ac:dyDescent="0.25">
      <c r="E2276" t="str">
        <f>""</f>
        <v/>
      </c>
      <c r="F2276" t="str">
        <f>""</f>
        <v/>
      </c>
      <c r="H2276" t="str">
        <f t="shared" si="50"/>
        <v>BCBS PAYABLE</v>
      </c>
    </row>
    <row r="2277" spans="5:8" x14ac:dyDescent="0.25">
      <c r="E2277" t="str">
        <f>""</f>
        <v/>
      </c>
      <c r="F2277" t="str">
        <f>""</f>
        <v/>
      </c>
      <c r="H2277" t="str">
        <f t="shared" si="50"/>
        <v>BCBS PAYABLE</v>
      </c>
    </row>
    <row r="2278" spans="5:8" x14ac:dyDescent="0.25">
      <c r="E2278" t="str">
        <f>""</f>
        <v/>
      </c>
      <c r="F2278" t="str">
        <f>""</f>
        <v/>
      </c>
      <c r="H2278" t="str">
        <f t="shared" si="50"/>
        <v>BCBS PAYABLE</v>
      </c>
    </row>
    <row r="2279" spans="5:8" x14ac:dyDescent="0.25">
      <c r="E2279" t="str">
        <f>""</f>
        <v/>
      </c>
      <c r="F2279" t="str">
        <f>""</f>
        <v/>
      </c>
      <c r="H2279" t="str">
        <f t="shared" si="50"/>
        <v>BCBS PAYABLE</v>
      </c>
    </row>
    <row r="2280" spans="5:8" x14ac:dyDescent="0.25">
      <c r="E2280" t="str">
        <f>""</f>
        <v/>
      </c>
      <c r="F2280" t="str">
        <f>""</f>
        <v/>
      </c>
      <c r="H2280" t="str">
        <f t="shared" si="50"/>
        <v>BCBS PAYABLE</v>
      </c>
    </row>
    <row r="2281" spans="5:8" x14ac:dyDescent="0.25">
      <c r="E2281" t="str">
        <f>""</f>
        <v/>
      </c>
      <c r="F2281" t="str">
        <f>""</f>
        <v/>
      </c>
      <c r="H2281" t="str">
        <f t="shared" si="50"/>
        <v>BCBS PAYABLE</v>
      </c>
    </row>
    <row r="2282" spans="5:8" x14ac:dyDescent="0.25">
      <c r="E2282" t="str">
        <f>""</f>
        <v/>
      </c>
      <c r="F2282" t="str">
        <f>""</f>
        <v/>
      </c>
      <c r="H2282" t="str">
        <f t="shared" si="50"/>
        <v>BCBS PAYABLE</v>
      </c>
    </row>
    <row r="2283" spans="5:8" x14ac:dyDescent="0.25">
      <c r="E2283" t="str">
        <f>""</f>
        <v/>
      </c>
      <c r="F2283" t="str">
        <f>""</f>
        <v/>
      </c>
      <c r="H2283" t="str">
        <f t="shared" si="50"/>
        <v>BCBS PAYABLE</v>
      </c>
    </row>
    <row r="2284" spans="5:8" x14ac:dyDescent="0.25">
      <c r="E2284" t="str">
        <f>""</f>
        <v/>
      </c>
      <c r="F2284" t="str">
        <f>""</f>
        <v/>
      </c>
      <c r="H2284" t="str">
        <f t="shared" si="50"/>
        <v>BCBS PAYABLE</v>
      </c>
    </row>
    <row r="2285" spans="5:8" x14ac:dyDescent="0.25">
      <c r="E2285" t="str">
        <f>""</f>
        <v/>
      </c>
      <c r="F2285" t="str">
        <f>""</f>
        <v/>
      </c>
      <c r="H2285" t="str">
        <f t="shared" si="50"/>
        <v>BCBS PAYABLE</v>
      </c>
    </row>
    <row r="2286" spans="5:8" x14ac:dyDescent="0.25">
      <c r="E2286" t="str">
        <f>""</f>
        <v/>
      </c>
      <c r="F2286" t="str">
        <f>""</f>
        <v/>
      </c>
      <c r="H2286" t="str">
        <f t="shared" si="50"/>
        <v>BCBS PAYABLE</v>
      </c>
    </row>
    <row r="2287" spans="5:8" x14ac:dyDescent="0.25">
      <c r="E2287" t="str">
        <f>""</f>
        <v/>
      </c>
      <c r="F2287" t="str">
        <f>""</f>
        <v/>
      </c>
      <c r="H2287" t="str">
        <f t="shared" si="50"/>
        <v>BCBS PAYABLE</v>
      </c>
    </row>
    <row r="2288" spans="5:8" x14ac:dyDescent="0.25">
      <c r="E2288" t="str">
        <f>""</f>
        <v/>
      </c>
      <c r="F2288" t="str">
        <f>""</f>
        <v/>
      </c>
      <c r="H2288" t="str">
        <f t="shared" si="50"/>
        <v>BCBS PAYABLE</v>
      </c>
    </row>
    <row r="2289" spans="5:8" x14ac:dyDescent="0.25">
      <c r="E2289" t="str">
        <f>""</f>
        <v/>
      </c>
      <c r="F2289" t="str">
        <f>""</f>
        <v/>
      </c>
      <c r="H2289" t="str">
        <f t="shared" si="50"/>
        <v>BCBS PAYABLE</v>
      </c>
    </row>
    <row r="2290" spans="5:8" x14ac:dyDescent="0.25">
      <c r="E2290" t="str">
        <f>""</f>
        <v/>
      </c>
      <c r="F2290" t="str">
        <f>""</f>
        <v/>
      </c>
      <c r="H2290" t="str">
        <f t="shared" si="50"/>
        <v>BCBS PAYABLE</v>
      </c>
    </row>
    <row r="2291" spans="5:8" x14ac:dyDescent="0.25">
      <c r="E2291" t="str">
        <f>""</f>
        <v/>
      </c>
      <c r="F2291" t="str">
        <f>""</f>
        <v/>
      </c>
      <c r="H2291" t="str">
        <f t="shared" si="50"/>
        <v>BCBS PAYABLE</v>
      </c>
    </row>
    <row r="2292" spans="5:8" x14ac:dyDescent="0.25">
      <c r="E2292" t="str">
        <f>""</f>
        <v/>
      </c>
      <c r="F2292" t="str">
        <f>""</f>
        <v/>
      </c>
      <c r="H2292" t="str">
        <f t="shared" si="50"/>
        <v>BCBS PAYABLE</v>
      </c>
    </row>
    <row r="2293" spans="5:8" x14ac:dyDescent="0.25">
      <c r="E2293" t="str">
        <f>""</f>
        <v/>
      </c>
      <c r="F2293" t="str">
        <f>""</f>
        <v/>
      </c>
      <c r="H2293" t="str">
        <f t="shared" si="50"/>
        <v>BCBS PAYABLE</v>
      </c>
    </row>
    <row r="2294" spans="5:8" x14ac:dyDescent="0.25">
      <c r="E2294" t="str">
        <f>""</f>
        <v/>
      </c>
      <c r="F2294" t="str">
        <f>""</f>
        <v/>
      </c>
      <c r="H2294" t="str">
        <f t="shared" si="50"/>
        <v>BCBS PAYABLE</v>
      </c>
    </row>
    <row r="2295" spans="5:8" x14ac:dyDescent="0.25">
      <c r="E2295" t="str">
        <f>""</f>
        <v/>
      </c>
      <c r="F2295" t="str">
        <f>""</f>
        <v/>
      </c>
      <c r="H2295" t="str">
        <f t="shared" si="50"/>
        <v>BCBS PAYABLE</v>
      </c>
    </row>
    <row r="2296" spans="5:8" x14ac:dyDescent="0.25">
      <c r="E2296" t="str">
        <f>""</f>
        <v/>
      </c>
      <c r="F2296" t="str">
        <f>""</f>
        <v/>
      </c>
      <c r="H2296" t="str">
        <f t="shared" si="50"/>
        <v>BCBS PAYABLE</v>
      </c>
    </row>
    <row r="2297" spans="5:8" x14ac:dyDescent="0.25">
      <c r="E2297" t="str">
        <f>""</f>
        <v/>
      </c>
      <c r="F2297" t="str">
        <f>""</f>
        <v/>
      </c>
      <c r="H2297" t="str">
        <f t="shared" si="50"/>
        <v>BCBS PAYABLE</v>
      </c>
    </row>
    <row r="2298" spans="5:8" x14ac:dyDescent="0.25">
      <c r="E2298" t="str">
        <f>""</f>
        <v/>
      </c>
      <c r="F2298" t="str">
        <f>""</f>
        <v/>
      </c>
      <c r="H2298" t="str">
        <f t="shared" si="50"/>
        <v>BCBS PAYABLE</v>
      </c>
    </row>
    <row r="2299" spans="5:8" x14ac:dyDescent="0.25">
      <c r="E2299" t="str">
        <f>""</f>
        <v/>
      </c>
      <c r="F2299" t="str">
        <f>""</f>
        <v/>
      </c>
      <c r="H2299" t="str">
        <f t="shared" si="50"/>
        <v>BCBS PAYABLE</v>
      </c>
    </row>
    <row r="2300" spans="5:8" x14ac:dyDescent="0.25">
      <c r="E2300" t="str">
        <f>"2ES201902067161"</f>
        <v>2ES201902067161</v>
      </c>
      <c r="F2300" t="str">
        <f>"BCBS PAYABLE"</f>
        <v>BCBS PAYABLE</v>
      </c>
      <c r="G2300" s="2">
        <v>14078.4</v>
      </c>
      <c r="H2300" t="str">
        <f t="shared" ref="H2300:H2329" si="51">"BCBS PAYABLE"</f>
        <v>BCBS PAYABLE</v>
      </c>
    </row>
    <row r="2301" spans="5:8" x14ac:dyDescent="0.25">
      <c r="E2301" t="str">
        <f>""</f>
        <v/>
      </c>
      <c r="F2301" t="str">
        <f>""</f>
        <v/>
      </c>
      <c r="H2301" t="str">
        <f t="shared" si="51"/>
        <v>BCBS PAYABLE</v>
      </c>
    </row>
    <row r="2302" spans="5:8" x14ac:dyDescent="0.25">
      <c r="E2302" t="str">
        <f>""</f>
        <v/>
      </c>
      <c r="F2302" t="str">
        <f>""</f>
        <v/>
      </c>
      <c r="H2302" t="str">
        <f t="shared" si="51"/>
        <v>BCBS PAYABLE</v>
      </c>
    </row>
    <row r="2303" spans="5:8" x14ac:dyDescent="0.25">
      <c r="E2303" t="str">
        <f>""</f>
        <v/>
      </c>
      <c r="F2303" t="str">
        <f>""</f>
        <v/>
      </c>
      <c r="H2303" t="str">
        <f t="shared" si="51"/>
        <v>BCBS PAYABLE</v>
      </c>
    </row>
    <row r="2304" spans="5:8" x14ac:dyDescent="0.25">
      <c r="E2304" t="str">
        <f>""</f>
        <v/>
      </c>
      <c r="F2304" t="str">
        <f>""</f>
        <v/>
      </c>
      <c r="H2304" t="str">
        <f t="shared" si="51"/>
        <v>BCBS PAYABLE</v>
      </c>
    </row>
    <row r="2305" spans="5:8" x14ac:dyDescent="0.25">
      <c r="E2305" t="str">
        <f>""</f>
        <v/>
      </c>
      <c r="F2305" t="str">
        <f>""</f>
        <v/>
      </c>
      <c r="H2305" t="str">
        <f t="shared" si="51"/>
        <v>BCBS PAYABLE</v>
      </c>
    </row>
    <row r="2306" spans="5:8" x14ac:dyDescent="0.25">
      <c r="E2306" t="str">
        <f>""</f>
        <v/>
      </c>
      <c r="F2306" t="str">
        <f>""</f>
        <v/>
      </c>
      <c r="H2306" t="str">
        <f t="shared" si="51"/>
        <v>BCBS PAYABLE</v>
      </c>
    </row>
    <row r="2307" spans="5:8" x14ac:dyDescent="0.25">
      <c r="E2307" t="str">
        <f>""</f>
        <v/>
      </c>
      <c r="F2307" t="str">
        <f>""</f>
        <v/>
      </c>
      <c r="H2307" t="str">
        <f t="shared" si="51"/>
        <v>BCBS PAYABLE</v>
      </c>
    </row>
    <row r="2308" spans="5:8" x14ac:dyDescent="0.25">
      <c r="E2308" t="str">
        <f>""</f>
        <v/>
      </c>
      <c r="F2308" t="str">
        <f>""</f>
        <v/>
      </c>
      <c r="H2308" t="str">
        <f t="shared" si="51"/>
        <v>BCBS PAYABLE</v>
      </c>
    </row>
    <row r="2309" spans="5:8" x14ac:dyDescent="0.25">
      <c r="E2309" t="str">
        <f>""</f>
        <v/>
      </c>
      <c r="F2309" t="str">
        <f>""</f>
        <v/>
      </c>
      <c r="H2309" t="str">
        <f t="shared" si="51"/>
        <v>BCBS PAYABLE</v>
      </c>
    </row>
    <row r="2310" spans="5:8" x14ac:dyDescent="0.25">
      <c r="E2310" t="str">
        <f>""</f>
        <v/>
      </c>
      <c r="F2310" t="str">
        <f>""</f>
        <v/>
      </c>
      <c r="H2310" t="str">
        <f t="shared" si="51"/>
        <v>BCBS PAYABLE</v>
      </c>
    </row>
    <row r="2311" spans="5:8" x14ac:dyDescent="0.25">
      <c r="E2311" t="str">
        <f>""</f>
        <v/>
      </c>
      <c r="F2311" t="str">
        <f>""</f>
        <v/>
      </c>
      <c r="H2311" t="str">
        <f t="shared" si="51"/>
        <v>BCBS PAYABLE</v>
      </c>
    </row>
    <row r="2312" spans="5:8" x14ac:dyDescent="0.25">
      <c r="E2312" t="str">
        <f>""</f>
        <v/>
      </c>
      <c r="F2312" t="str">
        <f>""</f>
        <v/>
      </c>
      <c r="H2312" t="str">
        <f t="shared" si="51"/>
        <v>BCBS PAYABLE</v>
      </c>
    </row>
    <row r="2313" spans="5:8" x14ac:dyDescent="0.25">
      <c r="E2313" t="str">
        <f>""</f>
        <v/>
      </c>
      <c r="F2313" t="str">
        <f>""</f>
        <v/>
      </c>
      <c r="H2313" t="str">
        <f t="shared" si="51"/>
        <v>BCBS PAYABLE</v>
      </c>
    </row>
    <row r="2314" spans="5:8" x14ac:dyDescent="0.25">
      <c r="E2314" t="str">
        <f>""</f>
        <v/>
      </c>
      <c r="F2314" t="str">
        <f>""</f>
        <v/>
      </c>
      <c r="H2314" t="str">
        <f t="shared" si="51"/>
        <v>BCBS PAYABLE</v>
      </c>
    </row>
    <row r="2315" spans="5:8" x14ac:dyDescent="0.25">
      <c r="E2315" t="str">
        <f>"2ES201902277541"</f>
        <v>2ES201902277541</v>
      </c>
      <c r="F2315" t="str">
        <f>"BCBS PAYABLE"</f>
        <v>BCBS PAYABLE</v>
      </c>
      <c r="G2315" s="2">
        <v>14078.4</v>
      </c>
      <c r="H2315" t="str">
        <f t="shared" si="51"/>
        <v>BCBS PAYABLE</v>
      </c>
    </row>
    <row r="2316" spans="5:8" x14ac:dyDescent="0.25">
      <c r="E2316" t="str">
        <f>""</f>
        <v/>
      </c>
      <c r="F2316" t="str">
        <f>""</f>
        <v/>
      </c>
      <c r="H2316" t="str">
        <f t="shared" si="51"/>
        <v>BCBS PAYABLE</v>
      </c>
    </row>
    <row r="2317" spans="5:8" x14ac:dyDescent="0.25">
      <c r="E2317" t="str">
        <f>""</f>
        <v/>
      </c>
      <c r="F2317" t="str">
        <f>""</f>
        <v/>
      </c>
      <c r="H2317" t="str">
        <f t="shared" si="51"/>
        <v>BCBS PAYABLE</v>
      </c>
    </row>
    <row r="2318" spans="5:8" x14ac:dyDescent="0.25">
      <c r="E2318" t="str">
        <f>""</f>
        <v/>
      </c>
      <c r="F2318" t="str">
        <f>""</f>
        <v/>
      </c>
      <c r="H2318" t="str">
        <f t="shared" si="51"/>
        <v>BCBS PAYABLE</v>
      </c>
    </row>
    <row r="2319" spans="5:8" x14ac:dyDescent="0.25">
      <c r="E2319" t="str">
        <f>""</f>
        <v/>
      </c>
      <c r="F2319" t="str">
        <f>""</f>
        <v/>
      </c>
      <c r="H2319" t="str">
        <f t="shared" si="51"/>
        <v>BCBS PAYABLE</v>
      </c>
    </row>
    <row r="2320" spans="5:8" x14ac:dyDescent="0.25">
      <c r="E2320" t="str">
        <f>""</f>
        <v/>
      </c>
      <c r="F2320" t="str">
        <f>""</f>
        <v/>
      </c>
      <c r="H2320" t="str">
        <f t="shared" si="51"/>
        <v>BCBS PAYABLE</v>
      </c>
    </row>
    <row r="2321" spans="1:8" x14ac:dyDescent="0.25">
      <c r="E2321" t="str">
        <f>""</f>
        <v/>
      </c>
      <c r="F2321" t="str">
        <f>""</f>
        <v/>
      </c>
      <c r="H2321" t="str">
        <f t="shared" si="51"/>
        <v>BCBS PAYABLE</v>
      </c>
    </row>
    <row r="2322" spans="1:8" x14ac:dyDescent="0.25">
      <c r="E2322" t="str">
        <f>""</f>
        <v/>
      </c>
      <c r="F2322" t="str">
        <f>""</f>
        <v/>
      </c>
      <c r="H2322" t="str">
        <f t="shared" si="51"/>
        <v>BCBS PAYABLE</v>
      </c>
    </row>
    <row r="2323" spans="1:8" x14ac:dyDescent="0.25">
      <c r="E2323" t="str">
        <f>""</f>
        <v/>
      </c>
      <c r="F2323" t="str">
        <f>""</f>
        <v/>
      </c>
      <c r="H2323" t="str">
        <f t="shared" si="51"/>
        <v>BCBS PAYABLE</v>
      </c>
    </row>
    <row r="2324" spans="1:8" x14ac:dyDescent="0.25">
      <c r="E2324" t="str">
        <f>""</f>
        <v/>
      </c>
      <c r="F2324" t="str">
        <f>""</f>
        <v/>
      </c>
      <c r="H2324" t="str">
        <f t="shared" si="51"/>
        <v>BCBS PAYABLE</v>
      </c>
    </row>
    <row r="2325" spans="1:8" x14ac:dyDescent="0.25">
      <c r="E2325" t="str">
        <f>""</f>
        <v/>
      </c>
      <c r="F2325" t="str">
        <f>""</f>
        <v/>
      </c>
      <c r="H2325" t="str">
        <f t="shared" si="51"/>
        <v>BCBS PAYABLE</v>
      </c>
    </row>
    <row r="2326" spans="1:8" x14ac:dyDescent="0.25">
      <c r="E2326" t="str">
        <f>""</f>
        <v/>
      </c>
      <c r="F2326" t="str">
        <f>""</f>
        <v/>
      </c>
      <c r="H2326" t="str">
        <f t="shared" si="51"/>
        <v>BCBS PAYABLE</v>
      </c>
    </row>
    <row r="2327" spans="1:8" x14ac:dyDescent="0.25">
      <c r="E2327" t="str">
        <f>""</f>
        <v/>
      </c>
      <c r="F2327" t="str">
        <f>""</f>
        <v/>
      </c>
      <c r="H2327" t="str">
        <f t="shared" si="51"/>
        <v>BCBS PAYABLE</v>
      </c>
    </row>
    <row r="2328" spans="1:8" x14ac:dyDescent="0.25">
      <c r="E2328" t="str">
        <f>""</f>
        <v/>
      </c>
      <c r="F2328" t="str">
        <f>""</f>
        <v/>
      </c>
      <c r="H2328" t="str">
        <f t="shared" si="51"/>
        <v>BCBS PAYABLE</v>
      </c>
    </row>
    <row r="2329" spans="1:8" x14ac:dyDescent="0.25">
      <c r="E2329" t="str">
        <f>""</f>
        <v/>
      </c>
      <c r="F2329" t="str">
        <f>""</f>
        <v/>
      </c>
      <c r="H2329" t="str">
        <f t="shared" si="51"/>
        <v>BCBS PAYABLE</v>
      </c>
    </row>
    <row r="2330" spans="1:8" x14ac:dyDescent="0.25">
      <c r="A2330" t="s">
        <v>455</v>
      </c>
      <c r="B2330">
        <v>62</v>
      </c>
      <c r="C2330" s="2">
        <v>13231.93</v>
      </c>
      <c r="D2330" s="1">
        <v>43504</v>
      </c>
      <c r="E2330" t="str">
        <f>"FSA201902067161"</f>
        <v>FSA201902067161</v>
      </c>
      <c r="F2330" t="str">
        <f>"TASC FSA"</f>
        <v>TASC FSA</v>
      </c>
      <c r="G2330" s="2">
        <v>7814</v>
      </c>
      <c r="H2330" t="str">
        <f>"TASC FSA"</f>
        <v>TASC FSA</v>
      </c>
    </row>
    <row r="2331" spans="1:8" x14ac:dyDescent="0.25">
      <c r="E2331" t="str">
        <f>"FSA201902067196"</f>
        <v>FSA201902067196</v>
      </c>
      <c r="F2331" t="str">
        <f>"TASC FSA"</f>
        <v>TASC FSA</v>
      </c>
      <c r="G2331" s="2">
        <v>550.05999999999995</v>
      </c>
      <c r="H2331" t="str">
        <f>"TASC FSA"</f>
        <v>TASC FSA</v>
      </c>
    </row>
    <row r="2332" spans="1:8" x14ac:dyDescent="0.25">
      <c r="E2332" t="str">
        <f>"FSC201902067161"</f>
        <v>FSC201902067161</v>
      </c>
      <c r="F2332" t="str">
        <f>"TASC DEPENDENT CARE"</f>
        <v>TASC DEPENDENT CARE</v>
      </c>
      <c r="G2332" s="2">
        <v>313.95999999999998</v>
      </c>
      <c r="H2332" t="str">
        <f>"TASC DEPENDENT CARE"</f>
        <v>TASC DEPENDENT CARE</v>
      </c>
    </row>
    <row r="2333" spans="1:8" x14ac:dyDescent="0.25">
      <c r="E2333" t="str">
        <f>"FSF201902067161"</f>
        <v>FSF201902067161</v>
      </c>
      <c r="F2333" t="str">
        <f>"TASC - FSA  FEES"</f>
        <v>TASC - FSA  FEES</v>
      </c>
      <c r="G2333" s="2">
        <v>271.8</v>
      </c>
      <c r="H2333" t="str">
        <f t="shared" ref="H2333:H2370" si="52">"TASC - FSA  FEES"</f>
        <v>TASC - FSA  FEES</v>
      </c>
    </row>
    <row r="2334" spans="1:8" x14ac:dyDescent="0.25">
      <c r="E2334" t="str">
        <f>""</f>
        <v/>
      </c>
      <c r="F2334" t="str">
        <f>""</f>
        <v/>
      </c>
      <c r="H2334" t="str">
        <f t="shared" si="52"/>
        <v>TASC - FSA  FEES</v>
      </c>
    </row>
    <row r="2335" spans="1:8" x14ac:dyDescent="0.25">
      <c r="E2335" t="str">
        <f>""</f>
        <v/>
      </c>
      <c r="F2335" t="str">
        <f>""</f>
        <v/>
      </c>
      <c r="H2335" t="str">
        <f t="shared" si="52"/>
        <v>TASC - FSA  FEES</v>
      </c>
    </row>
    <row r="2336" spans="1:8" x14ac:dyDescent="0.25">
      <c r="E2336" t="str">
        <f>""</f>
        <v/>
      </c>
      <c r="F2336" t="str">
        <f>""</f>
        <v/>
      </c>
      <c r="H2336" t="str">
        <f t="shared" si="52"/>
        <v>TASC - FSA  FEES</v>
      </c>
    </row>
    <row r="2337" spans="5:8" x14ac:dyDescent="0.25">
      <c r="E2337" t="str">
        <f>""</f>
        <v/>
      </c>
      <c r="F2337" t="str">
        <f>""</f>
        <v/>
      </c>
      <c r="H2337" t="str">
        <f t="shared" si="52"/>
        <v>TASC - FSA  FEES</v>
      </c>
    </row>
    <row r="2338" spans="5:8" x14ac:dyDescent="0.25">
      <c r="E2338" t="str">
        <f>""</f>
        <v/>
      </c>
      <c r="F2338" t="str">
        <f>""</f>
        <v/>
      </c>
      <c r="H2338" t="str">
        <f t="shared" si="52"/>
        <v>TASC - FSA  FEES</v>
      </c>
    </row>
    <row r="2339" spans="5:8" x14ac:dyDescent="0.25">
      <c r="E2339" t="str">
        <f>""</f>
        <v/>
      </c>
      <c r="F2339" t="str">
        <f>""</f>
        <v/>
      </c>
      <c r="H2339" t="str">
        <f t="shared" si="52"/>
        <v>TASC - FSA  FEES</v>
      </c>
    </row>
    <row r="2340" spans="5:8" x14ac:dyDescent="0.25">
      <c r="E2340" t="str">
        <f>""</f>
        <v/>
      </c>
      <c r="F2340" t="str">
        <f>""</f>
        <v/>
      </c>
      <c r="H2340" t="str">
        <f t="shared" si="52"/>
        <v>TASC - FSA  FEES</v>
      </c>
    </row>
    <row r="2341" spans="5:8" x14ac:dyDescent="0.25">
      <c r="E2341" t="str">
        <f>""</f>
        <v/>
      </c>
      <c r="F2341" t="str">
        <f>""</f>
        <v/>
      </c>
      <c r="H2341" t="str">
        <f t="shared" si="52"/>
        <v>TASC - FSA  FEES</v>
      </c>
    </row>
    <row r="2342" spans="5:8" x14ac:dyDescent="0.25">
      <c r="E2342" t="str">
        <f>""</f>
        <v/>
      </c>
      <c r="F2342" t="str">
        <f>""</f>
        <v/>
      </c>
      <c r="H2342" t="str">
        <f t="shared" si="52"/>
        <v>TASC - FSA  FEES</v>
      </c>
    </row>
    <row r="2343" spans="5:8" x14ac:dyDescent="0.25">
      <c r="E2343" t="str">
        <f>""</f>
        <v/>
      </c>
      <c r="F2343" t="str">
        <f>""</f>
        <v/>
      </c>
      <c r="H2343" t="str">
        <f t="shared" si="52"/>
        <v>TASC - FSA  FEES</v>
      </c>
    </row>
    <row r="2344" spans="5:8" x14ac:dyDescent="0.25">
      <c r="E2344" t="str">
        <f>""</f>
        <v/>
      </c>
      <c r="F2344" t="str">
        <f>""</f>
        <v/>
      </c>
      <c r="H2344" t="str">
        <f t="shared" si="52"/>
        <v>TASC - FSA  FEES</v>
      </c>
    </row>
    <row r="2345" spans="5:8" x14ac:dyDescent="0.25">
      <c r="E2345" t="str">
        <f>""</f>
        <v/>
      </c>
      <c r="F2345" t="str">
        <f>""</f>
        <v/>
      </c>
      <c r="H2345" t="str">
        <f t="shared" si="52"/>
        <v>TASC - FSA  FEES</v>
      </c>
    </row>
    <row r="2346" spans="5:8" x14ac:dyDescent="0.25">
      <c r="E2346" t="str">
        <f>""</f>
        <v/>
      </c>
      <c r="F2346" t="str">
        <f>""</f>
        <v/>
      </c>
      <c r="H2346" t="str">
        <f t="shared" si="52"/>
        <v>TASC - FSA  FEES</v>
      </c>
    </row>
    <row r="2347" spans="5:8" x14ac:dyDescent="0.25">
      <c r="E2347" t="str">
        <f>""</f>
        <v/>
      </c>
      <c r="F2347" t="str">
        <f>""</f>
        <v/>
      </c>
      <c r="H2347" t="str">
        <f t="shared" si="52"/>
        <v>TASC - FSA  FEES</v>
      </c>
    </row>
    <row r="2348" spans="5:8" x14ac:dyDescent="0.25">
      <c r="E2348" t="str">
        <f>""</f>
        <v/>
      </c>
      <c r="F2348" t="str">
        <f>""</f>
        <v/>
      </c>
      <c r="H2348" t="str">
        <f t="shared" si="52"/>
        <v>TASC - FSA  FEES</v>
      </c>
    </row>
    <row r="2349" spans="5:8" x14ac:dyDescent="0.25">
      <c r="E2349" t="str">
        <f>""</f>
        <v/>
      </c>
      <c r="F2349" t="str">
        <f>""</f>
        <v/>
      </c>
      <c r="H2349" t="str">
        <f t="shared" si="52"/>
        <v>TASC - FSA  FEES</v>
      </c>
    </row>
    <row r="2350" spans="5:8" x14ac:dyDescent="0.25">
      <c r="E2350" t="str">
        <f>""</f>
        <v/>
      </c>
      <c r="F2350" t="str">
        <f>""</f>
        <v/>
      </c>
      <c r="H2350" t="str">
        <f t="shared" si="52"/>
        <v>TASC - FSA  FEES</v>
      </c>
    </row>
    <row r="2351" spans="5:8" x14ac:dyDescent="0.25">
      <c r="E2351" t="str">
        <f>""</f>
        <v/>
      </c>
      <c r="F2351" t="str">
        <f>""</f>
        <v/>
      </c>
      <c r="H2351" t="str">
        <f t="shared" si="52"/>
        <v>TASC - FSA  FEES</v>
      </c>
    </row>
    <row r="2352" spans="5:8" x14ac:dyDescent="0.25">
      <c r="E2352" t="str">
        <f>""</f>
        <v/>
      </c>
      <c r="F2352" t="str">
        <f>""</f>
        <v/>
      </c>
      <c r="H2352" t="str">
        <f t="shared" si="52"/>
        <v>TASC - FSA  FEES</v>
      </c>
    </row>
    <row r="2353" spans="5:8" x14ac:dyDescent="0.25">
      <c r="E2353" t="str">
        <f>""</f>
        <v/>
      </c>
      <c r="F2353" t="str">
        <f>""</f>
        <v/>
      </c>
      <c r="H2353" t="str">
        <f t="shared" si="52"/>
        <v>TASC - FSA  FEES</v>
      </c>
    </row>
    <row r="2354" spans="5:8" x14ac:dyDescent="0.25">
      <c r="E2354" t="str">
        <f>""</f>
        <v/>
      </c>
      <c r="F2354" t="str">
        <f>""</f>
        <v/>
      </c>
      <c r="H2354" t="str">
        <f t="shared" si="52"/>
        <v>TASC - FSA  FEES</v>
      </c>
    </row>
    <row r="2355" spans="5:8" x14ac:dyDescent="0.25">
      <c r="E2355" t="str">
        <f>""</f>
        <v/>
      </c>
      <c r="F2355" t="str">
        <f>""</f>
        <v/>
      </c>
      <c r="H2355" t="str">
        <f t="shared" si="52"/>
        <v>TASC - FSA  FEES</v>
      </c>
    </row>
    <row r="2356" spans="5:8" x14ac:dyDescent="0.25">
      <c r="E2356" t="str">
        <f>""</f>
        <v/>
      </c>
      <c r="F2356" t="str">
        <f>""</f>
        <v/>
      </c>
      <c r="H2356" t="str">
        <f t="shared" si="52"/>
        <v>TASC - FSA  FEES</v>
      </c>
    </row>
    <row r="2357" spans="5:8" x14ac:dyDescent="0.25">
      <c r="E2357" t="str">
        <f>""</f>
        <v/>
      </c>
      <c r="F2357" t="str">
        <f>""</f>
        <v/>
      </c>
      <c r="H2357" t="str">
        <f t="shared" si="52"/>
        <v>TASC - FSA  FEES</v>
      </c>
    </row>
    <row r="2358" spans="5:8" x14ac:dyDescent="0.25">
      <c r="E2358" t="str">
        <f>""</f>
        <v/>
      </c>
      <c r="F2358" t="str">
        <f>""</f>
        <v/>
      </c>
      <c r="H2358" t="str">
        <f t="shared" si="52"/>
        <v>TASC - FSA  FEES</v>
      </c>
    </row>
    <row r="2359" spans="5:8" x14ac:dyDescent="0.25">
      <c r="E2359" t="str">
        <f>""</f>
        <v/>
      </c>
      <c r="F2359" t="str">
        <f>""</f>
        <v/>
      </c>
      <c r="H2359" t="str">
        <f t="shared" si="52"/>
        <v>TASC - FSA  FEES</v>
      </c>
    </row>
    <row r="2360" spans="5:8" x14ac:dyDescent="0.25">
      <c r="E2360" t="str">
        <f>""</f>
        <v/>
      </c>
      <c r="F2360" t="str">
        <f>""</f>
        <v/>
      </c>
      <c r="H2360" t="str">
        <f t="shared" si="52"/>
        <v>TASC - FSA  FEES</v>
      </c>
    </row>
    <row r="2361" spans="5:8" x14ac:dyDescent="0.25">
      <c r="E2361" t="str">
        <f>""</f>
        <v/>
      </c>
      <c r="F2361" t="str">
        <f>""</f>
        <v/>
      </c>
      <c r="H2361" t="str">
        <f t="shared" si="52"/>
        <v>TASC - FSA  FEES</v>
      </c>
    </row>
    <row r="2362" spans="5:8" x14ac:dyDescent="0.25">
      <c r="E2362" t="str">
        <f>""</f>
        <v/>
      </c>
      <c r="F2362" t="str">
        <f>""</f>
        <v/>
      </c>
      <c r="H2362" t="str">
        <f t="shared" si="52"/>
        <v>TASC - FSA  FEES</v>
      </c>
    </row>
    <row r="2363" spans="5:8" x14ac:dyDescent="0.25">
      <c r="E2363" t="str">
        <f>""</f>
        <v/>
      </c>
      <c r="F2363" t="str">
        <f>""</f>
        <v/>
      </c>
      <c r="H2363" t="str">
        <f t="shared" si="52"/>
        <v>TASC - FSA  FEES</v>
      </c>
    </row>
    <row r="2364" spans="5:8" x14ac:dyDescent="0.25">
      <c r="E2364" t="str">
        <f>""</f>
        <v/>
      </c>
      <c r="F2364" t="str">
        <f>""</f>
        <v/>
      </c>
      <c r="H2364" t="str">
        <f t="shared" si="52"/>
        <v>TASC - FSA  FEES</v>
      </c>
    </row>
    <row r="2365" spans="5:8" x14ac:dyDescent="0.25">
      <c r="E2365" t="str">
        <f>""</f>
        <v/>
      </c>
      <c r="F2365" t="str">
        <f>""</f>
        <v/>
      </c>
      <c r="H2365" t="str">
        <f t="shared" si="52"/>
        <v>TASC - FSA  FEES</v>
      </c>
    </row>
    <row r="2366" spans="5:8" x14ac:dyDescent="0.25">
      <c r="E2366" t="str">
        <f>""</f>
        <v/>
      </c>
      <c r="F2366" t="str">
        <f>""</f>
        <v/>
      </c>
      <c r="H2366" t="str">
        <f t="shared" si="52"/>
        <v>TASC - FSA  FEES</v>
      </c>
    </row>
    <row r="2367" spans="5:8" x14ac:dyDescent="0.25">
      <c r="E2367" t="str">
        <f>""</f>
        <v/>
      </c>
      <c r="F2367" t="str">
        <f>""</f>
        <v/>
      </c>
      <c r="H2367" t="str">
        <f t="shared" si="52"/>
        <v>TASC - FSA  FEES</v>
      </c>
    </row>
    <row r="2368" spans="5:8" x14ac:dyDescent="0.25">
      <c r="E2368" t="str">
        <f>""</f>
        <v/>
      </c>
      <c r="F2368" t="str">
        <f>""</f>
        <v/>
      </c>
      <c r="H2368" t="str">
        <f t="shared" si="52"/>
        <v>TASC - FSA  FEES</v>
      </c>
    </row>
    <row r="2369" spans="5:8" x14ac:dyDescent="0.25">
      <c r="E2369" t="str">
        <f>""</f>
        <v/>
      </c>
      <c r="F2369" t="str">
        <f>""</f>
        <v/>
      </c>
      <c r="H2369" t="str">
        <f t="shared" si="52"/>
        <v>TASC - FSA  FEES</v>
      </c>
    </row>
    <row r="2370" spans="5:8" x14ac:dyDescent="0.25">
      <c r="E2370" t="str">
        <f>"FSF201902067196"</f>
        <v>FSF201902067196</v>
      </c>
      <c r="F2370" t="str">
        <f>"TASC - FSA  FEES"</f>
        <v>TASC - FSA  FEES</v>
      </c>
      <c r="G2370" s="2">
        <v>12.6</v>
      </c>
      <c r="H2370" t="str">
        <f t="shared" si="52"/>
        <v>TASC - FSA  FEES</v>
      </c>
    </row>
    <row r="2371" spans="5:8" x14ac:dyDescent="0.25">
      <c r="E2371" t="str">
        <f>"HRA201902067161"</f>
        <v>HRA201902067161</v>
      </c>
      <c r="F2371" t="str">
        <f>"TASC HRA"</f>
        <v>TASC HRA</v>
      </c>
      <c r="G2371" s="2">
        <v>3200.04</v>
      </c>
      <c r="H2371" t="str">
        <f t="shared" ref="H2371:H2382" si="53">"TASC HRA"</f>
        <v>TASC HRA</v>
      </c>
    </row>
    <row r="2372" spans="5:8" x14ac:dyDescent="0.25">
      <c r="E2372" t="str">
        <f>""</f>
        <v/>
      </c>
      <c r="F2372" t="str">
        <f>""</f>
        <v/>
      </c>
      <c r="H2372" t="str">
        <f t="shared" si="53"/>
        <v>TASC HRA</v>
      </c>
    </row>
    <row r="2373" spans="5:8" x14ac:dyDescent="0.25">
      <c r="E2373" t="str">
        <f>""</f>
        <v/>
      </c>
      <c r="F2373" t="str">
        <f>""</f>
        <v/>
      </c>
      <c r="H2373" t="str">
        <f t="shared" si="53"/>
        <v>TASC HRA</v>
      </c>
    </row>
    <row r="2374" spans="5:8" x14ac:dyDescent="0.25">
      <c r="E2374" t="str">
        <f>""</f>
        <v/>
      </c>
      <c r="F2374" t="str">
        <f>""</f>
        <v/>
      </c>
      <c r="H2374" t="str">
        <f t="shared" si="53"/>
        <v>TASC HRA</v>
      </c>
    </row>
    <row r="2375" spans="5:8" x14ac:dyDescent="0.25">
      <c r="E2375" t="str">
        <f>""</f>
        <v/>
      </c>
      <c r="F2375" t="str">
        <f>""</f>
        <v/>
      </c>
      <c r="H2375" t="str">
        <f t="shared" si="53"/>
        <v>TASC HRA</v>
      </c>
    </row>
    <row r="2376" spans="5:8" x14ac:dyDescent="0.25">
      <c r="E2376" t="str">
        <f>""</f>
        <v/>
      </c>
      <c r="F2376" t="str">
        <f>""</f>
        <v/>
      </c>
      <c r="H2376" t="str">
        <f t="shared" si="53"/>
        <v>TASC HRA</v>
      </c>
    </row>
    <row r="2377" spans="5:8" x14ac:dyDescent="0.25">
      <c r="E2377" t="str">
        <f>""</f>
        <v/>
      </c>
      <c r="F2377" t="str">
        <f>""</f>
        <v/>
      </c>
      <c r="H2377" t="str">
        <f t="shared" si="53"/>
        <v>TASC HRA</v>
      </c>
    </row>
    <row r="2378" spans="5:8" x14ac:dyDescent="0.25">
      <c r="E2378" t="str">
        <f>""</f>
        <v/>
      </c>
      <c r="F2378" t="str">
        <f>""</f>
        <v/>
      </c>
      <c r="H2378" t="str">
        <f t="shared" si="53"/>
        <v>TASC HRA</v>
      </c>
    </row>
    <row r="2379" spans="5:8" x14ac:dyDescent="0.25">
      <c r="E2379" t="str">
        <f>""</f>
        <v/>
      </c>
      <c r="F2379" t="str">
        <f>""</f>
        <v/>
      </c>
      <c r="H2379" t="str">
        <f t="shared" si="53"/>
        <v>TASC HRA</v>
      </c>
    </row>
    <row r="2380" spans="5:8" x14ac:dyDescent="0.25">
      <c r="E2380" t="str">
        <f>""</f>
        <v/>
      </c>
      <c r="F2380" t="str">
        <f>""</f>
        <v/>
      </c>
      <c r="H2380" t="str">
        <f t="shared" si="53"/>
        <v>TASC HRA</v>
      </c>
    </row>
    <row r="2381" spans="5:8" x14ac:dyDescent="0.25">
      <c r="E2381" t="str">
        <f>""</f>
        <v/>
      </c>
      <c r="F2381" t="str">
        <f>""</f>
        <v/>
      </c>
      <c r="H2381" t="str">
        <f t="shared" si="53"/>
        <v>TASC HRA</v>
      </c>
    </row>
    <row r="2382" spans="5:8" x14ac:dyDescent="0.25">
      <c r="E2382" t="str">
        <f>"HRA201902067196"</f>
        <v>HRA201902067196</v>
      </c>
      <c r="F2382" t="str">
        <f>"TASC HRA"</f>
        <v>TASC HRA</v>
      </c>
      <c r="G2382" s="2">
        <v>266.67</v>
      </c>
      <c r="H2382" t="str">
        <f t="shared" si="53"/>
        <v>TASC HRA</v>
      </c>
    </row>
    <row r="2383" spans="5:8" x14ac:dyDescent="0.25">
      <c r="E2383" t="str">
        <f>"HRF201902067161"</f>
        <v>HRF201902067161</v>
      </c>
      <c r="F2383" t="str">
        <f>"TASC - HRA FEES"</f>
        <v>TASC - HRA FEES</v>
      </c>
      <c r="G2383" s="2">
        <v>774</v>
      </c>
      <c r="H2383" t="str">
        <f t="shared" ref="H2383:H2414" si="54">"TASC - HRA FEES"</f>
        <v>TASC - HRA FEES</v>
      </c>
    </row>
    <row r="2384" spans="5:8" x14ac:dyDescent="0.25">
      <c r="E2384" t="str">
        <f>""</f>
        <v/>
      </c>
      <c r="F2384" t="str">
        <f>""</f>
        <v/>
      </c>
      <c r="H2384" t="str">
        <f t="shared" si="54"/>
        <v>TASC - HRA FEES</v>
      </c>
    </row>
    <row r="2385" spans="5:8" x14ac:dyDescent="0.25">
      <c r="E2385" t="str">
        <f>""</f>
        <v/>
      </c>
      <c r="F2385" t="str">
        <f>""</f>
        <v/>
      </c>
      <c r="H2385" t="str">
        <f t="shared" si="54"/>
        <v>TASC - HRA FEES</v>
      </c>
    </row>
    <row r="2386" spans="5:8" x14ac:dyDescent="0.25">
      <c r="E2386" t="str">
        <f>""</f>
        <v/>
      </c>
      <c r="F2386" t="str">
        <f>""</f>
        <v/>
      </c>
      <c r="H2386" t="str">
        <f t="shared" si="54"/>
        <v>TASC - HRA FEES</v>
      </c>
    </row>
    <row r="2387" spans="5:8" x14ac:dyDescent="0.25">
      <c r="E2387" t="str">
        <f>""</f>
        <v/>
      </c>
      <c r="F2387" t="str">
        <f>""</f>
        <v/>
      </c>
      <c r="H2387" t="str">
        <f t="shared" si="54"/>
        <v>TASC - HRA FEES</v>
      </c>
    </row>
    <row r="2388" spans="5:8" x14ac:dyDescent="0.25">
      <c r="E2388" t="str">
        <f>""</f>
        <v/>
      </c>
      <c r="F2388" t="str">
        <f>""</f>
        <v/>
      </c>
      <c r="H2388" t="str">
        <f t="shared" si="54"/>
        <v>TASC - HRA FEES</v>
      </c>
    </row>
    <row r="2389" spans="5:8" x14ac:dyDescent="0.25">
      <c r="E2389" t="str">
        <f>""</f>
        <v/>
      </c>
      <c r="F2389" t="str">
        <f>""</f>
        <v/>
      </c>
      <c r="H2389" t="str">
        <f t="shared" si="54"/>
        <v>TASC - HRA FEES</v>
      </c>
    </row>
    <row r="2390" spans="5:8" x14ac:dyDescent="0.25">
      <c r="E2390" t="str">
        <f>""</f>
        <v/>
      </c>
      <c r="F2390" t="str">
        <f>""</f>
        <v/>
      </c>
      <c r="H2390" t="str">
        <f t="shared" si="54"/>
        <v>TASC - HRA FEES</v>
      </c>
    </row>
    <row r="2391" spans="5:8" x14ac:dyDescent="0.25">
      <c r="E2391" t="str">
        <f>""</f>
        <v/>
      </c>
      <c r="F2391" t="str">
        <f>""</f>
        <v/>
      </c>
      <c r="H2391" t="str">
        <f t="shared" si="54"/>
        <v>TASC - HRA FEES</v>
      </c>
    </row>
    <row r="2392" spans="5:8" x14ac:dyDescent="0.25">
      <c r="E2392" t="str">
        <f>""</f>
        <v/>
      </c>
      <c r="F2392" t="str">
        <f>""</f>
        <v/>
      </c>
      <c r="H2392" t="str">
        <f t="shared" si="54"/>
        <v>TASC - HRA FEES</v>
      </c>
    </row>
    <row r="2393" spans="5:8" x14ac:dyDescent="0.25">
      <c r="E2393" t="str">
        <f>""</f>
        <v/>
      </c>
      <c r="F2393" t="str">
        <f>""</f>
        <v/>
      </c>
      <c r="H2393" t="str">
        <f t="shared" si="54"/>
        <v>TASC - HRA FEES</v>
      </c>
    </row>
    <row r="2394" spans="5:8" x14ac:dyDescent="0.25">
      <c r="E2394" t="str">
        <f>""</f>
        <v/>
      </c>
      <c r="F2394" t="str">
        <f>""</f>
        <v/>
      </c>
      <c r="H2394" t="str">
        <f t="shared" si="54"/>
        <v>TASC - HRA FEES</v>
      </c>
    </row>
    <row r="2395" spans="5:8" x14ac:dyDescent="0.25">
      <c r="E2395" t="str">
        <f>""</f>
        <v/>
      </c>
      <c r="F2395" t="str">
        <f>""</f>
        <v/>
      </c>
      <c r="H2395" t="str">
        <f t="shared" si="54"/>
        <v>TASC - HRA FEES</v>
      </c>
    </row>
    <row r="2396" spans="5:8" x14ac:dyDescent="0.25">
      <c r="E2396" t="str">
        <f>""</f>
        <v/>
      </c>
      <c r="F2396" t="str">
        <f>""</f>
        <v/>
      </c>
      <c r="H2396" t="str">
        <f t="shared" si="54"/>
        <v>TASC - HRA FEES</v>
      </c>
    </row>
    <row r="2397" spans="5:8" x14ac:dyDescent="0.25">
      <c r="E2397" t="str">
        <f>""</f>
        <v/>
      </c>
      <c r="F2397" t="str">
        <f>""</f>
        <v/>
      </c>
      <c r="H2397" t="str">
        <f t="shared" si="54"/>
        <v>TASC - HRA FEES</v>
      </c>
    </row>
    <row r="2398" spans="5:8" x14ac:dyDescent="0.25">
      <c r="E2398" t="str">
        <f>""</f>
        <v/>
      </c>
      <c r="F2398" t="str">
        <f>""</f>
        <v/>
      </c>
      <c r="H2398" t="str">
        <f t="shared" si="54"/>
        <v>TASC - HRA FEES</v>
      </c>
    </row>
    <row r="2399" spans="5:8" x14ac:dyDescent="0.25">
      <c r="E2399" t="str">
        <f>""</f>
        <v/>
      </c>
      <c r="F2399" t="str">
        <f>""</f>
        <v/>
      </c>
      <c r="H2399" t="str">
        <f t="shared" si="54"/>
        <v>TASC - HRA FEES</v>
      </c>
    </row>
    <row r="2400" spans="5:8" x14ac:dyDescent="0.25">
      <c r="E2400" t="str">
        <f>""</f>
        <v/>
      </c>
      <c r="F2400" t="str">
        <f>""</f>
        <v/>
      </c>
      <c r="H2400" t="str">
        <f t="shared" si="54"/>
        <v>TASC - HRA FEES</v>
      </c>
    </row>
    <row r="2401" spans="5:8" x14ac:dyDescent="0.25">
      <c r="E2401" t="str">
        <f>""</f>
        <v/>
      </c>
      <c r="F2401" t="str">
        <f>""</f>
        <v/>
      </c>
      <c r="H2401" t="str">
        <f t="shared" si="54"/>
        <v>TASC - HRA FEES</v>
      </c>
    </row>
    <row r="2402" spans="5:8" x14ac:dyDescent="0.25">
      <c r="E2402" t="str">
        <f>""</f>
        <v/>
      </c>
      <c r="F2402" t="str">
        <f>""</f>
        <v/>
      </c>
      <c r="H2402" t="str">
        <f t="shared" si="54"/>
        <v>TASC - HRA FEES</v>
      </c>
    </row>
    <row r="2403" spans="5:8" x14ac:dyDescent="0.25">
      <c r="E2403" t="str">
        <f>""</f>
        <v/>
      </c>
      <c r="F2403" t="str">
        <f>""</f>
        <v/>
      </c>
      <c r="H2403" t="str">
        <f t="shared" si="54"/>
        <v>TASC - HRA FEES</v>
      </c>
    </row>
    <row r="2404" spans="5:8" x14ac:dyDescent="0.25">
      <c r="E2404" t="str">
        <f>""</f>
        <v/>
      </c>
      <c r="F2404" t="str">
        <f>""</f>
        <v/>
      </c>
      <c r="H2404" t="str">
        <f t="shared" si="54"/>
        <v>TASC - HRA FEES</v>
      </c>
    </row>
    <row r="2405" spans="5:8" x14ac:dyDescent="0.25">
      <c r="E2405" t="str">
        <f>""</f>
        <v/>
      </c>
      <c r="F2405" t="str">
        <f>""</f>
        <v/>
      </c>
      <c r="H2405" t="str">
        <f t="shared" si="54"/>
        <v>TASC - HRA FEES</v>
      </c>
    </row>
    <row r="2406" spans="5:8" x14ac:dyDescent="0.25">
      <c r="E2406" t="str">
        <f>""</f>
        <v/>
      </c>
      <c r="F2406" t="str">
        <f>""</f>
        <v/>
      </c>
      <c r="H2406" t="str">
        <f t="shared" si="54"/>
        <v>TASC - HRA FEES</v>
      </c>
    </row>
    <row r="2407" spans="5:8" x14ac:dyDescent="0.25">
      <c r="E2407" t="str">
        <f>""</f>
        <v/>
      </c>
      <c r="F2407" t="str">
        <f>""</f>
        <v/>
      </c>
      <c r="H2407" t="str">
        <f t="shared" si="54"/>
        <v>TASC - HRA FEES</v>
      </c>
    </row>
    <row r="2408" spans="5:8" x14ac:dyDescent="0.25">
      <c r="E2408" t="str">
        <f>""</f>
        <v/>
      </c>
      <c r="F2408" t="str">
        <f>""</f>
        <v/>
      </c>
      <c r="H2408" t="str">
        <f t="shared" si="54"/>
        <v>TASC - HRA FEES</v>
      </c>
    </row>
    <row r="2409" spans="5:8" x14ac:dyDescent="0.25">
      <c r="E2409" t="str">
        <f>""</f>
        <v/>
      </c>
      <c r="F2409" t="str">
        <f>""</f>
        <v/>
      </c>
      <c r="H2409" t="str">
        <f t="shared" si="54"/>
        <v>TASC - HRA FEES</v>
      </c>
    </row>
    <row r="2410" spans="5:8" x14ac:dyDescent="0.25">
      <c r="E2410" t="str">
        <f>""</f>
        <v/>
      </c>
      <c r="F2410" t="str">
        <f>""</f>
        <v/>
      </c>
      <c r="H2410" t="str">
        <f t="shared" si="54"/>
        <v>TASC - HRA FEES</v>
      </c>
    </row>
    <row r="2411" spans="5:8" x14ac:dyDescent="0.25">
      <c r="E2411" t="str">
        <f>""</f>
        <v/>
      </c>
      <c r="F2411" t="str">
        <f>""</f>
        <v/>
      </c>
      <c r="H2411" t="str">
        <f t="shared" si="54"/>
        <v>TASC - HRA FEES</v>
      </c>
    </row>
    <row r="2412" spans="5:8" x14ac:dyDescent="0.25">
      <c r="E2412" t="str">
        <f>""</f>
        <v/>
      </c>
      <c r="F2412" t="str">
        <f>""</f>
        <v/>
      </c>
      <c r="H2412" t="str">
        <f t="shared" si="54"/>
        <v>TASC - HRA FEES</v>
      </c>
    </row>
    <row r="2413" spans="5:8" x14ac:dyDescent="0.25">
      <c r="E2413" t="str">
        <f>""</f>
        <v/>
      </c>
      <c r="F2413" t="str">
        <f>""</f>
        <v/>
      </c>
      <c r="H2413" t="str">
        <f t="shared" si="54"/>
        <v>TASC - HRA FEES</v>
      </c>
    </row>
    <row r="2414" spans="5:8" x14ac:dyDescent="0.25">
      <c r="E2414" t="str">
        <f>""</f>
        <v/>
      </c>
      <c r="F2414" t="str">
        <f>""</f>
        <v/>
      </c>
      <c r="H2414" t="str">
        <f t="shared" si="54"/>
        <v>TASC - HRA FEES</v>
      </c>
    </row>
    <row r="2415" spans="5:8" x14ac:dyDescent="0.25">
      <c r="E2415" t="str">
        <f>""</f>
        <v/>
      </c>
      <c r="F2415" t="str">
        <f>""</f>
        <v/>
      </c>
      <c r="H2415" t="str">
        <f t="shared" ref="H2415:H2432" si="55">"TASC - HRA FEES"</f>
        <v>TASC - HRA FEES</v>
      </c>
    </row>
    <row r="2416" spans="5:8" x14ac:dyDescent="0.25">
      <c r="E2416" t="str">
        <f>""</f>
        <v/>
      </c>
      <c r="F2416" t="str">
        <f>""</f>
        <v/>
      </c>
      <c r="H2416" t="str">
        <f t="shared" si="55"/>
        <v>TASC - HRA FEES</v>
      </c>
    </row>
    <row r="2417" spans="5:8" x14ac:dyDescent="0.25">
      <c r="E2417" t="str">
        <f>""</f>
        <v/>
      </c>
      <c r="F2417" t="str">
        <f>""</f>
        <v/>
      </c>
      <c r="H2417" t="str">
        <f t="shared" si="55"/>
        <v>TASC - HRA FEES</v>
      </c>
    </row>
    <row r="2418" spans="5:8" x14ac:dyDescent="0.25">
      <c r="E2418" t="str">
        <f>""</f>
        <v/>
      </c>
      <c r="F2418" t="str">
        <f>""</f>
        <v/>
      </c>
      <c r="H2418" t="str">
        <f t="shared" si="55"/>
        <v>TASC - HRA FEES</v>
      </c>
    </row>
    <row r="2419" spans="5:8" x14ac:dyDescent="0.25">
      <c r="E2419" t="str">
        <f>""</f>
        <v/>
      </c>
      <c r="F2419" t="str">
        <f>""</f>
        <v/>
      </c>
      <c r="H2419" t="str">
        <f t="shared" si="55"/>
        <v>TASC - HRA FEES</v>
      </c>
    </row>
    <row r="2420" spans="5:8" x14ac:dyDescent="0.25">
      <c r="E2420" t="str">
        <f>""</f>
        <v/>
      </c>
      <c r="F2420" t="str">
        <f>""</f>
        <v/>
      </c>
      <c r="H2420" t="str">
        <f t="shared" si="55"/>
        <v>TASC - HRA FEES</v>
      </c>
    </row>
    <row r="2421" spans="5:8" x14ac:dyDescent="0.25">
      <c r="E2421" t="str">
        <f>""</f>
        <v/>
      </c>
      <c r="F2421" t="str">
        <f>""</f>
        <v/>
      </c>
      <c r="H2421" t="str">
        <f t="shared" si="55"/>
        <v>TASC - HRA FEES</v>
      </c>
    </row>
    <row r="2422" spans="5:8" x14ac:dyDescent="0.25">
      <c r="E2422" t="str">
        <f>""</f>
        <v/>
      </c>
      <c r="F2422" t="str">
        <f>""</f>
        <v/>
      </c>
      <c r="H2422" t="str">
        <f t="shared" si="55"/>
        <v>TASC - HRA FEES</v>
      </c>
    </row>
    <row r="2423" spans="5:8" x14ac:dyDescent="0.25">
      <c r="E2423" t="str">
        <f>""</f>
        <v/>
      </c>
      <c r="F2423" t="str">
        <f>""</f>
        <v/>
      </c>
      <c r="H2423" t="str">
        <f t="shared" si="55"/>
        <v>TASC - HRA FEES</v>
      </c>
    </row>
    <row r="2424" spans="5:8" x14ac:dyDescent="0.25">
      <c r="E2424" t="str">
        <f>""</f>
        <v/>
      </c>
      <c r="F2424" t="str">
        <f>""</f>
        <v/>
      </c>
      <c r="H2424" t="str">
        <f t="shared" si="55"/>
        <v>TASC - HRA FEES</v>
      </c>
    </row>
    <row r="2425" spans="5:8" x14ac:dyDescent="0.25">
      <c r="E2425" t="str">
        <f>""</f>
        <v/>
      </c>
      <c r="F2425" t="str">
        <f>""</f>
        <v/>
      </c>
      <c r="H2425" t="str">
        <f t="shared" si="55"/>
        <v>TASC - HRA FEES</v>
      </c>
    </row>
    <row r="2426" spans="5:8" x14ac:dyDescent="0.25">
      <c r="E2426" t="str">
        <f>""</f>
        <v/>
      </c>
      <c r="F2426" t="str">
        <f>""</f>
        <v/>
      </c>
      <c r="H2426" t="str">
        <f t="shared" si="55"/>
        <v>TASC - HRA FEES</v>
      </c>
    </row>
    <row r="2427" spans="5:8" x14ac:dyDescent="0.25">
      <c r="E2427" t="str">
        <f>""</f>
        <v/>
      </c>
      <c r="F2427" t="str">
        <f>""</f>
        <v/>
      </c>
      <c r="H2427" t="str">
        <f t="shared" si="55"/>
        <v>TASC - HRA FEES</v>
      </c>
    </row>
    <row r="2428" spans="5:8" x14ac:dyDescent="0.25">
      <c r="E2428" t="str">
        <f>""</f>
        <v/>
      </c>
      <c r="F2428" t="str">
        <f>""</f>
        <v/>
      </c>
      <c r="H2428" t="str">
        <f t="shared" si="55"/>
        <v>TASC - HRA FEES</v>
      </c>
    </row>
    <row r="2429" spans="5:8" x14ac:dyDescent="0.25">
      <c r="E2429" t="str">
        <f>""</f>
        <v/>
      </c>
      <c r="F2429" t="str">
        <f>""</f>
        <v/>
      </c>
      <c r="H2429" t="str">
        <f t="shared" si="55"/>
        <v>TASC - HRA FEES</v>
      </c>
    </row>
    <row r="2430" spans="5:8" x14ac:dyDescent="0.25">
      <c r="E2430" t="str">
        <f>""</f>
        <v/>
      </c>
      <c r="F2430" t="str">
        <f>""</f>
        <v/>
      </c>
      <c r="H2430" t="str">
        <f t="shared" si="55"/>
        <v>TASC - HRA FEES</v>
      </c>
    </row>
    <row r="2431" spans="5:8" x14ac:dyDescent="0.25">
      <c r="E2431" t="str">
        <f>""</f>
        <v/>
      </c>
      <c r="F2431" t="str">
        <f>""</f>
        <v/>
      </c>
      <c r="H2431" t="str">
        <f t="shared" si="55"/>
        <v>TASC - HRA FEES</v>
      </c>
    </row>
    <row r="2432" spans="5:8" x14ac:dyDescent="0.25">
      <c r="E2432" t="str">
        <f>"HRF201902067196"</f>
        <v>HRF201902067196</v>
      </c>
      <c r="F2432" t="str">
        <f>"TASC - HRA FEES"</f>
        <v>TASC - HRA FEES</v>
      </c>
      <c r="G2432" s="2">
        <v>28.8</v>
      </c>
      <c r="H2432" t="str">
        <f t="shared" si="55"/>
        <v>TASC - HRA FEES</v>
      </c>
    </row>
    <row r="2433" spans="1:8" x14ac:dyDescent="0.25">
      <c r="A2433" t="s">
        <v>455</v>
      </c>
      <c r="B2433">
        <v>70</v>
      </c>
      <c r="C2433" s="2">
        <v>9901.39</v>
      </c>
      <c r="D2433" s="1">
        <v>43518</v>
      </c>
      <c r="E2433" t="str">
        <f>"FSA201902277538"</f>
        <v>FSA201902277538</v>
      </c>
      <c r="F2433" t="str">
        <f>"TASC FSA"</f>
        <v>TASC FSA</v>
      </c>
      <c r="G2433" s="2">
        <v>550.05999999999995</v>
      </c>
      <c r="H2433" t="str">
        <f>"TASC FSA"</f>
        <v>TASC FSA</v>
      </c>
    </row>
    <row r="2434" spans="1:8" x14ac:dyDescent="0.25">
      <c r="E2434" t="str">
        <f>"FSA201902277541"</f>
        <v>FSA201902277541</v>
      </c>
      <c r="F2434" t="str">
        <f>"TASC FSA"</f>
        <v>TASC FSA</v>
      </c>
      <c r="G2434" s="2">
        <v>7701.5</v>
      </c>
      <c r="H2434" t="str">
        <f>"TASC FSA"</f>
        <v>TASC FSA</v>
      </c>
    </row>
    <row r="2435" spans="1:8" x14ac:dyDescent="0.25">
      <c r="E2435" t="str">
        <f>"FSC201902277541"</f>
        <v>FSC201902277541</v>
      </c>
      <c r="F2435" t="str">
        <f>"TASC DEPENDENT CARE"</f>
        <v>TASC DEPENDENT CARE</v>
      </c>
      <c r="G2435" s="2">
        <v>313.95999999999998</v>
      </c>
      <c r="H2435" t="str">
        <f>"TASC DEPENDENT CARE"</f>
        <v>TASC DEPENDENT CARE</v>
      </c>
    </row>
    <row r="2436" spans="1:8" x14ac:dyDescent="0.25">
      <c r="E2436" t="str">
        <f>"FSF201902277538"</f>
        <v>FSF201902277538</v>
      </c>
      <c r="F2436" t="str">
        <f>"TASC - FSA  FEES"</f>
        <v>TASC - FSA  FEES</v>
      </c>
      <c r="G2436" s="2">
        <v>12.6</v>
      </c>
      <c r="H2436" t="str">
        <f t="shared" ref="H2436:H2473" si="56">"TASC - FSA  FEES"</f>
        <v>TASC - FSA  FEES</v>
      </c>
    </row>
    <row r="2437" spans="1:8" x14ac:dyDescent="0.25">
      <c r="E2437" t="str">
        <f>"FSF201902277541"</f>
        <v>FSF201902277541</v>
      </c>
      <c r="F2437" t="str">
        <f>"TASC - FSA  FEES"</f>
        <v>TASC - FSA  FEES</v>
      </c>
      <c r="G2437" s="2">
        <v>264.60000000000002</v>
      </c>
      <c r="H2437" t="str">
        <f t="shared" si="56"/>
        <v>TASC - FSA  FEES</v>
      </c>
    </row>
    <row r="2438" spans="1:8" x14ac:dyDescent="0.25">
      <c r="E2438" t="str">
        <f>""</f>
        <v/>
      </c>
      <c r="F2438" t="str">
        <f>""</f>
        <v/>
      </c>
      <c r="H2438" t="str">
        <f t="shared" si="56"/>
        <v>TASC - FSA  FEES</v>
      </c>
    </row>
    <row r="2439" spans="1:8" x14ac:dyDescent="0.25">
      <c r="E2439" t="str">
        <f>""</f>
        <v/>
      </c>
      <c r="F2439" t="str">
        <f>""</f>
        <v/>
      </c>
      <c r="H2439" t="str">
        <f t="shared" si="56"/>
        <v>TASC - FSA  FEES</v>
      </c>
    </row>
    <row r="2440" spans="1:8" x14ac:dyDescent="0.25">
      <c r="E2440" t="str">
        <f>""</f>
        <v/>
      </c>
      <c r="F2440" t="str">
        <f>""</f>
        <v/>
      </c>
      <c r="H2440" t="str">
        <f t="shared" si="56"/>
        <v>TASC - FSA  FEES</v>
      </c>
    </row>
    <row r="2441" spans="1:8" x14ac:dyDescent="0.25">
      <c r="E2441" t="str">
        <f>""</f>
        <v/>
      </c>
      <c r="F2441" t="str">
        <f>""</f>
        <v/>
      </c>
      <c r="H2441" t="str">
        <f t="shared" si="56"/>
        <v>TASC - FSA  FEES</v>
      </c>
    </row>
    <row r="2442" spans="1:8" x14ac:dyDescent="0.25">
      <c r="E2442" t="str">
        <f>""</f>
        <v/>
      </c>
      <c r="F2442" t="str">
        <f>""</f>
        <v/>
      </c>
      <c r="H2442" t="str">
        <f t="shared" si="56"/>
        <v>TASC - FSA  FEES</v>
      </c>
    </row>
    <row r="2443" spans="1:8" x14ac:dyDescent="0.25">
      <c r="E2443" t="str">
        <f>""</f>
        <v/>
      </c>
      <c r="F2443" t="str">
        <f>""</f>
        <v/>
      </c>
      <c r="H2443" t="str">
        <f t="shared" si="56"/>
        <v>TASC - FSA  FEES</v>
      </c>
    </row>
    <row r="2444" spans="1:8" x14ac:dyDescent="0.25">
      <c r="E2444" t="str">
        <f>""</f>
        <v/>
      </c>
      <c r="F2444" t="str">
        <f>""</f>
        <v/>
      </c>
      <c r="H2444" t="str">
        <f t="shared" si="56"/>
        <v>TASC - FSA  FEES</v>
      </c>
    </row>
    <row r="2445" spans="1:8" x14ac:dyDescent="0.25">
      <c r="E2445" t="str">
        <f>""</f>
        <v/>
      </c>
      <c r="F2445" t="str">
        <f>""</f>
        <v/>
      </c>
      <c r="H2445" t="str">
        <f t="shared" si="56"/>
        <v>TASC - FSA  FEES</v>
      </c>
    </row>
    <row r="2446" spans="1:8" x14ac:dyDescent="0.25">
      <c r="E2446" t="str">
        <f>""</f>
        <v/>
      </c>
      <c r="F2446" t="str">
        <f>""</f>
        <v/>
      </c>
      <c r="H2446" t="str">
        <f t="shared" si="56"/>
        <v>TASC - FSA  FEES</v>
      </c>
    </row>
    <row r="2447" spans="1:8" x14ac:dyDescent="0.25">
      <c r="E2447" t="str">
        <f>""</f>
        <v/>
      </c>
      <c r="F2447" t="str">
        <f>""</f>
        <v/>
      </c>
      <c r="H2447" t="str">
        <f t="shared" si="56"/>
        <v>TASC - FSA  FEES</v>
      </c>
    </row>
    <row r="2448" spans="1:8" x14ac:dyDescent="0.25">
      <c r="E2448" t="str">
        <f>""</f>
        <v/>
      </c>
      <c r="F2448" t="str">
        <f>""</f>
        <v/>
      </c>
      <c r="H2448" t="str">
        <f t="shared" si="56"/>
        <v>TASC - FSA  FEES</v>
      </c>
    </row>
    <row r="2449" spans="5:8" x14ac:dyDescent="0.25">
      <c r="E2449" t="str">
        <f>""</f>
        <v/>
      </c>
      <c r="F2449" t="str">
        <f>""</f>
        <v/>
      </c>
      <c r="H2449" t="str">
        <f t="shared" si="56"/>
        <v>TASC - FSA  FEES</v>
      </c>
    </row>
    <row r="2450" spans="5:8" x14ac:dyDescent="0.25">
      <c r="E2450" t="str">
        <f>""</f>
        <v/>
      </c>
      <c r="F2450" t="str">
        <f>""</f>
        <v/>
      </c>
      <c r="H2450" t="str">
        <f t="shared" si="56"/>
        <v>TASC - FSA  FEES</v>
      </c>
    </row>
    <row r="2451" spans="5:8" x14ac:dyDescent="0.25">
      <c r="E2451" t="str">
        <f>""</f>
        <v/>
      </c>
      <c r="F2451" t="str">
        <f>""</f>
        <v/>
      </c>
      <c r="H2451" t="str">
        <f t="shared" si="56"/>
        <v>TASC - FSA  FEES</v>
      </c>
    </row>
    <row r="2452" spans="5:8" x14ac:dyDescent="0.25">
      <c r="E2452" t="str">
        <f>""</f>
        <v/>
      </c>
      <c r="F2452" t="str">
        <f>""</f>
        <v/>
      </c>
      <c r="H2452" t="str">
        <f t="shared" si="56"/>
        <v>TASC - FSA  FEES</v>
      </c>
    </row>
    <row r="2453" spans="5:8" x14ac:dyDescent="0.25">
      <c r="E2453" t="str">
        <f>""</f>
        <v/>
      </c>
      <c r="F2453" t="str">
        <f>""</f>
        <v/>
      </c>
      <c r="H2453" t="str">
        <f t="shared" si="56"/>
        <v>TASC - FSA  FEES</v>
      </c>
    </row>
    <row r="2454" spans="5:8" x14ac:dyDescent="0.25">
      <c r="E2454" t="str">
        <f>""</f>
        <v/>
      </c>
      <c r="F2454" t="str">
        <f>""</f>
        <v/>
      </c>
      <c r="H2454" t="str">
        <f t="shared" si="56"/>
        <v>TASC - FSA  FEES</v>
      </c>
    </row>
    <row r="2455" spans="5:8" x14ac:dyDescent="0.25">
      <c r="E2455" t="str">
        <f>""</f>
        <v/>
      </c>
      <c r="F2455" t="str">
        <f>""</f>
        <v/>
      </c>
      <c r="H2455" t="str">
        <f t="shared" si="56"/>
        <v>TASC - FSA  FEES</v>
      </c>
    </row>
    <row r="2456" spans="5:8" x14ac:dyDescent="0.25">
      <c r="E2456" t="str">
        <f>""</f>
        <v/>
      </c>
      <c r="F2456" t="str">
        <f>""</f>
        <v/>
      </c>
      <c r="H2456" t="str">
        <f t="shared" si="56"/>
        <v>TASC - FSA  FEES</v>
      </c>
    </row>
    <row r="2457" spans="5:8" x14ac:dyDescent="0.25">
      <c r="E2457" t="str">
        <f>""</f>
        <v/>
      </c>
      <c r="F2457" t="str">
        <f>""</f>
        <v/>
      </c>
      <c r="H2457" t="str">
        <f t="shared" si="56"/>
        <v>TASC - FSA  FEES</v>
      </c>
    </row>
    <row r="2458" spans="5:8" x14ac:dyDescent="0.25">
      <c r="E2458" t="str">
        <f>""</f>
        <v/>
      </c>
      <c r="F2458" t="str">
        <f>""</f>
        <v/>
      </c>
      <c r="H2458" t="str">
        <f t="shared" si="56"/>
        <v>TASC - FSA  FEES</v>
      </c>
    </row>
    <row r="2459" spans="5:8" x14ac:dyDescent="0.25">
      <c r="E2459" t="str">
        <f>""</f>
        <v/>
      </c>
      <c r="F2459" t="str">
        <f>""</f>
        <v/>
      </c>
      <c r="H2459" t="str">
        <f t="shared" si="56"/>
        <v>TASC - FSA  FEES</v>
      </c>
    </row>
    <row r="2460" spans="5:8" x14ac:dyDescent="0.25">
      <c r="E2460" t="str">
        <f>""</f>
        <v/>
      </c>
      <c r="F2460" t="str">
        <f>""</f>
        <v/>
      </c>
      <c r="H2460" t="str">
        <f t="shared" si="56"/>
        <v>TASC - FSA  FEES</v>
      </c>
    </row>
    <row r="2461" spans="5:8" x14ac:dyDescent="0.25">
      <c r="E2461" t="str">
        <f>""</f>
        <v/>
      </c>
      <c r="F2461" t="str">
        <f>""</f>
        <v/>
      </c>
      <c r="H2461" t="str">
        <f t="shared" si="56"/>
        <v>TASC - FSA  FEES</v>
      </c>
    </row>
    <row r="2462" spans="5:8" x14ac:dyDescent="0.25">
      <c r="E2462" t="str">
        <f>""</f>
        <v/>
      </c>
      <c r="F2462" t="str">
        <f>""</f>
        <v/>
      </c>
      <c r="H2462" t="str">
        <f t="shared" si="56"/>
        <v>TASC - FSA  FEES</v>
      </c>
    </row>
    <row r="2463" spans="5:8" x14ac:dyDescent="0.25">
      <c r="E2463" t="str">
        <f>""</f>
        <v/>
      </c>
      <c r="F2463" t="str">
        <f>""</f>
        <v/>
      </c>
      <c r="H2463" t="str">
        <f t="shared" si="56"/>
        <v>TASC - FSA  FEES</v>
      </c>
    </row>
    <row r="2464" spans="5:8" x14ac:dyDescent="0.25">
      <c r="E2464" t="str">
        <f>""</f>
        <v/>
      </c>
      <c r="F2464" t="str">
        <f>""</f>
        <v/>
      </c>
      <c r="H2464" t="str">
        <f t="shared" si="56"/>
        <v>TASC - FSA  FEES</v>
      </c>
    </row>
    <row r="2465" spans="5:8" x14ac:dyDescent="0.25">
      <c r="E2465" t="str">
        <f>""</f>
        <v/>
      </c>
      <c r="F2465" t="str">
        <f>""</f>
        <v/>
      </c>
      <c r="H2465" t="str">
        <f t="shared" si="56"/>
        <v>TASC - FSA  FEES</v>
      </c>
    </row>
    <row r="2466" spans="5:8" x14ac:dyDescent="0.25">
      <c r="E2466" t="str">
        <f>""</f>
        <v/>
      </c>
      <c r="F2466" t="str">
        <f>""</f>
        <v/>
      </c>
      <c r="H2466" t="str">
        <f t="shared" si="56"/>
        <v>TASC - FSA  FEES</v>
      </c>
    </row>
    <row r="2467" spans="5:8" x14ac:dyDescent="0.25">
      <c r="E2467" t="str">
        <f>""</f>
        <v/>
      </c>
      <c r="F2467" t="str">
        <f>""</f>
        <v/>
      </c>
      <c r="H2467" t="str">
        <f t="shared" si="56"/>
        <v>TASC - FSA  FEES</v>
      </c>
    </row>
    <row r="2468" spans="5:8" x14ac:dyDescent="0.25">
      <c r="E2468" t="str">
        <f>""</f>
        <v/>
      </c>
      <c r="F2468" t="str">
        <f>""</f>
        <v/>
      </c>
      <c r="H2468" t="str">
        <f t="shared" si="56"/>
        <v>TASC - FSA  FEES</v>
      </c>
    </row>
    <row r="2469" spans="5:8" x14ac:dyDescent="0.25">
      <c r="E2469" t="str">
        <f>""</f>
        <v/>
      </c>
      <c r="F2469" t="str">
        <f>""</f>
        <v/>
      </c>
      <c r="H2469" t="str">
        <f t="shared" si="56"/>
        <v>TASC - FSA  FEES</v>
      </c>
    </row>
    <row r="2470" spans="5:8" x14ac:dyDescent="0.25">
      <c r="E2470" t="str">
        <f>""</f>
        <v/>
      </c>
      <c r="F2470" t="str">
        <f>""</f>
        <v/>
      </c>
      <c r="H2470" t="str">
        <f t="shared" si="56"/>
        <v>TASC - FSA  FEES</v>
      </c>
    </row>
    <row r="2471" spans="5:8" x14ac:dyDescent="0.25">
      <c r="E2471" t="str">
        <f>""</f>
        <v/>
      </c>
      <c r="F2471" t="str">
        <f>""</f>
        <v/>
      </c>
      <c r="H2471" t="str">
        <f t="shared" si="56"/>
        <v>TASC - FSA  FEES</v>
      </c>
    </row>
    <row r="2472" spans="5:8" x14ac:dyDescent="0.25">
      <c r="E2472" t="str">
        <f>""</f>
        <v/>
      </c>
      <c r="F2472" t="str">
        <f>""</f>
        <v/>
      </c>
      <c r="H2472" t="str">
        <f t="shared" si="56"/>
        <v>TASC - FSA  FEES</v>
      </c>
    </row>
    <row r="2473" spans="5:8" x14ac:dyDescent="0.25">
      <c r="E2473" t="str">
        <f>""</f>
        <v/>
      </c>
      <c r="F2473" t="str">
        <f>""</f>
        <v/>
      </c>
      <c r="H2473" t="str">
        <f t="shared" si="56"/>
        <v>TASC - FSA  FEES</v>
      </c>
    </row>
    <row r="2474" spans="5:8" x14ac:dyDescent="0.25">
      <c r="E2474" t="str">
        <f>"HRA201902277541"</f>
        <v>HRA201902277541</v>
      </c>
      <c r="F2474" t="str">
        <f>"TASC HRA"</f>
        <v>TASC HRA</v>
      </c>
      <c r="G2474" s="2">
        <v>266.67</v>
      </c>
      <c r="H2474" t="str">
        <f>"TASC HRA"</f>
        <v>TASC HRA</v>
      </c>
    </row>
    <row r="2475" spans="5:8" x14ac:dyDescent="0.25">
      <c r="E2475" t="str">
        <f>"HRF201902277538"</f>
        <v>HRF201902277538</v>
      </c>
      <c r="F2475" t="str">
        <f>"TASC - HRA FEES"</f>
        <v>TASC - HRA FEES</v>
      </c>
      <c r="G2475" s="2">
        <v>28.8</v>
      </c>
      <c r="H2475" t="str">
        <f t="shared" ref="H2475:H2506" si="57">"TASC - HRA FEES"</f>
        <v>TASC - HRA FEES</v>
      </c>
    </row>
    <row r="2476" spans="5:8" x14ac:dyDescent="0.25">
      <c r="E2476" t="str">
        <f>"HRF201902277541"</f>
        <v>HRF201902277541</v>
      </c>
      <c r="F2476" t="str">
        <f>"TASC - HRA FEES"</f>
        <v>TASC - HRA FEES</v>
      </c>
      <c r="G2476" s="2">
        <v>763.2</v>
      </c>
      <c r="H2476" t="str">
        <f t="shared" si="57"/>
        <v>TASC - HRA FEES</v>
      </c>
    </row>
    <row r="2477" spans="5:8" x14ac:dyDescent="0.25">
      <c r="E2477" t="str">
        <f>""</f>
        <v/>
      </c>
      <c r="F2477" t="str">
        <f>""</f>
        <v/>
      </c>
      <c r="H2477" t="str">
        <f t="shared" si="57"/>
        <v>TASC - HRA FEES</v>
      </c>
    </row>
    <row r="2478" spans="5:8" x14ac:dyDescent="0.25">
      <c r="E2478" t="str">
        <f>""</f>
        <v/>
      </c>
      <c r="F2478" t="str">
        <f>""</f>
        <v/>
      </c>
      <c r="H2478" t="str">
        <f t="shared" si="57"/>
        <v>TASC - HRA FEES</v>
      </c>
    </row>
    <row r="2479" spans="5:8" x14ac:dyDescent="0.25">
      <c r="E2479" t="str">
        <f>""</f>
        <v/>
      </c>
      <c r="F2479" t="str">
        <f>""</f>
        <v/>
      </c>
      <c r="H2479" t="str">
        <f t="shared" si="57"/>
        <v>TASC - HRA FEES</v>
      </c>
    </row>
    <row r="2480" spans="5:8" x14ac:dyDescent="0.25">
      <c r="E2480" t="str">
        <f>""</f>
        <v/>
      </c>
      <c r="F2480" t="str">
        <f>""</f>
        <v/>
      </c>
      <c r="H2480" t="str">
        <f t="shared" si="57"/>
        <v>TASC - HRA FEES</v>
      </c>
    </row>
    <row r="2481" spans="5:8" x14ac:dyDescent="0.25">
      <c r="E2481" t="str">
        <f>""</f>
        <v/>
      </c>
      <c r="F2481" t="str">
        <f>""</f>
        <v/>
      </c>
      <c r="H2481" t="str">
        <f t="shared" si="57"/>
        <v>TASC - HRA FEES</v>
      </c>
    </row>
    <row r="2482" spans="5:8" x14ac:dyDescent="0.25">
      <c r="E2482" t="str">
        <f>""</f>
        <v/>
      </c>
      <c r="F2482" t="str">
        <f>""</f>
        <v/>
      </c>
      <c r="H2482" t="str">
        <f t="shared" si="57"/>
        <v>TASC - HRA FEES</v>
      </c>
    </row>
    <row r="2483" spans="5:8" x14ac:dyDescent="0.25">
      <c r="E2483" t="str">
        <f>""</f>
        <v/>
      </c>
      <c r="F2483" t="str">
        <f>""</f>
        <v/>
      </c>
      <c r="H2483" t="str">
        <f t="shared" si="57"/>
        <v>TASC - HRA FEES</v>
      </c>
    </row>
    <row r="2484" spans="5:8" x14ac:dyDescent="0.25">
      <c r="E2484" t="str">
        <f>""</f>
        <v/>
      </c>
      <c r="F2484" t="str">
        <f>""</f>
        <v/>
      </c>
      <c r="H2484" t="str">
        <f t="shared" si="57"/>
        <v>TASC - HRA FEES</v>
      </c>
    </row>
    <row r="2485" spans="5:8" x14ac:dyDescent="0.25">
      <c r="E2485" t="str">
        <f>""</f>
        <v/>
      </c>
      <c r="F2485" t="str">
        <f>""</f>
        <v/>
      </c>
      <c r="H2485" t="str">
        <f t="shared" si="57"/>
        <v>TASC - HRA FEES</v>
      </c>
    </row>
    <row r="2486" spans="5:8" x14ac:dyDescent="0.25">
      <c r="E2486" t="str">
        <f>""</f>
        <v/>
      </c>
      <c r="F2486" t="str">
        <f>""</f>
        <v/>
      </c>
      <c r="H2486" t="str">
        <f t="shared" si="57"/>
        <v>TASC - HRA FEES</v>
      </c>
    </row>
    <row r="2487" spans="5:8" x14ac:dyDescent="0.25">
      <c r="E2487" t="str">
        <f>""</f>
        <v/>
      </c>
      <c r="F2487" t="str">
        <f>""</f>
        <v/>
      </c>
      <c r="H2487" t="str">
        <f t="shared" si="57"/>
        <v>TASC - HRA FEES</v>
      </c>
    </row>
    <row r="2488" spans="5:8" x14ac:dyDescent="0.25">
      <c r="E2488" t="str">
        <f>""</f>
        <v/>
      </c>
      <c r="F2488" t="str">
        <f>""</f>
        <v/>
      </c>
      <c r="H2488" t="str">
        <f t="shared" si="57"/>
        <v>TASC - HRA FEES</v>
      </c>
    </row>
    <row r="2489" spans="5:8" x14ac:dyDescent="0.25">
      <c r="E2489" t="str">
        <f>""</f>
        <v/>
      </c>
      <c r="F2489" t="str">
        <f>""</f>
        <v/>
      </c>
      <c r="H2489" t="str">
        <f t="shared" si="57"/>
        <v>TASC - HRA FEES</v>
      </c>
    </row>
    <row r="2490" spans="5:8" x14ac:dyDescent="0.25">
      <c r="E2490" t="str">
        <f>""</f>
        <v/>
      </c>
      <c r="F2490" t="str">
        <f>""</f>
        <v/>
      </c>
      <c r="H2490" t="str">
        <f t="shared" si="57"/>
        <v>TASC - HRA FEES</v>
      </c>
    </row>
    <row r="2491" spans="5:8" x14ac:dyDescent="0.25">
      <c r="E2491" t="str">
        <f>""</f>
        <v/>
      </c>
      <c r="F2491" t="str">
        <f>""</f>
        <v/>
      </c>
      <c r="H2491" t="str">
        <f t="shared" si="57"/>
        <v>TASC - HRA FEES</v>
      </c>
    </row>
    <row r="2492" spans="5:8" x14ac:dyDescent="0.25">
      <c r="E2492" t="str">
        <f>""</f>
        <v/>
      </c>
      <c r="F2492" t="str">
        <f>""</f>
        <v/>
      </c>
      <c r="H2492" t="str">
        <f t="shared" si="57"/>
        <v>TASC - HRA FEES</v>
      </c>
    </row>
    <row r="2493" spans="5:8" x14ac:dyDescent="0.25">
      <c r="E2493" t="str">
        <f>""</f>
        <v/>
      </c>
      <c r="F2493" t="str">
        <f>""</f>
        <v/>
      </c>
      <c r="H2493" t="str">
        <f t="shared" si="57"/>
        <v>TASC - HRA FEES</v>
      </c>
    </row>
    <row r="2494" spans="5:8" x14ac:dyDescent="0.25">
      <c r="E2494" t="str">
        <f>""</f>
        <v/>
      </c>
      <c r="F2494" t="str">
        <f>""</f>
        <v/>
      </c>
      <c r="H2494" t="str">
        <f t="shared" si="57"/>
        <v>TASC - HRA FEES</v>
      </c>
    </row>
    <row r="2495" spans="5:8" x14ac:dyDescent="0.25">
      <c r="E2495" t="str">
        <f>""</f>
        <v/>
      </c>
      <c r="F2495" t="str">
        <f>""</f>
        <v/>
      </c>
      <c r="H2495" t="str">
        <f t="shared" si="57"/>
        <v>TASC - HRA FEES</v>
      </c>
    </row>
    <row r="2496" spans="5:8" x14ac:dyDescent="0.25">
      <c r="E2496" t="str">
        <f>""</f>
        <v/>
      </c>
      <c r="F2496" t="str">
        <f>""</f>
        <v/>
      </c>
      <c r="H2496" t="str">
        <f t="shared" si="57"/>
        <v>TASC - HRA FEES</v>
      </c>
    </row>
    <row r="2497" spans="5:8" x14ac:dyDescent="0.25">
      <c r="E2497" t="str">
        <f>""</f>
        <v/>
      </c>
      <c r="F2497" t="str">
        <f>""</f>
        <v/>
      </c>
      <c r="H2497" t="str">
        <f t="shared" si="57"/>
        <v>TASC - HRA FEES</v>
      </c>
    </row>
    <row r="2498" spans="5:8" x14ac:dyDescent="0.25">
      <c r="E2498" t="str">
        <f>""</f>
        <v/>
      </c>
      <c r="F2498" t="str">
        <f>""</f>
        <v/>
      </c>
      <c r="H2498" t="str">
        <f t="shared" si="57"/>
        <v>TASC - HRA FEES</v>
      </c>
    </row>
    <row r="2499" spans="5:8" x14ac:dyDescent="0.25">
      <c r="E2499" t="str">
        <f>""</f>
        <v/>
      </c>
      <c r="F2499" t="str">
        <f>""</f>
        <v/>
      </c>
      <c r="H2499" t="str">
        <f t="shared" si="57"/>
        <v>TASC - HRA FEES</v>
      </c>
    </row>
    <row r="2500" spans="5:8" x14ac:dyDescent="0.25">
      <c r="E2500" t="str">
        <f>""</f>
        <v/>
      </c>
      <c r="F2500" t="str">
        <f>""</f>
        <v/>
      </c>
      <c r="H2500" t="str">
        <f t="shared" si="57"/>
        <v>TASC - HRA FEES</v>
      </c>
    </row>
    <row r="2501" spans="5:8" x14ac:dyDescent="0.25">
      <c r="E2501" t="str">
        <f>""</f>
        <v/>
      </c>
      <c r="F2501" t="str">
        <f>""</f>
        <v/>
      </c>
      <c r="H2501" t="str">
        <f t="shared" si="57"/>
        <v>TASC - HRA FEES</v>
      </c>
    </row>
    <row r="2502" spans="5:8" x14ac:dyDescent="0.25">
      <c r="E2502" t="str">
        <f>""</f>
        <v/>
      </c>
      <c r="F2502" t="str">
        <f>""</f>
        <v/>
      </c>
      <c r="H2502" t="str">
        <f t="shared" si="57"/>
        <v>TASC - HRA FEES</v>
      </c>
    </row>
    <row r="2503" spans="5:8" x14ac:dyDescent="0.25">
      <c r="E2503" t="str">
        <f>""</f>
        <v/>
      </c>
      <c r="F2503" t="str">
        <f>""</f>
        <v/>
      </c>
      <c r="H2503" t="str">
        <f t="shared" si="57"/>
        <v>TASC - HRA FEES</v>
      </c>
    </row>
    <row r="2504" spans="5:8" x14ac:dyDescent="0.25">
      <c r="E2504" t="str">
        <f>""</f>
        <v/>
      </c>
      <c r="F2504" t="str">
        <f>""</f>
        <v/>
      </c>
      <c r="H2504" t="str">
        <f t="shared" si="57"/>
        <v>TASC - HRA FEES</v>
      </c>
    </row>
    <row r="2505" spans="5:8" x14ac:dyDescent="0.25">
      <c r="E2505" t="str">
        <f>""</f>
        <v/>
      </c>
      <c r="F2505" t="str">
        <f>""</f>
        <v/>
      </c>
      <c r="H2505" t="str">
        <f t="shared" si="57"/>
        <v>TASC - HRA FEES</v>
      </c>
    </row>
    <row r="2506" spans="5:8" x14ac:dyDescent="0.25">
      <c r="E2506" t="str">
        <f>""</f>
        <v/>
      </c>
      <c r="F2506" t="str">
        <f>""</f>
        <v/>
      </c>
      <c r="H2506" t="str">
        <f t="shared" si="57"/>
        <v>TASC - HRA FEES</v>
      </c>
    </row>
    <row r="2507" spans="5:8" x14ac:dyDescent="0.25">
      <c r="E2507" t="str">
        <f>""</f>
        <v/>
      </c>
      <c r="F2507" t="str">
        <f>""</f>
        <v/>
      </c>
      <c r="H2507" t="str">
        <f t="shared" ref="H2507:H2524" si="58">"TASC - HRA FEES"</f>
        <v>TASC - HRA FEES</v>
      </c>
    </row>
    <row r="2508" spans="5:8" x14ac:dyDescent="0.25">
      <c r="E2508" t="str">
        <f>""</f>
        <v/>
      </c>
      <c r="F2508" t="str">
        <f>""</f>
        <v/>
      </c>
      <c r="H2508" t="str">
        <f t="shared" si="58"/>
        <v>TASC - HRA FEES</v>
      </c>
    </row>
    <row r="2509" spans="5:8" x14ac:dyDescent="0.25">
      <c r="E2509" t="str">
        <f>""</f>
        <v/>
      </c>
      <c r="F2509" t="str">
        <f>""</f>
        <v/>
      </c>
      <c r="H2509" t="str">
        <f t="shared" si="58"/>
        <v>TASC - HRA FEES</v>
      </c>
    </row>
    <row r="2510" spans="5:8" x14ac:dyDescent="0.25">
      <c r="E2510" t="str">
        <f>""</f>
        <v/>
      </c>
      <c r="F2510" t="str">
        <f>""</f>
        <v/>
      </c>
      <c r="H2510" t="str">
        <f t="shared" si="58"/>
        <v>TASC - HRA FEES</v>
      </c>
    </row>
    <row r="2511" spans="5:8" x14ac:dyDescent="0.25">
      <c r="E2511" t="str">
        <f>""</f>
        <v/>
      </c>
      <c r="F2511" t="str">
        <f>""</f>
        <v/>
      </c>
      <c r="H2511" t="str">
        <f t="shared" si="58"/>
        <v>TASC - HRA FEES</v>
      </c>
    </row>
    <row r="2512" spans="5:8" x14ac:dyDescent="0.25">
      <c r="E2512" t="str">
        <f>""</f>
        <v/>
      </c>
      <c r="F2512" t="str">
        <f>""</f>
        <v/>
      </c>
      <c r="H2512" t="str">
        <f t="shared" si="58"/>
        <v>TASC - HRA FEES</v>
      </c>
    </row>
    <row r="2513" spans="1:8" x14ac:dyDescent="0.25">
      <c r="E2513" t="str">
        <f>""</f>
        <v/>
      </c>
      <c r="F2513" t="str">
        <f>""</f>
        <v/>
      </c>
      <c r="H2513" t="str">
        <f t="shared" si="58"/>
        <v>TASC - HRA FEES</v>
      </c>
    </row>
    <row r="2514" spans="1:8" x14ac:dyDescent="0.25">
      <c r="E2514" t="str">
        <f>""</f>
        <v/>
      </c>
      <c r="F2514" t="str">
        <f>""</f>
        <v/>
      </c>
      <c r="H2514" t="str">
        <f t="shared" si="58"/>
        <v>TASC - HRA FEES</v>
      </c>
    </row>
    <row r="2515" spans="1:8" x14ac:dyDescent="0.25">
      <c r="E2515" t="str">
        <f>""</f>
        <v/>
      </c>
      <c r="F2515" t="str">
        <f>""</f>
        <v/>
      </c>
      <c r="H2515" t="str">
        <f t="shared" si="58"/>
        <v>TASC - HRA FEES</v>
      </c>
    </row>
    <row r="2516" spans="1:8" x14ac:dyDescent="0.25">
      <c r="E2516" t="str">
        <f>""</f>
        <v/>
      </c>
      <c r="F2516" t="str">
        <f>""</f>
        <v/>
      </c>
      <c r="H2516" t="str">
        <f t="shared" si="58"/>
        <v>TASC - HRA FEES</v>
      </c>
    </row>
    <row r="2517" spans="1:8" x14ac:dyDescent="0.25">
      <c r="E2517" t="str">
        <f>""</f>
        <v/>
      </c>
      <c r="F2517" t="str">
        <f>""</f>
        <v/>
      </c>
      <c r="H2517" t="str">
        <f t="shared" si="58"/>
        <v>TASC - HRA FEES</v>
      </c>
    </row>
    <row r="2518" spans="1:8" x14ac:dyDescent="0.25">
      <c r="E2518" t="str">
        <f>""</f>
        <v/>
      </c>
      <c r="F2518" t="str">
        <f>""</f>
        <v/>
      </c>
      <c r="H2518" t="str">
        <f t="shared" si="58"/>
        <v>TASC - HRA FEES</v>
      </c>
    </row>
    <row r="2519" spans="1:8" x14ac:dyDescent="0.25">
      <c r="E2519" t="str">
        <f>""</f>
        <v/>
      </c>
      <c r="F2519" t="str">
        <f>""</f>
        <v/>
      </c>
      <c r="H2519" t="str">
        <f t="shared" si="58"/>
        <v>TASC - HRA FEES</v>
      </c>
    </row>
    <row r="2520" spans="1:8" x14ac:dyDescent="0.25">
      <c r="E2520" t="str">
        <f>""</f>
        <v/>
      </c>
      <c r="F2520" t="str">
        <f>""</f>
        <v/>
      </c>
      <c r="H2520" t="str">
        <f t="shared" si="58"/>
        <v>TASC - HRA FEES</v>
      </c>
    </row>
    <row r="2521" spans="1:8" x14ac:dyDescent="0.25">
      <c r="E2521" t="str">
        <f>""</f>
        <v/>
      </c>
      <c r="F2521" t="str">
        <f>""</f>
        <v/>
      </c>
      <c r="H2521" t="str">
        <f t="shared" si="58"/>
        <v>TASC - HRA FEES</v>
      </c>
    </row>
    <row r="2522" spans="1:8" x14ac:dyDescent="0.25">
      <c r="E2522" t="str">
        <f>""</f>
        <v/>
      </c>
      <c r="F2522" t="str">
        <f>""</f>
        <v/>
      </c>
      <c r="H2522" t="str">
        <f t="shared" si="58"/>
        <v>TASC - HRA FEES</v>
      </c>
    </row>
    <row r="2523" spans="1:8" x14ac:dyDescent="0.25">
      <c r="E2523" t="str">
        <f>""</f>
        <v/>
      </c>
      <c r="F2523" t="str">
        <f>""</f>
        <v/>
      </c>
      <c r="H2523" t="str">
        <f t="shared" si="58"/>
        <v>TASC - HRA FEES</v>
      </c>
    </row>
    <row r="2524" spans="1:8" x14ac:dyDescent="0.25">
      <c r="E2524" t="str">
        <f>""</f>
        <v/>
      </c>
      <c r="F2524" t="str">
        <f>""</f>
        <v/>
      </c>
      <c r="H2524" t="str">
        <f t="shared" si="58"/>
        <v>TASC - HRA FEES</v>
      </c>
    </row>
    <row r="2525" spans="1:8" x14ac:dyDescent="0.25">
      <c r="A2525" t="s">
        <v>456</v>
      </c>
      <c r="B2525">
        <v>61</v>
      </c>
      <c r="C2525" s="2">
        <v>4108.3900000000003</v>
      </c>
      <c r="D2525" s="1">
        <v>43504</v>
      </c>
      <c r="E2525" t="str">
        <f>"C18201902067196"</f>
        <v>C18201902067196</v>
      </c>
      <c r="F2525" t="str">
        <f>"CAUSE# 0011635329"</f>
        <v>CAUSE# 0011635329</v>
      </c>
      <c r="G2525" s="2">
        <v>603.23</v>
      </c>
      <c r="H2525" t="str">
        <f>"CAUSE# 0011635329"</f>
        <v>CAUSE# 0011635329</v>
      </c>
    </row>
    <row r="2526" spans="1:8" x14ac:dyDescent="0.25">
      <c r="E2526" t="str">
        <f>"C2 201902067196"</f>
        <v>C2 201902067196</v>
      </c>
      <c r="F2526" t="str">
        <f>"0012982132CCL7445"</f>
        <v>0012982132CCL7445</v>
      </c>
      <c r="G2526" s="2">
        <v>692.31</v>
      </c>
      <c r="H2526" t="str">
        <f>"0012982132CCL7445"</f>
        <v>0012982132CCL7445</v>
      </c>
    </row>
    <row r="2527" spans="1:8" x14ac:dyDescent="0.25">
      <c r="E2527" t="str">
        <f>"C20201902067161"</f>
        <v>C20201902067161</v>
      </c>
      <c r="F2527" t="str">
        <f>"001003981107-12252"</f>
        <v>001003981107-12252</v>
      </c>
      <c r="G2527" s="2">
        <v>115.39</v>
      </c>
      <c r="H2527" t="str">
        <f>"001003981107-12252"</f>
        <v>001003981107-12252</v>
      </c>
    </row>
    <row r="2528" spans="1:8" x14ac:dyDescent="0.25">
      <c r="E2528" t="str">
        <f>"C42201902067161"</f>
        <v>C42201902067161</v>
      </c>
      <c r="F2528" t="str">
        <f>"001236769211-14410"</f>
        <v>001236769211-14410</v>
      </c>
      <c r="G2528" s="2">
        <v>230.31</v>
      </c>
      <c r="H2528" t="str">
        <f>"001236769211-14410"</f>
        <v>001236769211-14410</v>
      </c>
    </row>
    <row r="2529" spans="1:8" x14ac:dyDescent="0.25">
      <c r="E2529" t="str">
        <f>"C46201902067161"</f>
        <v>C46201902067161</v>
      </c>
      <c r="F2529" t="str">
        <f>"CAUSE# 11-14911"</f>
        <v>CAUSE# 11-14911</v>
      </c>
      <c r="G2529" s="2">
        <v>238.62</v>
      </c>
      <c r="H2529" t="str">
        <f>"CAUSE# 11-14911"</f>
        <v>CAUSE# 11-14911</v>
      </c>
    </row>
    <row r="2530" spans="1:8" x14ac:dyDescent="0.25">
      <c r="E2530" t="str">
        <f>"C53201902067161"</f>
        <v>C53201902067161</v>
      </c>
      <c r="F2530" t="str">
        <f>"0012453366"</f>
        <v>0012453366</v>
      </c>
      <c r="G2530" s="2">
        <v>138.46</v>
      </c>
      <c r="H2530" t="str">
        <f>"0012453366"</f>
        <v>0012453366</v>
      </c>
    </row>
    <row r="2531" spans="1:8" x14ac:dyDescent="0.25">
      <c r="E2531" t="str">
        <f>"C60201902067161"</f>
        <v>C60201902067161</v>
      </c>
      <c r="F2531" t="str">
        <f>"00130730762012V300"</f>
        <v>00130730762012V300</v>
      </c>
      <c r="G2531" s="2">
        <v>399.32</v>
      </c>
      <c r="H2531" t="str">
        <f>"00130730762012V300"</f>
        <v>00130730762012V300</v>
      </c>
    </row>
    <row r="2532" spans="1:8" x14ac:dyDescent="0.25">
      <c r="E2532" t="str">
        <f>"C62201902067161"</f>
        <v>C62201902067161</v>
      </c>
      <c r="F2532" t="str">
        <f>"# 0012128865"</f>
        <v># 0012128865</v>
      </c>
      <c r="G2532" s="2">
        <v>243.23</v>
      </c>
      <c r="H2532" t="str">
        <f>"# 0012128865"</f>
        <v># 0012128865</v>
      </c>
    </row>
    <row r="2533" spans="1:8" x14ac:dyDescent="0.25">
      <c r="E2533" t="str">
        <f>"C66201902067161"</f>
        <v>C66201902067161</v>
      </c>
      <c r="F2533" t="str">
        <f>"# 0012871801"</f>
        <v># 0012871801</v>
      </c>
      <c r="G2533" s="2">
        <v>90</v>
      </c>
      <c r="H2533" t="str">
        <f>"# 0012871801"</f>
        <v># 0012871801</v>
      </c>
    </row>
    <row r="2534" spans="1:8" x14ac:dyDescent="0.25">
      <c r="E2534" t="str">
        <f>"C66201902067198"</f>
        <v>C66201902067198</v>
      </c>
      <c r="F2534" t="str">
        <f>"CAUSE#D1FM13007058"</f>
        <v>CAUSE#D1FM13007058</v>
      </c>
      <c r="G2534" s="2">
        <v>138.46</v>
      </c>
      <c r="H2534" t="str">
        <f>"CAUSE#D1FM13007058"</f>
        <v>CAUSE#D1FM13007058</v>
      </c>
    </row>
    <row r="2535" spans="1:8" x14ac:dyDescent="0.25">
      <c r="E2535" t="str">
        <f>"C69201902067161"</f>
        <v>C69201902067161</v>
      </c>
      <c r="F2535" t="str">
        <f>"0012046911423672"</f>
        <v>0012046911423672</v>
      </c>
      <c r="G2535" s="2">
        <v>187.38</v>
      </c>
      <c r="H2535" t="str">
        <f>"0012046911423672"</f>
        <v>0012046911423672</v>
      </c>
    </row>
    <row r="2536" spans="1:8" x14ac:dyDescent="0.25">
      <c r="E2536" t="str">
        <f>"C70201902067161"</f>
        <v>C70201902067161</v>
      </c>
      <c r="F2536" t="str">
        <f>"00136881334235026"</f>
        <v>00136881334235026</v>
      </c>
      <c r="G2536" s="2">
        <v>257.45999999999998</v>
      </c>
      <c r="H2536" t="str">
        <f>"00136881334235026"</f>
        <v>00136881334235026</v>
      </c>
    </row>
    <row r="2537" spans="1:8" x14ac:dyDescent="0.25">
      <c r="E2537" t="str">
        <f>"C71201902067161"</f>
        <v>C71201902067161</v>
      </c>
      <c r="F2537" t="str">
        <f>"00137390532018V215"</f>
        <v>00137390532018V215</v>
      </c>
      <c r="G2537" s="2">
        <v>276.92</v>
      </c>
      <c r="H2537" t="str">
        <f>"00137390532018V215"</f>
        <v>00137390532018V215</v>
      </c>
    </row>
    <row r="2538" spans="1:8" x14ac:dyDescent="0.25">
      <c r="E2538" t="str">
        <f>"C72201902067161"</f>
        <v>C72201902067161</v>
      </c>
      <c r="F2538" t="str">
        <f>"0012797601C20130529B"</f>
        <v>0012797601C20130529B</v>
      </c>
      <c r="G2538" s="2">
        <v>241.85</v>
      </c>
      <c r="H2538" t="str">
        <f>"0012797601C20130529B"</f>
        <v>0012797601C20130529B</v>
      </c>
    </row>
    <row r="2539" spans="1:8" x14ac:dyDescent="0.25">
      <c r="E2539" t="str">
        <f>"C75201902067161"</f>
        <v>C75201902067161</v>
      </c>
      <c r="F2539" t="str">
        <f>"0011203766D1AG060016"</f>
        <v>0011203766D1AG060016</v>
      </c>
      <c r="G2539" s="2">
        <v>6.92</v>
      </c>
      <c r="H2539" t="str">
        <f>"0011203766D1AG060016"</f>
        <v>0011203766D1AG060016</v>
      </c>
    </row>
    <row r="2540" spans="1:8" x14ac:dyDescent="0.25">
      <c r="E2540" t="str">
        <f>"C76201902067161"</f>
        <v>C76201902067161</v>
      </c>
      <c r="F2540" t="str">
        <f>"00126801111316135"</f>
        <v>00126801111316135</v>
      </c>
      <c r="G2540" s="2">
        <v>103.85</v>
      </c>
      <c r="H2540" t="str">
        <f>"00126801111316135"</f>
        <v>00126801111316135</v>
      </c>
    </row>
    <row r="2541" spans="1:8" x14ac:dyDescent="0.25">
      <c r="E2541" t="str">
        <f>"C78201902067161"</f>
        <v>C78201902067161</v>
      </c>
      <c r="F2541" t="str">
        <f>"00105115972005106221"</f>
        <v>00105115972005106221</v>
      </c>
      <c r="G2541" s="2">
        <v>144.68</v>
      </c>
      <c r="H2541" t="str">
        <f>"00105115972005106221"</f>
        <v>00105115972005106221</v>
      </c>
    </row>
    <row r="2542" spans="1:8" x14ac:dyDescent="0.25">
      <c r="A2542" t="s">
        <v>456</v>
      </c>
      <c r="B2542">
        <v>69</v>
      </c>
      <c r="C2542" s="2">
        <v>4108.3900000000003</v>
      </c>
      <c r="D2542" s="1">
        <v>43518</v>
      </c>
      <c r="E2542" t="str">
        <f>"C18201902277538"</f>
        <v>C18201902277538</v>
      </c>
      <c r="F2542" t="str">
        <f>"CAUSE# 0011635329"</f>
        <v>CAUSE# 0011635329</v>
      </c>
      <c r="G2542" s="2">
        <v>603.23</v>
      </c>
      <c r="H2542" t="str">
        <f>"CAUSE# 0011635329"</f>
        <v>CAUSE# 0011635329</v>
      </c>
    </row>
    <row r="2543" spans="1:8" x14ac:dyDescent="0.25">
      <c r="E2543" t="str">
        <f>"C2 201902277538"</f>
        <v>C2 201902277538</v>
      </c>
      <c r="F2543" t="str">
        <f>"0012982132CCL7445"</f>
        <v>0012982132CCL7445</v>
      </c>
      <c r="G2543" s="2">
        <v>692.31</v>
      </c>
      <c r="H2543" t="str">
        <f>"0012982132CCL7445"</f>
        <v>0012982132CCL7445</v>
      </c>
    </row>
    <row r="2544" spans="1:8" x14ac:dyDescent="0.25">
      <c r="E2544" t="str">
        <f>"C20201902277541"</f>
        <v>C20201902277541</v>
      </c>
      <c r="F2544" t="str">
        <f>"001003981107-12252"</f>
        <v>001003981107-12252</v>
      </c>
      <c r="G2544" s="2">
        <v>115.39</v>
      </c>
      <c r="H2544" t="str">
        <f>"001003981107-12252"</f>
        <v>001003981107-12252</v>
      </c>
    </row>
    <row r="2545" spans="1:8" x14ac:dyDescent="0.25">
      <c r="E2545" t="str">
        <f>"C42201902277541"</f>
        <v>C42201902277541</v>
      </c>
      <c r="F2545" t="str">
        <f>"001236769211-14410"</f>
        <v>001236769211-14410</v>
      </c>
      <c r="G2545" s="2">
        <v>230.31</v>
      </c>
      <c r="H2545" t="str">
        <f>"001236769211-14410"</f>
        <v>001236769211-14410</v>
      </c>
    </row>
    <row r="2546" spans="1:8" x14ac:dyDescent="0.25">
      <c r="E2546" t="str">
        <f>"C46201902277541"</f>
        <v>C46201902277541</v>
      </c>
      <c r="F2546" t="str">
        <f>"CAUSE# 11-14911"</f>
        <v>CAUSE# 11-14911</v>
      </c>
      <c r="G2546" s="2">
        <v>238.62</v>
      </c>
      <c r="H2546" t="str">
        <f>"CAUSE# 11-14911"</f>
        <v>CAUSE# 11-14911</v>
      </c>
    </row>
    <row r="2547" spans="1:8" x14ac:dyDescent="0.25">
      <c r="E2547" t="str">
        <f>"C53201902277541"</f>
        <v>C53201902277541</v>
      </c>
      <c r="F2547" t="str">
        <f>"0012453366"</f>
        <v>0012453366</v>
      </c>
      <c r="G2547" s="2">
        <v>138.46</v>
      </c>
      <c r="H2547" t="str">
        <f>"0012453366"</f>
        <v>0012453366</v>
      </c>
    </row>
    <row r="2548" spans="1:8" x14ac:dyDescent="0.25">
      <c r="E2548" t="str">
        <f>"C60201902277541"</f>
        <v>C60201902277541</v>
      </c>
      <c r="F2548" t="str">
        <f>"00130730762012V300"</f>
        <v>00130730762012V300</v>
      </c>
      <c r="G2548" s="2">
        <v>399.32</v>
      </c>
      <c r="H2548" t="str">
        <f>"00130730762012V300"</f>
        <v>00130730762012V300</v>
      </c>
    </row>
    <row r="2549" spans="1:8" x14ac:dyDescent="0.25">
      <c r="E2549" t="str">
        <f>"C62201902277541"</f>
        <v>C62201902277541</v>
      </c>
      <c r="F2549" t="str">
        <f>"# 0012128865"</f>
        <v># 0012128865</v>
      </c>
      <c r="G2549" s="2">
        <v>243.23</v>
      </c>
      <c r="H2549" t="str">
        <f>"# 0012128865"</f>
        <v># 0012128865</v>
      </c>
    </row>
    <row r="2550" spans="1:8" x14ac:dyDescent="0.25">
      <c r="E2550" t="str">
        <f>"C66201902277540"</f>
        <v>C66201902277540</v>
      </c>
      <c r="F2550" t="str">
        <f>"CAUSE#D1FM13007058"</f>
        <v>CAUSE#D1FM13007058</v>
      </c>
      <c r="G2550" s="2">
        <v>138.46</v>
      </c>
      <c r="H2550" t="str">
        <f>"CAUSE#D1FM13007058"</f>
        <v>CAUSE#D1FM13007058</v>
      </c>
    </row>
    <row r="2551" spans="1:8" x14ac:dyDescent="0.25">
      <c r="E2551" t="str">
        <f>"C66201902277541"</f>
        <v>C66201902277541</v>
      </c>
      <c r="F2551" t="str">
        <f>"# 0012871801"</f>
        <v># 0012871801</v>
      </c>
      <c r="G2551" s="2">
        <v>90</v>
      </c>
      <c r="H2551" t="str">
        <f>"# 0012871801"</f>
        <v># 0012871801</v>
      </c>
    </row>
    <row r="2552" spans="1:8" x14ac:dyDescent="0.25">
      <c r="E2552" t="str">
        <f>"C69201902277541"</f>
        <v>C69201902277541</v>
      </c>
      <c r="F2552" t="str">
        <f>"0012046911423672"</f>
        <v>0012046911423672</v>
      </c>
      <c r="G2552" s="2">
        <v>187.38</v>
      </c>
      <c r="H2552" t="str">
        <f>"0012046911423672"</f>
        <v>0012046911423672</v>
      </c>
    </row>
    <row r="2553" spans="1:8" x14ac:dyDescent="0.25">
      <c r="E2553" t="str">
        <f>"C70201902277541"</f>
        <v>C70201902277541</v>
      </c>
      <c r="F2553" t="str">
        <f>"00136881334235026"</f>
        <v>00136881334235026</v>
      </c>
      <c r="G2553" s="2">
        <v>257.45999999999998</v>
      </c>
      <c r="H2553" t="str">
        <f>"00136881334235026"</f>
        <v>00136881334235026</v>
      </c>
    </row>
    <row r="2554" spans="1:8" x14ac:dyDescent="0.25">
      <c r="E2554" t="str">
        <f>"C71201902277541"</f>
        <v>C71201902277541</v>
      </c>
      <c r="F2554" t="str">
        <f>"00137390532018V215"</f>
        <v>00137390532018V215</v>
      </c>
      <c r="G2554" s="2">
        <v>276.92</v>
      </c>
      <c r="H2554" t="str">
        <f>"00137390532018V215"</f>
        <v>00137390532018V215</v>
      </c>
    </row>
    <row r="2555" spans="1:8" x14ac:dyDescent="0.25">
      <c r="E2555" t="str">
        <f>"C72201902277541"</f>
        <v>C72201902277541</v>
      </c>
      <c r="F2555" t="str">
        <f>"0012797601C20130529B"</f>
        <v>0012797601C20130529B</v>
      </c>
      <c r="G2555" s="2">
        <v>241.85</v>
      </c>
      <c r="H2555" t="str">
        <f>"0012797601C20130529B"</f>
        <v>0012797601C20130529B</v>
      </c>
    </row>
    <row r="2556" spans="1:8" x14ac:dyDescent="0.25">
      <c r="E2556" t="str">
        <f>"C75201902277541"</f>
        <v>C75201902277541</v>
      </c>
      <c r="F2556" t="str">
        <f>"0011203766D1AG060016"</f>
        <v>0011203766D1AG060016</v>
      </c>
      <c r="G2556" s="2">
        <v>6.92</v>
      </c>
      <c r="H2556" t="str">
        <f>"0011203766D1AG060016"</f>
        <v>0011203766D1AG060016</v>
      </c>
    </row>
    <row r="2557" spans="1:8" x14ac:dyDescent="0.25">
      <c r="E2557" t="str">
        <f>"C76201902277541"</f>
        <v>C76201902277541</v>
      </c>
      <c r="F2557" t="str">
        <f>"00126801111316135"</f>
        <v>00126801111316135</v>
      </c>
      <c r="G2557" s="2">
        <v>103.85</v>
      </c>
      <c r="H2557" t="str">
        <f>"00126801111316135"</f>
        <v>00126801111316135</v>
      </c>
    </row>
    <row r="2558" spans="1:8" x14ac:dyDescent="0.25">
      <c r="E2558" t="str">
        <f>"C78201902277541"</f>
        <v>C78201902277541</v>
      </c>
      <c r="F2558" t="str">
        <f>"00105115972005106221"</f>
        <v>00105115972005106221</v>
      </c>
      <c r="G2558" s="2">
        <v>144.68</v>
      </c>
      <c r="H2558" t="str">
        <f>"00105115972005106221"</f>
        <v>00105115972005106221</v>
      </c>
    </row>
    <row r="2559" spans="1:8" x14ac:dyDescent="0.25">
      <c r="A2559" t="s">
        <v>457</v>
      </c>
      <c r="B2559">
        <v>71</v>
      </c>
      <c r="C2559" s="2">
        <v>334917.96000000002</v>
      </c>
      <c r="D2559" s="1">
        <v>43518</v>
      </c>
      <c r="E2559" t="str">
        <f>"RET201902067161"</f>
        <v>RET201902067161</v>
      </c>
      <c r="F2559" t="str">
        <f>"TEXAS COUNTY &amp; DISTRICT RET"</f>
        <v>TEXAS COUNTY &amp; DISTRICT RET</v>
      </c>
      <c r="G2559" s="2">
        <v>154869.1</v>
      </c>
      <c r="H2559" t="str">
        <f t="shared" ref="H2559:H2590" si="59">"TEXAS COUNTY &amp; DISTRICT RET"</f>
        <v>TEXAS COUNTY &amp; DISTRICT RET</v>
      </c>
    </row>
    <row r="2560" spans="1:8" x14ac:dyDescent="0.25">
      <c r="E2560" t="str">
        <f>""</f>
        <v/>
      </c>
      <c r="F2560" t="str">
        <f>""</f>
        <v/>
      </c>
      <c r="H2560" t="str">
        <f t="shared" si="59"/>
        <v>TEXAS COUNTY &amp; DISTRICT RET</v>
      </c>
    </row>
    <row r="2561" spans="5:8" x14ac:dyDescent="0.25">
      <c r="E2561" t="str">
        <f>""</f>
        <v/>
      </c>
      <c r="F2561" t="str">
        <f>""</f>
        <v/>
      </c>
      <c r="H2561" t="str">
        <f t="shared" si="59"/>
        <v>TEXAS COUNTY &amp; DISTRICT RET</v>
      </c>
    </row>
    <row r="2562" spans="5:8" x14ac:dyDescent="0.25">
      <c r="E2562" t="str">
        <f>""</f>
        <v/>
      </c>
      <c r="F2562" t="str">
        <f>""</f>
        <v/>
      </c>
      <c r="H2562" t="str">
        <f t="shared" si="59"/>
        <v>TEXAS COUNTY &amp; DISTRICT RET</v>
      </c>
    </row>
    <row r="2563" spans="5:8" x14ac:dyDescent="0.25">
      <c r="E2563" t="str">
        <f>""</f>
        <v/>
      </c>
      <c r="F2563" t="str">
        <f>""</f>
        <v/>
      </c>
      <c r="H2563" t="str">
        <f t="shared" si="59"/>
        <v>TEXAS COUNTY &amp; DISTRICT RET</v>
      </c>
    </row>
    <row r="2564" spans="5:8" x14ac:dyDescent="0.25">
      <c r="E2564" t="str">
        <f>""</f>
        <v/>
      </c>
      <c r="F2564" t="str">
        <f>""</f>
        <v/>
      </c>
      <c r="H2564" t="str">
        <f t="shared" si="59"/>
        <v>TEXAS COUNTY &amp; DISTRICT RET</v>
      </c>
    </row>
    <row r="2565" spans="5:8" x14ac:dyDescent="0.25">
      <c r="E2565" t="str">
        <f>""</f>
        <v/>
      </c>
      <c r="F2565" t="str">
        <f>""</f>
        <v/>
      </c>
      <c r="H2565" t="str">
        <f t="shared" si="59"/>
        <v>TEXAS COUNTY &amp; DISTRICT RET</v>
      </c>
    </row>
    <row r="2566" spans="5:8" x14ac:dyDescent="0.25">
      <c r="E2566" t="str">
        <f>""</f>
        <v/>
      </c>
      <c r="F2566" t="str">
        <f>""</f>
        <v/>
      </c>
      <c r="H2566" t="str">
        <f t="shared" si="59"/>
        <v>TEXAS COUNTY &amp; DISTRICT RET</v>
      </c>
    </row>
    <row r="2567" spans="5:8" x14ac:dyDescent="0.25">
      <c r="E2567" t="str">
        <f>""</f>
        <v/>
      </c>
      <c r="F2567" t="str">
        <f>""</f>
        <v/>
      </c>
      <c r="H2567" t="str">
        <f t="shared" si="59"/>
        <v>TEXAS COUNTY &amp; DISTRICT RET</v>
      </c>
    </row>
    <row r="2568" spans="5:8" x14ac:dyDescent="0.25">
      <c r="E2568" t="str">
        <f>""</f>
        <v/>
      </c>
      <c r="F2568" t="str">
        <f>""</f>
        <v/>
      </c>
      <c r="H2568" t="str">
        <f t="shared" si="59"/>
        <v>TEXAS COUNTY &amp; DISTRICT RET</v>
      </c>
    </row>
    <row r="2569" spans="5:8" x14ac:dyDescent="0.25">
      <c r="E2569" t="str">
        <f>""</f>
        <v/>
      </c>
      <c r="F2569" t="str">
        <f>""</f>
        <v/>
      </c>
      <c r="H2569" t="str">
        <f t="shared" si="59"/>
        <v>TEXAS COUNTY &amp; DISTRICT RET</v>
      </c>
    </row>
    <row r="2570" spans="5:8" x14ac:dyDescent="0.25">
      <c r="E2570" t="str">
        <f>""</f>
        <v/>
      </c>
      <c r="F2570" t="str">
        <f>""</f>
        <v/>
      </c>
      <c r="H2570" t="str">
        <f t="shared" si="59"/>
        <v>TEXAS COUNTY &amp; DISTRICT RET</v>
      </c>
    </row>
    <row r="2571" spans="5:8" x14ac:dyDescent="0.25">
      <c r="E2571" t="str">
        <f>""</f>
        <v/>
      </c>
      <c r="F2571" t="str">
        <f>""</f>
        <v/>
      </c>
      <c r="H2571" t="str">
        <f t="shared" si="59"/>
        <v>TEXAS COUNTY &amp; DISTRICT RET</v>
      </c>
    </row>
    <row r="2572" spans="5:8" x14ac:dyDescent="0.25">
      <c r="E2572" t="str">
        <f>""</f>
        <v/>
      </c>
      <c r="F2572" t="str">
        <f>""</f>
        <v/>
      </c>
      <c r="H2572" t="str">
        <f t="shared" si="59"/>
        <v>TEXAS COUNTY &amp; DISTRICT RET</v>
      </c>
    </row>
    <row r="2573" spans="5:8" x14ac:dyDescent="0.25">
      <c r="E2573" t="str">
        <f>""</f>
        <v/>
      </c>
      <c r="F2573" t="str">
        <f>""</f>
        <v/>
      </c>
      <c r="H2573" t="str">
        <f t="shared" si="59"/>
        <v>TEXAS COUNTY &amp; DISTRICT RET</v>
      </c>
    </row>
    <row r="2574" spans="5:8" x14ac:dyDescent="0.25">
      <c r="E2574" t="str">
        <f>""</f>
        <v/>
      </c>
      <c r="F2574" t="str">
        <f>""</f>
        <v/>
      </c>
      <c r="H2574" t="str">
        <f t="shared" si="59"/>
        <v>TEXAS COUNTY &amp; DISTRICT RET</v>
      </c>
    </row>
    <row r="2575" spans="5:8" x14ac:dyDescent="0.25">
      <c r="E2575" t="str">
        <f>""</f>
        <v/>
      </c>
      <c r="F2575" t="str">
        <f>""</f>
        <v/>
      </c>
      <c r="H2575" t="str">
        <f t="shared" si="59"/>
        <v>TEXAS COUNTY &amp; DISTRICT RET</v>
      </c>
    </row>
    <row r="2576" spans="5:8" x14ac:dyDescent="0.25">
      <c r="E2576" t="str">
        <f>""</f>
        <v/>
      </c>
      <c r="F2576" t="str">
        <f>""</f>
        <v/>
      </c>
      <c r="H2576" t="str">
        <f t="shared" si="59"/>
        <v>TEXAS COUNTY &amp; DISTRICT RET</v>
      </c>
    </row>
    <row r="2577" spans="5:8" x14ac:dyDescent="0.25">
      <c r="E2577" t="str">
        <f>""</f>
        <v/>
      </c>
      <c r="F2577" t="str">
        <f>""</f>
        <v/>
      </c>
      <c r="H2577" t="str">
        <f t="shared" si="59"/>
        <v>TEXAS COUNTY &amp; DISTRICT RET</v>
      </c>
    </row>
    <row r="2578" spans="5:8" x14ac:dyDescent="0.25">
      <c r="E2578" t="str">
        <f>""</f>
        <v/>
      </c>
      <c r="F2578" t="str">
        <f>""</f>
        <v/>
      </c>
      <c r="H2578" t="str">
        <f t="shared" si="59"/>
        <v>TEXAS COUNTY &amp; DISTRICT RET</v>
      </c>
    </row>
    <row r="2579" spans="5:8" x14ac:dyDescent="0.25">
      <c r="E2579" t="str">
        <f>""</f>
        <v/>
      </c>
      <c r="F2579" t="str">
        <f>""</f>
        <v/>
      </c>
      <c r="H2579" t="str">
        <f t="shared" si="59"/>
        <v>TEXAS COUNTY &amp; DISTRICT RET</v>
      </c>
    </row>
    <row r="2580" spans="5:8" x14ac:dyDescent="0.25">
      <c r="E2580" t="str">
        <f>""</f>
        <v/>
      </c>
      <c r="F2580" t="str">
        <f>""</f>
        <v/>
      </c>
      <c r="H2580" t="str">
        <f t="shared" si="59"/>
        <v>TEXAS COUNTY &amp; DISTRICT RET</v>
      </c>
    </row>
    <row r="2581" spans="5:8" x14ac:dyDescent="0.25">
      <c r="E2581" t="str">
        <f>""</f>
        <v/>
      </c>
      <c r="F2581" t="str">
        <f>""</f>
        <v/>
      </c>
      <c r="H2581" t="str">
        <f t="shared" si="59"/>
        <v>TEXAS COUNTY &amp; DISTRICT RET</v>
      </c>
    </row>
    <row r="2582" spans="5:8" x14ac:dyDescent="0.25">
      <c r="E2582" t="str">
        <f>""</f>
        <v/>
      </c>
      <c r="F2582" t="str">
        <f>""</f>
        <v/>
      </c>
      <c r="H2582" t="str">
        <f t="shared" si="59"/>
        <v>TEXAS COUNTY &amp; DISTRICT RET</v>
      </c>
    </row>
    <row r="2583" spans="5:8" x14ac:dyDescent="0.25">
      <c r="E2583" t="str">
        <f>""</f>
        <v/>
      </c>
      <c r="F2583" t="str">
        <f>""</f>
        <v/>
      </c>
      <c r="H2583" t="str">
        <f t="shared" si="59"/>
        <v>TEXAS COUNTY &amp; DISTRICT RET</v>
      </c>
    </row>
    <row r="2584" spans="5:8" x14ac:dyDescent="0.25">
      <c r="E2584" t="str">
        <f>""</f>
        <v/>
      </c>
      <c r="F2584" t="str">
        <f>""</f>
        <v/>
      </c>
      <c r="H2584" t="str">
        <f t="shared" si="59"/>
        <v>TEXAS COUNTY &amp; DISTRICT RET</v>
      </c>
    </row>
    <row r="2585" spans="5:8" x14ac:dyDescent="0.25">
      <c r="E2585" t="str">
        <f>""</f>
        <v/>
      </c>
      <c r="F2585" t="str">
        <f>""</f>
        <v/>
      </c>
      <c r="H2585" t="str">
        <f t="shared" si="59"/>
        <v>TEXAS COUNTY &amp; DISTRICT RET</v>
      </c>
    </row>
    <row r="2586" spans="5:8" x14ac:dyDescent="0.25">
      <c r="E2586" t="str">
        <f>""</f>
        <v/>
      </c>
      <c r="F2586" t="str">
        <f>""</f>
        <v/>
      </c>
      <c r="H2586" t="str">
        <f t="shared" si="59"/>
        <v>TEXAS COUNTY &amp; DISTRICT RET</v>
      </c>
    </row>
    <row r="2587" spans="5:8" x14ac:dyDescent="0.25">
      <c r="E2587" t="str">
        <f>""</f>
        <v/>
      </c>
      <c r="F2587" t="str">
        <f>""</f>
        <v/>
      </c>
      <c r="H2587" t="str">
        <f t="shared" si="59"/>
        <v>TEXAS COUNTY &amp; DISTRICT RET</v>
      </c>
    </row>
    <row r="2588" spans="5:8" x14ac:dyDescent="0.25">
      <c r="E2588" t="str">
        <f>""</f>
        <v/>
      </c>
      <c r="F2588" t="str">
        <f>""</f>
        <v/>
      </c>
      <c r="H2588" t="str">
        <f t="shared" si="59"/>
        <v>TEXAS COUNTY &amp; DISTRICT RET</v>
      </c>
    </row>
    <row r="2589" spans="5:8" x14ac:dyDescent="0.25">
      <c r="E2589" t="str">
        <f>""</f>
        <v/>
      </c>
      <c r="F2589" t="str">
        <f>""</f>
        <v/>
      </c>
      <c r="H2589" t="str">
        <f t="shared" si="59"/>
        <v>TEXAS COUNTY &amp; DISTRICT RET</v>
      </c>
    </row>
    <row r="2590" spans="5:8" x14ac:dyDescent="0.25">
      <c r="E2590" t="str">
        <f>""</f>
        <v/>
      </c>
      <c r="F2590" t="str">
        <f>""</f>
        <v/>
      </c>
      <c r="H2590" t="str">
        <f t="shared" si="59"/>
        <v>TEXAS COUNTY &amp; DISTRICT RET</v>
      </c>
    </row>
    <row r="2591" spans="5:8" x14ac:dyDescent="0.25">
      <c r="E2591" t="str">
        <f>""</f>
        <v/>
      </c>
      <c r="F2591" t="str">
        <f>""</f>
        <v/>
      </c>
      <c r="H2591" t="str">
        <f t="shared" ref="H2591:H2609" si="60">"TEXAS COUNTY &amp; DISTRICT RET"</f>
        <v>TEXAS COUNTY &amp; DISTRICT RET</v>
      </c>
    </row>
    <row r="2592" spans="5:8" x14ac:dyDescent="0.25">
      <c r="E2592" t="str">
        <f>""</f>
        <v/>
      </c>
      <c r="F2592" t="str">
        <f>""</f>
        <v/>
      </c>
      <c r="H2592" t="str">
        <f t="shared" si="60"/>
        <v>TEXAS COUNTY &amp; DISTRICT RET</v>
      </c>
    </row>
    <row r="2593" spans="5:8" x14ac:dyDescent="0.25">
      <c r="E2593" t="str">
        <f>""</f>
        <v/>
      </c>
      <c r="F2593" t="str">
        <f>""</f>
        <v/>
      </c>
      <c r="H2593" t="str">
        <f t="shared" si="60"/>
        <v>TEXAS COUNTY &amp; DISTRICT RET</v>
      </c>
    </row>
    <row r="2594" spans="5:8" x14ac:dyDescent="0.25">
      <c r="E2594" t="str">
        <f>""</f>
        <v/>
      </c>
      <c r="F2594" t="str">
        <f>""</f>
        <v/>
      </c>
      <c r="H2594" t="str">
        <f t="shared" si="60"/>
        <v>TEXAS COUNTY &amp; DISTRICT RET</v>
      </c>
    </row>
    <row r="2595" spans="5:8" x14ac:dyDescent="0.25">
      <c r="E2595" t="str">
        <f>""</f>
        <v/>
      </c>
      <c r="F2595" t="str">
        <f>""</f>
        <v/>
      </c>
      <c r="H2595" t="str">
        <f t="shared" si="60"/>
        <v>TEXAS COUNTY &amp; DISTRICT RET</v>
      </c>
    </row>
    <row r="2596" spans="5:8" x14ac:dyDescent="0.25">
      <c r="E2596" t="str">
        <f>""</f>
        <v/>
      </c>
      <c r="F2596" t="str">
        <f>""</f>
        <v/>
      </c>
      <c r="H2596" t="str">
        <f t="shared" si="60"/>
        <v>TEXAS COUNTY &amp; DISTRICT RET</v>
      </c>
    </row>
    <row r="2597" spans="5:8" x14ac:dyDescent="0.25">
      <c r="E2597" t="str">
        <f>""</f>
        <v/>
      </c>
      <c r="F2597" t="str">
        <f>""</f>
        <v/>
      </c>
      <c r="H2597" t="str">
        <f t="shared" si="60"/>
        <v>TEXAS COUNTY &amp; DISTRICT RET</v>
      </c>
    </row>
    <row r="2598" spans="5:8" x14ac:dyDescent="0.25">
      <c r="E2598" t="str">
        <f>""</f>
        <v/>
      </c>
      <c r="F2598" t="str">
        <f>""</f>
        <v/>
      </c>
      <c r="H2598" t="str">
        <f t="shared" si="60"/>
        <v>TEXAS COUNTY &amp; DISTRICT RET</v>
      </c>
    </row>
    <row r="2599" spans="5:8" x14ac:dyDescent="0.25">
      <c r="E2599" t="str">
        <f>""</f>
        <v/>
      </c>
      <c r="F2599" t="str">
        <f>""</f>
        <v/>
      </c>
      <c r="H2599" t="str">
        <f t="shared" si="60"/>
        <v>TEXAS COUNTY &amp; DISTRICT RET</v>
      </c>
    </row>
    <row r="2600" spans="5:8" x14ac:dyDescent="0.25">
      <c r="E2600" t="str">
        <f>""</f>
        <v/>
      </c>
      <c r="F2600" t="str">
        <f>""</f>
        <v/>
      </c>
      <c r="H2600" t="str">
        <f t="shared" si="60"/>
        <v>TEXAS COUNTY &amp; DISTRICT RET</v>
      </c>
    </row>
    <row r="2601" spans="5:8" x14ac:dyDescent="0.25">
      <c r="E2601" t="str">
        <f>""</f>
        <v/>
      </c>
      <c r="F2601" t="str">
        <f>""</f>
        <v/>
      </c>
      <c r="H2601" t="str">
        <f t="shared" si="60"/>
        <v>TEXAS COUNTY &amp; DISTRICT RET</v>
      </c>
    </row>
    <row r="2602" spans="5:8" x14ac:dyDescent="0.25">
      <c r="E2602" t="str">
        <f>""</f>
        <v/>
      </c>
      <c r="F2602" t="str">
        <f>""</f>
        <v/>
      </c>
      <c r="H2602" t="str">
        <f t="shared" si="60"/>
        <v>TEXAS COUNTY &amp; DISTRICT RET</v>
      </c>
    </row>
    <row r="2603" spans="5:8" x14ac:dyDescent="0.25">
      <c r="E2603" t="str">
        <f>""</f>
        <v/>
      </c>
      <c r="F2603" t="str">
        <f>""</f>
        <v/>
      </c>
      <c r="H2603" t="str">
        <f t="shared" si="60"/>
        <v>TEXAS COUNTY &amp; DISTRICT RET</v>
      </c>
    </row>
    <row r="2604" spans="5:8" x14ac:dyDescent="0.25">
      <c r="E2604" t="str">
        <f>""</f>
        <v/>
      </c>
      <c r="F2604" t="str">
        <f>""</f>
        <v/>
      </c>
      <c r="H2604" t="str">
        <f t="shared" si="60"/>
        <v>TEXAS COUNTY &amp; DISTRICT RET</v>
      </c>
    </row>
    <row r="2605" spans="5:8" x14ac:dyDescent="0.25">
      <c r="E2605" t="str">
        <f>""</f>
        <v/>
      </c>
      <c r="F2605" t="str">
        <f>""</f>
        <v/>
      </c>
      <c r="H2605" t="str">
        <f t="shared" si="60"/>
        <v>TEXAS COUNTY &amp; DISTRICT RET</v>
      </c>
    </row>
    <row r="2606" spans="5:8" x14ac:dyDescent="0.25">
      <c r="E2606" t="str">
        <f>""</f>
        <v/>
      </c>
      <c r="F2606" t="str">
        <f>""</f>
        <v/>
      </c>
      <c r="H2606" t="str">
        <f t="shared" si="60"/>
        <v>TEXAS COUNTY &amp; DISTRICT RET</v>
      </c>
    </row>
    <row r="2607" spans="5:8" x14ac:dyDescent="0.25">
      <c r="E2607" t="str">
        <f>""</f>
        <v/>
      </c>
      <c r="F2607" t="str">
        <f>""</f>
        <v/>
      </c>
      <c r="H2607" t="str">
        <f t="shared" si="60"/>
        <v>TEXAS COUNTY &amp; DISTRICT RET</v>
      </c>
    </row>
    <row r="2608" spans="5:8" x14ac:dyDescent="0.25">
      <c r="E2608" t="str">
        <f>""</f>
        <v/>
      </c>
      <c r="F2608" t="str">
        <f>""</f>
        <v/>
      </c>
      <c r="H2608" t="str">
        <f t="shared" si="60"/>
        <v>TEXAS COUNTY &amp; DISTRICT RET</v>
      </c>
    </row>
    <row r="2609" spans="5:8" x14ac:dyDescent="0.25">
      <c r="E2609" t="str">
        <f>""</f>
        <v/>
      </c>
      <c r="F2609" t="str">
        <f>""</f>
        <v/>
      </c>
      <c r="H2609" t="str">
        <f t="shared" si="60"/>
        <v>TEXAS COUNTY &amp; DISTRICT RET</v>
      </c>
    </row>
    <row r="2610" spans="5:8" x14ac:dyDescent="0.25">
      <c r="E2610" t="str">
        <f>"RET201902067196"</f>
        <v>RET201902067196</v>
      </c>
      <c r="F2610" t="str">
        <f>"TEXAS COUNTY  DISTRICT RET"</f>
        <v>TEXAS COUNTY  DISTRICT RET</v>
      </c>
      <c r="G2610" s="2">
        <v>5792.78</v>
      </c>
      <c r="H2610" t="str">
        <f>"TEXAS COUNTY  DISTRICT RET"</f>
        <v>TEXAS COUNTY  DISTRICT RET</v>
      </c>
    </row>
    <row r="2611" spans="5:8" x14ac:dyDescent="0.25">
      <c r="E2611" t="str">
        <f>""</f>
        <v/>
      </c>
      <c r="F2611" t="str">
        <f>""</f>
        <v/>
      </c>
      <c r="H2611" t="str">
        <f>"TEXAS COUNTY  DISTRICT RET"</f>
        <v>TEXAS COUNTY  DISTRICT RET</v>
      </c>
    </row>
    <row r="2612" spans="5:8" x14ac:dyDescent="0.25">
      <c r="E2612" t="str">
        <f>"RET201902067198"</f>
        <v>RET201902067198</v>
      </c>
      <c r="F2612" t="str">
        <f>"TEXAS COUNTY &amp; DISTRICT RET"</f>
        <v>TEXAS COUNTY &amp; DISTRICT RET</v>
      </c>
      <c r="G2612" s="2">
        <v>8692.7999999999993</v>
      </c>
      <c r="H2612" t="str">
        <f>"TEXAS COUNTY &amp; DISTRICT RET"</f>
        <v>TEXAS COUNTY &amp; DISTRICT RET</v>
      </c>
    </row>
    <row r="2613" spans="5:8" x14ac:dyDescent="0.25">
      <c r="E2613" t="str">
        <f>""</f>
        <v/>
      </c>
      <c r="F2613" t="str">
        <f>""</f>
        <v/>
      </c>
      <c r="H2613" t="str">
        <f>"TEXAS COUNTY &amp; DISTRICT RET"</f>
        <v>TEXAS COUNTY &amp; DISTRICT RET</v>
      </c>
    </row>
    <row r="2614" spans="5:8" x14ac:dyDescent="0.25">
      <c r="E2614" t="str">
        <f>"RET201902277538"</f>
        <v>RET201902277538</v>
      </c>
      <c r="F2614" t="str">
        <f>"TEXAS COUNTY  DISTRICT RET"</f>
        <v>TEXAS COUNTY  DISTRICT RET</v>
      </c>
      <c r="G2614" s="2">
        <v>5760.08</v>
      </c>
      <c r="H2614" t="str">
        <f>"TEXAS COUNTY  DISTRICT RET"</f>
        <v>TEXAS COUNTY  DISTRICT RET</v>
      </c>
    </row>
    <row r="2615" spans="5:8" x14ac:dyDescent="0.25">
      <c r="E2615" t="str">
        <f>""</f>
        <v/>
      </c>
      <c r="F2615" t="str">
        <f>""</f>
        <v/>
      </c>
      <c r="H2615" t="str">
        <f>"TEXAS COUNTY  DISTRICT RET"</f>
        <v>TEXAS COUNTY  DISTRICT RET</v>
      </c>
    </row>
    <row r="2616" spans="5:8" x14ac:dyDescent="0.25">
      <c r="E2616" t="str">
        <f>"RET201902277540"</f>
        <v>RET201902277540</v>
      </c>
      <c r="F2616" t="str">
        <f>"TEXAS COUNTY &amp; DISTRICT RET"</f>
        <v>TEXAS COUNTY &amp; DISTRICT RET</v>
      </c>
      <c r="G2616" s="2">
        <v>6634.8</v>
      </c>
      <c r="H2616" t="str">
        <f t="shared" ref="H2616:H2647" si="61">"TEXAS COUNTY &amp; DISTRICT RET"</f>
        <v>TEXAS COUNTY &amp; DISTRICT RET</v>
      </c>
    </row>
    <row r="2617" spans="5:8" x14ac:dyDescent="0.25">
      <c r="E2617" t="str">
        <f>""</f>
        <v/>
      </c>
      <c r="F2617" t="str">
        <f>""</f>
        <v/>
      </c>
      <c r="H2617" t="str">
        <f t="shared" si="61"/>
        <v>TEXAS COUNTY &amp; DISTRICT RET</v>
      </c>
    </row>
    <row r="2618" spans="5:8" x14ac:dyDescent="0.25">
      <c r="E2618" t="str">
        <f>"RET201902277541"</f>
        <v>RET201902277541</v>
      </c>
      <c r="F2618" t="str">
        <f>"TEXAS COUNTY &amp; DISTRICT RET"</f>
        <v>TEXAS COUNTY &amp; DISTRICT RET</v>
      </c>
      <c r="G2618" s="2">
        <v>153168.4</v>
      </c>
      <c r="H2618" t="str">
        <f t="shared" si="61"/>
        <v>TEXAS COUNTY &amp; DISTRICT RET</v>
      </c>
    </row>
    <row r="2619" spans="5:8" x14ac:dyDescent="0.25">
      <c r="E2619" t="str">
        <f>""</f>
        <v/>
      </c>
      <c r="F2619" t="str">
        <f>""</f>
        <v/>
      </c>
      <c r="H2619" t="str">
        <f t="shared" si="61"/>
        <v>TEXAS COUNTY &amp; DISTRICT RET</v>
      </c>
    </row>
    <row r="2620" spans="5:8" x14ac:dyDescent="0.25">
      <c r="E2620" t="str">
        <f>""</f>
        <v/>
      </c>
      <c r="F2620" t="str">
        <f>""</f>
        <v/>
      </c>
      <c r="H2620" t="str">
        <f t="shared" si="61"/>
        <v>TEXAS COUNTY &amp; DISTRICT RET</v>
      </c>
    </row>
    <row r="2621" spans="5:8" x14ac:dyDescent="0.25">
      <c r="E2621" t="str">
        <f>""</f>
        <v/>
      </c>
      <c r="F2621" t="str">
        <f>""</f>
        <v/>
      </c>
      <c r="H2621" t="str">
        <f t="shared" si="61"/>
        <v>TEXAS COUNTY &amp; DISTRICT RET</v>
      </c>
    </row>
    <row r="2622" spans="5:8" x14ac:dyDescent="0.25">
      <c r="E2622" t="str">
        <f>""</f>
        <v/>
      </c>
      <c r="F2622" t="str">
        <f>""</f>
        <v/>
      </c>
      <c r="H2622" t="str">
        <f t="shared" si="61"/>
        <v>TEXAS COUNTY &amp; DISTRICT RET</v>
      </c>
    </row>
    <row r="2623" spans="5:8" x14ac:dyDescent="0.25">
      <c r="E2623" t="str">
        <f>""</f>
        <v/>
      </c>
      <c r="F2623" t="str">
        <f>""</f>
        <v/>
      </c>
      <c r="H2623" t="str">
        <f t="shared" si="61"/>
        <v>TEXAS COUNTY &amp; DISTRICT RET</v>
      </c>
    </row>
    <row r="2624" spans="5:8" x14ac:dyDescent="0.25">
      <c r="E2624" t="str">
        <f>""</f>
        <v/>
      </c>
      <c r="F2624" t="str">
        <f>""</f>
        <v/>
      </c>
      <c r="H2624" t="str">
        <f t="shared" si="61"/>
        <v>TEXAS COUNTY &amp; DISTRICT RET</v>
      </c>
    </row>
    <row r="2625" spans="5:8" x14ac:dyDescent="0.25">
      <c r="E2625" t="str">
        <f>""</f>
        <v/>
      </c>
      <c r="F2625" t="str">
        <f>""</f>
        <v/>
      </c>
      <c r="H2625" t="str">
        <f t="shared" si="61"/>
        <v>TEXAS COUNTY &amp; DISTRICT RET</v>
      </c>
    </row>
    <row r="2626" spans="5:8" x14ac:dyDescent="0.25">
      <c r="E2626" t="str">
        <f>""</f>
        <v/>
      </c>
      <c r="F2626" t="str">
        <f>""</f>
        <v/>
      </c>
      <c r="H2626" t="str">
        <f t="shared" si="61"/>
        <v>TEXAS COUNTY &amp; DISTRICT RET</v>
      </c>
    </row>
    <row r="2627" spans="5:8" x14ac:dyDescent="0.25">
      <c r="E2627" t="str">
        <f>""</f>
        <v/>
      </c>
      <c r="F2627" t="str">
        <f>""</f>
        <v/>
      </c>
      <c r="H2627" t="str">
        <f t="shared" si="61"/>
        <v>TEXAS COUNTY &amp; DISTRICT RET</v>
      </c>
    </row>
    <row r="2628" spans="5:8" x14ac:dyDescent="0.25">
      <c r="E2628" t="str">
        <f>""</f>
        <v/>
      </c>
      <c r="F2628" t="str">
        <f>""</f>
        <v/>
      </c>
      <c r="H2628" t="str">
        <f t="shared" si="61"/>
        <v>TEXAS COUNTY &amp; DISTRICT RET</v>
      </c>
    </row>
    <row r="2629" spans="5:8" x14ac:dyDescent="0.25">
      <c r="E2629" t="str">
        <f>""</f>
        <v/>
      </c>
      <c r="F2629" t="str">
        <f>""</f>
        <v/>
      </c>
      <c r="H2629" t="str">
        <f t="shared" si="61"/>
        <v>TEXAS COUNTY &amp; DISTRICT RET</v>
      </c>
    </row>
    <row r="2630" spans="5:8" x14ac:dyDescent="0.25">
      <c r="E2630" t="str">
        <f>""</f>
        <v/>
      </c>
      <c r="F2630" t="str">
        <f>""</f>
        <v/>
      </c>
      <c r="H2630" t="str">
        <f t="shared" si="61"/>
        <v>TEXAS COUNTY &amp; DISTRICT RET</v>
      </c>
    </row>
    <row r="2631" spans="5:8" x14ac:dyDescent="0.25">
      <c r="E2631" t="str">
        <f>""</f>
        <v/>
      </c>
      <c r="F2631" t="str">
        <f>""</f>
        <v/>
      </c>
      <c r="H2631" t="str">
        <f t="shared" si="61"/>
        <v>TEXAS COUNTY &amp; DISTRICT RET</v>
      </c>
    </row>
    <row r="2632" spans="5:8" x14ac:dyDescent="0.25">
      <c r="E2632" t="str">
        <f>""</f>
        <v/>
      </c>
      <c r="F2632" t="str">
        <f>""</f>
        <v/>
      </c>
      <c r="H2632" t="str">
        <f t="shared" si="61"/>
        <v>TEXAS COUNTY &amp; DISTRICT RET</v>
      </c>
    </row>
    <row r="2633" spans="5:8" x14ac:dyDescent="0.25">
      <c r="E2633" t="str">
        <f>""</f>
        <v/>
      </c>
      <c r="F2633" t="str">
        <f>""</f>
        <v/>
      </c>
      <c r="H2633" t="str">
        <f t="shared" si="61"/>
        <v>TEXAS COUNTY &amp; DISTRICT RET</v>
      </c>
    </row>
    <row r="2634" spans="5:8" x14ac:dyDescent="0.25">
      <c r="E2634" t="str">
        <f>""</f>
        <v/>
      </c>
      <c r="F2634" t="str">
        <f>""</f>
        <v/>
      </c>
      <c r="H2634" t="str">
        <f t="shared" si="61"/>
        <v>TEXAS COUNTY &amp; DISTRICT RET</v>
      </c>
    </row>
    <row r="2635" spans="5:8" x14ac:dyDescent="0.25">
      <c r="E2635" t="str">
        <f>""</f>
        <v/>
      </c>
      <c r="F2635" t="str">
        <f>""</f>
        <v/>
      </c>
      <c r="H2635" t="str">
        <f t="shared" si="61"/>
        <v>TEXAS COUNTY &amp; DISTRICT RET</v>
      </c>
    </row>
    <row r="2636" spans="5:8" x14ac:dyDescent="0.25">
      <c r="E2636" t="str">
        <f>""</f>
        <v/>
      </c>
      <c r="F2636" t="str">
        <f>""</f>
        <v/>
      </c>
      <c r="H2636" t="str">
        <f t="shared" si="61"/>
        <v>TEXAS COUNTY &amp; DISTRICT RET</v>
      </c>
    </row>
    <row r="2637" spans="5:8" x14ac:dyDescent="0.25">
      <c r="E2637" t="str">
        <f>""</f>
        <v/>
      </c>
      <c r="F2637" t="str">
        <f>""</f>
        <v/>
      </c>
      <c r="H2637" t="str">
        <f t="shared" si="61"/>
        <v>TEXAS COUNTY &amp; DISTRICT RET</v>
      </c>
    </row>
    <row r="2638" spans="5:8" x14ac:dyDescent="0.25">
      <c r="E2638" t="str">
        <f>""</f>
        <v/>
      </c>
      <c r="F2638" t="str">
        <f>""</f>
        <v/>
      </c>
      <c r="H2638" t="str">
        <f t="shared" si="61"/>
        <v>TEXAS COUNTY &amp; DISTRICT RET</v>
      </c>
    </row>
    <row r="2639" spans="5:8" x14ac:dyDescent="0.25">
      <c r="E2639" t="str">
        <f>""</f>
        <v/>
      </c>
      <c r="F2639" t="str">
        <f>""</f>
        <v/>
      </c>
      <c r="H2639" t="str">
        <f t="shared" si="61"/>
        <v>TEXAS COUNTY &amp; DISTRICT RET</v>
      </c>
    </row>
    <row r="2640" spans="5:8" x14ac:dyDescent="0.25">
      <c r="E2640" t="str">
        <f>""</f>
        <v/>
      </c>
      <c r="F2640" t="str">
        <f>""</f>
        <v/>
      </c>
      <c r="H2640" t="str">
        <f t="shared" si="61"/>
        <v>TEXAS COUNTY &amp; DISTRICT RET</v>
      </c>
    </row>
    <row r="2641" spans="5:8" x14ac:dyDescent="0.25">
      <c r="E2641" t="str">
        <f>""</f>
        <v/>
      </c>
      <c r="F2641" t="str">
        <f>""</f>
        <v/>
      </c>
      <c r="H2641" t="str">
        <f t="shared" si="61"/>
        <v>TEXAS COUNTY &amp; DISTRICT RET</v>
      </c>
    </row>
    <row r="2642" spans="5:8" x14ac:dyDescent="0.25">
      <c r="E2642" t="str">
        <f>""</f>
        <v/>
      </c>
      <c r="F2642" t="str">
        <f>""</f>
        <v/>
      </c>
      <c r="H2642" t="str">
        <f t="shared" si="61"/>
        <v>TEXAS COUNTY &amp; DISTRICT RET</v>
      </c>
    </row>
    <row r="2643" spans="5:8" x14ac:dyDescent="0.25">
      <c r="E2643" t="str">
        <f>""</f>
        <v/>
      </c>
      <c r="F2643" t="str">
        <f>""</f>
        <v/>
      </c>
      <c r="H2643" t="str">
        <f t="shared" si="61"/>
        <v>TEXAS COUNTY &amp; DISTRICT RET</v>
      </c>
    </row>
    <row r="2644" spans="5:8" x14ac:dyDescent="0.25">
      <c r="E2644" t="str">
        <f>""</f>
        <v/>
      </c>
      <c r="F2644" t="str">
        <f>""</f>
        <v/>
      </c>
      <c r="H2644" t="str">
        <f t="shared" si="61"/>
        <v>TEXAS COUNTY &amp; DISTRICT RET</v>
      </c>
    </row>
    <row r="2645" spans="5:8" x14ac:dyDescent="0.25">
      <c r="E2645" t="str">
        <f>""</f>
        <v/>
      </c>
      <c r="F2645" t="str">
        <f>""</f>
        <v/>
      </c>
      <c r="H2645" t="str">
        <f t="shared" si="61"/>
        <v>TEXAS COUNTY &amp; DISTRICT RET</v>
      </c>
    </row>
    <row r="2646" spans="5:8" x14ac:dyDescent="0.25">
      <c r="E2646" t="str">
        <f>""</f>
        <v/>
      </c>
      <c r="F2646" t="str">
        <f>""</f>
        <v/>
      </c>
      <c r="H2646" t="str">
        <f t="shared" si="61"/>
        <v>TEXAS COUNTY &amp; DISTRICT RET</v>
      </c>
    </row>
    <row r="2647" spans="5:8" x14ac:dyDescent="0.25">
      <c r="E2647" t="str">
        <f>""</f>
        <v/>
      </c>
      <c r="F2647" t="str">
        <f>""</f>
        <v/>
      </c>
      <c r="H2647" t="str">
        <f t="shared" si="61"/>
        <v>TEXAS COUNTY &amp; DISTRICT RET</v>
      </c>
    </row>
    <row r="2648" spans="5:8" x14ac:dyDescent="0.25">
      <c r="E2648" t="str">
        <f>""</f>
        <v/>
      </c>
      <c r="F2648" t="str">
        <f>""</f>
        <v/>
      </c>
      <c r="H2648" t="str">
        <f t="shared" ref="H2648:H2668" si="62">"TEXAS COUNTY &amp; DISTRICT RET"</f>
        <v>TEXAS COUNTY &amp; DISTRICT RET</v>
      </c>
    </row>
    <row r="2649" spans="5:8" x14ac:dyDescent="0.25">
      <c r="E2649" t="str">
        <f>""</f>
        <v/>
      </c>
      <c r="F2649" t="str">
        <f>""</f>
        <v/>
      </c>
      <c r="H2649" t="str">
        <f t="shared" si="62"/>
        <v>TEXAS COUNTY &amp; DISTRICT RET</v>
      </c>
    </row>
    <row r="2650" spans="5:8" x14ac:dyDescent="0.25">
      <c r="E2650" t="str">
        <f>""</f>
        <v/>
      </c>
      <c r="F2650" t="str">
        <f>""</f>
        <v/>
      </c>
      <c r="H2650" t="str">
        <f t="shared" si="62"/>
        <v>TEXAS COUNTY &amp; DISTRICT RET</v>
      </c>
    </row>
    <row r="2651" spans="5:8" x14ac:dyDescent="0.25">
      <c r="E2651" t="str">
        <f>""</f>
        <v/>
      </c>
      <c r="F2651" t="str">
        <f>""</f>
        <v/>
      </c>
      <c r="H2651" t="str">
        <f t="shared" si="62"/>
        <v>TEXAS COUNTY &amp; DISTRICT RET</v>
      </c>
    </row>
    <row r="2652" spans="5:8" x14ac:dyDescent="0.25">
      <c r="E2652" t="str">
        <f>""</f>
        <v/>
      </c>
      <c r="F2652" t="str">
        <f>""</f>
        <v/>
      </c>
      <c r="H2652" t="str">
        <f t="shared" si="62"/>
        <v>TEXAS COUNTY &amp; DISTRICT RET</v>
      </c>
    </row>
    <row r="2653" spans="5:8" x14ac:dyDescent="0.25">
      <c r="E2653" t="str">
        <f>""</f>
        <v/>
      </c>
      <c r="F2653" t="str">
        <f>""</f>
        <v/>
      </c>
      <c r="H2653" t="str">
        <f t="shared" si="62"/>
        <v>TEXAS COUNTY &amp; DISTRICT RET</v>
      </c>
    </row>
    <row r="2654" spans="5:8" x14ac:dyDescent="0.25">
      <c r="E2654" t="str">
        <f>""</f>
        <v/>
      </c>
      <c r="F2654" t="str">
        <f>""</f>
        <v/>
      </c>
      <c r="H2654" t="str">
        <f t="shared" si="62"/>
        <v>TEXAS COUNTY &amp; DISTRICT RET</v>
      </c>
    </row>
    <row r="2655" spans="5:8" x14ac:dyDescent="0.25">
      <c r="E2655" t="str">
        <f>""</f>
        <v/>
      </c>
      <c r="F2655" t="str">
        <f>""</f>
        <v/>
      </c>
      <c r="H2655" t="str">
        <f t="shared" si="62"/>
        <v>TEXAS COUNTY &amp; DISTRICT RET</v>
      </c>
    </row>
    <row r="2656" spans="5:8" x14ac:dyDescent="0.25">
      <c r="E2656" t="str">
        <f>""</f>
        <v/>
      </c>
      <c r="F2656" t="str">
        <f>""</f>
        <v/>
      </c>
      <c r="H2656" t="str">
        <f t="shared" si="62"/>
        <v>TEXAS COUNTY &amp; DISTRICT RET</v>
      </c>
    </row>
    <row r="2657" spans="1:8" x14ac:dyDescent="0.25">
      <c r="E2657" t="str">
        <f>""</f>
        <v/>
      </c>
      <c r="F2657" t="str">
        <f>""</f>
        <v/>
      </c>
      <c r="H2657" t="str">
        <f t="shared" si="62"/>
        <v>TEXAS COUNTY &amp; DISTRICT RET</v>
      </c>
    </row>
    <row r="2658" spans="1:8" x14ac:dyDescent="0.25">
      <c r="E2658" t="str">
        <f>""</f>
        <v/>
      </c>
      <c r="F2658" t="str">
        <f>""</f>
        <v/>
      </c>
      <c r="H2658" t="str">
        <f t="shared" si="62"/>
        <v>TEXAS COUNTY &amp; DISTRICT RET</v>
      </c>
    </row>
    <row r="2659" spans="1:8" x14ac:dyDescent="0.25">
      <c r="E2659" t="str">
        <f>""</f>
        <v/>
      </c>
      <c r="F2659" t="str">
        <f>""</f>
        <v/>
      </c>
      <c r="H2659" t="str">
        <f t="shared" si="62"/>
        <v>TEXAS COUNTY &amp; DISTRICT RET</v>
      </c>
    </row>
    <row r="2660" spans="1:8" x14ac:dyDescent="0.25">
      <c r="E2660" t="str">
        <f>""</f>
        <v/>
      </c>
      <c r="F2660" t="str">
        <f>""</f>
        <v/>
      </c>
      <c r="H2660" t="str">
        <f t="shared" si="62"/>
        <v>TEXAS COUNTY &amp; DISTRICT RET</v>
      </c>
    </row>
    <row r="2661" spans="1:8" x14ac:dyDescent="0.25">
      <c r="E2661" t="str">
        <f>""</f>
        <v/>
      </c>
      <c r="F2661" t="str">
        <f>""</f>
        <v/>
      </c>
      <c r="H2661" t="str">
        <f t="shared" si="62"/>
        <v>TEXAS COUNTY &amp; DISTRICT RET</v>
      </c>
    </row>
    <row r="2662" spans="1:8" x14ac:dyDescent="0.25">
      <c r="E2662" t="str">
        <f>""</f>
        <v/>
      </c>
      <c r="F2662" t="str">
        <f>""</f>
        <v/>
      </c>
      <c r="H2662" t="str">
        <f t="shared" si="62"/>
        <v>TEXAS COUNTY &amp; DISTRICT RET</v>
      </c>
    </row>
    <row r="2663" spans="1:8" x14ac:dyDescent="0.25">
      <c r="E2663" t="str">
        <f>""</f>
        <v/>
      </c>
      <c r="F2663" t="str">
        <f>""</f>
        <v/>
      </c>
      <c r="H2663" t="str">
        <f t="shared" si="62"/>
        <v>TEXAS COUNTY &amp; DISTRICT RET</v>
      </c>
    </row>
    <row r="2664" spans="1:8" x14ac:dyDescent="0.25">
      <c r="E2664" t="str">
        <f>""</f>
        <v/>
      </c>
      <c r="F2664" t="str">
        <f>""</f>
        <v/>
      </c>
      <c r="H2664" t="str">
        <f t="shared" si="62"/>
        <v>TEXAS COUNTY &amp; DISTRICT RET</v>
      </c>
    </row>
    <row r="2665" spans="1:8" x14ac:dyDescent="0.25">
      <c r="E2665" t="str">
        <f>""</f>
        <v/>
      </c>
      <c r="F2665" t="str">
        <f>""</f>
        <v/>
      </c>
      <c r="H2665" t="str">
        <f t="shared" si="62"/>
        <v>TEXAS COUNTY &amp; DISTRICT RET</v>
      </c>
    </row>
    <row r="2666" spans="1:8" x14ac:dyDescent="0.25">
      <c r="E2666" t="str">
        <f>""</f>
        <v/>
      </c>
      <c r="F2666" t="str">
        <f>""</f>
        <v/>
      </c>
      <c r="H2666" t="str">
        <f t="shared" si="62"/>
        <v>TEXAS COUNTY &amp; DISTRICT RET</v>
      </c>
    </row>
    <row r="2667" spans="1:8" x14ac:dyDescent="0.25">
      <c r="E2667" t="str">
        <f>""</f>
        <v/>
      </c>
      <c r="F2667" t="str">
        <f>""</f>
        <v/>
      </c>
      <c r="H2667" t="str">
        <f t="shared" si="62"/>
        <v>TEXAS COUNTY &amp; DISTRICT RET</v>
      </c>
    </row>
    <row r="2668" spans="1:8" x14ac:dyDescent="0.25">
      <c r="E2668" t="str">
        <f>""</f>
        <v/>
      </c>
      <c r="F2668" t="str">
        <f>""</f>
        <v/>
      </c>
      <c r="H2668" t="str">
        <f t="shared" si="62"/>
        <v>TEXAS COUNTY &amp; DISTRICT RET</v>
      </c>
    </row>
    <row r="2669" spans="1:8" x14ac:dyDescent="0.25">
      <c r="A2669" t="s">
        <v>458</v>
      </c>
      <c r="B2669">
        <v>47320</v>
      </c>
      <c r="C2669" s="2">
        <v>1225</v>
      </c>
      <c r="D2669" s="1">
        <v>43524</v>
      </c>
      <c r="E2669" t="str">
        <f>"201902287558"</f>
        <v>201902287558</v>
      </c>
      <c r="F2669" t="str">
        <f>"TEXAS LEGAL PROTECTION PLAN IN"</f>
        <v>TEXAS LEGAL PROTECTION PLAN IN</v>
      </c>
      <c r="G2669" s="2">
        <v>-10</v>
      </c>
      <c r="H2669" t="str">
        <f>"TEXAS LEGAL PROTECTION PLAN IN"</f>
        <v>TEXAS LEGAL PROTECTION PLAN IN</v>
      </c>
    </row>
    <row r="2670" spans="1:8" x14ac:dyDescent="0.25">
      <c r="E2670" t="str">
        <f>"LEG201902067161"</f>
        <v>LEG201902067161</v>
      </c>
      <c r="F2670" t="str">
        <f>"TEXAS LEGAL PROTECTION PLAN"</f>
        <v>TEXAS LEGAL PROTECTION PLAN</v>
      </c>
      <c r="G2670" s="2">
        <v>632.5</v>
      </c>
      <c r="H2670" t="str">
        <f>"TEXAS LEGAL PROTECTION PLAN"</f>
        <v>TEXAS LEGAL PROTECTION PLAN</v>
      </c>
    </row>
    <row r="2671" spans="1:8" x14ac:dyDescent="0.25">
      <c r="E2671" t="str">
        <f>"LEG201902277541"</f>
        <v>LEG201902277541</v>
      </c>
      <c r="F2671" t="str">
        <f>"TEXAS LEGAL PROTECTION PLAN"</f>
        <v>TEXAS LEGAL PROTECTION PLAN</v>
      </c>
      <c r="G2671" s="2">
        <v>602.5</v>
      </c>
      <c r="H2671" t="str">
        <f>"TEXAS LEGAL PROTECTION PLAN"</f>
        <v>TEXAS LEGAL PROTECTION PLAN</v>
      </c>
    </row>
    <row r="2672" spans="1:8" x14ac:dyDescent="0.25">
      <c r="A2672" t="s">
        <v>459</v>
      </c>
      <c r="B2672">
        <v>47298</v>
      </c>
      <c r="C2672" s="2">
        <v>218.61</v>
      </c>
      <c r="D2672" s="1">
        <v>43504</v>
      </c>
      <c r="E2672" t="str">
        <f>"SL6201902067161"</f>
        <v>SL6201902067161</v>
      </c>
      <c r="F2672" t="str">
        <f>"TG STUDENT LOAN - P CROUCH"</f>
        <v>TG STUDENT LOAN - P CROUCH</v>
      </c>
      <c r="G2672" s="2">
        <v>218.61</v>
      </c>
      <c r="H2672" t="str">
        <f>"TG STUDENT LOAN - P CROUCH"</f>
        <v>TG STUDENT LOAN - P CROUCH</v>
      </c>
    </row>
    <row r="2673" spans="1:8" x14ac:dyDescent="0.25">
      <c r="A2673" t="s">
        <v>459</v>
      </c>
      <c r="B2673">
        <v>47319</v>
      </c>
      <c r="C2673" s="2">
        <v>218.61</v>
      </c>
      <c r="D2673" s="1">
        <v>43518</v>
      </c>
      <c r="E2673" t="str">
        <f>"SL6201902277541"</f>
        <v>SL6201902277541</v>
      </c>
      <c r="F2673" t="str">
        <f>"TG STUDENT LOAN - P CROUCH"</f>
        <v>TG STUDENT LOAN - P CROUCH</v>
      </c>
      <c r="G2673" s="2">
        <v>218.61</v>
      </c>
      <c r="H2673" t="str">
        <f>"TG STUDENT LOAN - P CROUCH"</f>
        <v>TG STUDENT LOAN - P CROUCH</v>
      </c>
    </row>
    <row r="2674" spans="1:8" x14ac:dyDescent="0.25">
      <c r="A2674" t="s">
        <v>460</v>
      </c>
      <c r="B2674">
        <v>47297</v>
      </c>
      <c r="C2674" s="2">
        <v>212.65</v>
      </c>
      <c r="D2674" s="1">
        <v>43504</v>
      </c>
      <c r="E2674" t="str">
        <f>"SL9201902067161"</f>
        <v>SL9201902067161</v>
      </c>
      <c r="F2674" t="str">
        <f>"STUDENT LOAN"</f>
        <v>STUDENT LOAN</v>
      </c>
      <c r="G2674" s="2">
        <v>212.65</v>
      </c>
      <c r="H2674" t="str">
        <f>"STUDENT LOAN"</f>
        <v>STUDENT LOAN</v>
      </c>
    </row>
    <row r="2675" spans="1:8" x14ac:dyDescent="0.25">
      <c r="A2675" t="s">
        <v>460</v>
      </c>
      <c r="B2675">
        <v>47318</v>
      </c>
      <c r="C2675" s="2">
        <v>212.65</v>
      </c>
      <c r="D2675" s="1">
        <v>43518</v>
      </c>
      <c r="E2675" t="str">
        <f>"SL9201902277541"</f>
        <v>SL9201902277541</v>
      </c>
      <c r="F2675" t="str">
        <f>"STUDENT LOAN"</f>
        <v>STUDENT LOAN</v>
      </c>
      <c r="G2675" s="2">
        <v>212.65</v>
      </c>
      <c r="H2675" t="str">
        <f>"STUDENT LOAN"</f>
        <v>STUDENT LOAN</v>
      </c>
    </row>
    <row r="2676" spans="1:8" x14ac:dyDescent="0.25">
      <c r="B2676" s="3" t="s">
        <v>461</v>
      </c>
      <c r="C2676" s="2">
        <f>SUM(C2:C2675)</f>
        <v>3855481.9799999991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AP-CHK-RPT-20190805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Ingram</dc:creator>
  <cp:lastModifiedBy>Laurie Ingram</cp:lastModifiedBy>
  <dcterms:created xsi:type="dcterms:W3CDTF">2019-08-05T14:24:43Z</dcterms:created>
  <dcterms:modified xsi:type="dcterms:W3CDTF">2019-08-05T14:24:43Z</dcterms:modified>
</cp:coreProperties>
</file>