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0805" sheetId="1" r:id="rId1"/>
  </sheets>
  <calcPr calcId="0"/>
</workbook>
</file>

<file path=xl/calcChain.xml><?xml version="1.0" encoding="utf-8"?>
<calcChain xmlns="http://schemas.openxmlformats.org/spreadsheetml/2006/main">
  <c r="C3145" i="1" l="1"/>
  <c r="E2" i="1"/>
  <c r="F2" i="1"/>
  <c r="H2" i="1"/>
  <c r="E3" i="1"/>
  <c r="F3" i="1"/>
  <c r="H3" i="1"/>
  <c r="E4" i="1"/>
  <c r="F4" i="1"/>
  <c r="E5" i="1"/>
  <c r="F5" i="1"/>
  <c r="E6" i="1"/>
  <c r="F6" i="1"/>
  <c r="E7" i="1"/>
  <c r="F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G323" i="1"/>
  <c r="H323" i="1"/>
  <c r="I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G506" i="1"/>
  <c r="H506" i="1"/>
  <c r="I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G530" i="1"/>
  <c r="H530" i="1"/>
  <c r="I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G654" i="1"/>
  <c r="H654" i="1"/>
  <c r="I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G660" i="1"/>
  <c r="H660" i="1"/>
  <c r="I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G768" i="1"/>
  <c r="H768" i="1"/>
  <c r="I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E826" i="1"/>
  <c r="F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G891" i="1"/>
  <c r="H891" i="1"/>
  <c r="I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E1037" i="1"/>
  <c r="F1037" i="1"/>
  <c r="E1038" i="1"/>
  <c r="F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G1226" i="1"/>
  <c r="H1226" i="1"/>
  <c r="I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G1321" i="1"/>
  <c r="H1321" i="1"/>
  <c r="I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G1598" i="1"/>
  <c r="H1598" i="1"/>
  <c r="I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G1639" i="1"/>
  <c r="H1639" i="1"/>
  <c r="I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  <c r="E2919" i="1"/>
  <c r="F2919" i="1"/>
  <c r="H2919" i="1"/>
  <c r="E2920" i="1"/>
  <c r="F2920" i="1"/>
  <c r="H2920" i="1"/>
  <c r="E2921" i="1"/>
  <c r="F2921" i="1"/>
  <c r="H2921" i="1"/>
  <c r="E2922" i="1"/>
  <c r="F2922" i="1"/>
  <c r="H2922" i="1"/>
  <c r="E2923" i="1"/>
  <c r="F2923" i="1"/>
  <c r="H2923" i="1"/>
  <c r="E2924" i="1"/>
  <c r="F2924" i="1"/>
  <c r="H2924" i="1"/>
  <c r="E2925" i="1"/>
  <c r="F2925" i="1"/>
  <c r="H2925" i="1"/>
  <c r="E2926" i="1"/>
  <c r="F2926" i="1"/>
  <c r="H2926" i="1"/>
  <c r="E2927" i="1"/>
  <c r="F2927" i="1"/>
  <c r="H2927" i="1"/>
  <c r="E2928" i="1"/>
  <c r="F2928" i="1"/>
  <c r="H2928" i="1"/>
  <c r="E2929" i="1"/>
  <c r="F2929" i="1"/>
  <c r="H2929" i="1"/>
  <c r="E2930" i="1"/>
  <c r="F2930" i="1"/>
  <c r="H2930" i="1"/>
  <c r="E2931" i="1"/>
  <c r="F2931" i="1"/>
  <c r="H2931" i="1"/>
  <c r="E2932" i="1"/>
  <c r="F2932" i="1"/>
  <c r="H2932" i="1"/>
  <c r="E2933" i="1"/>
  <c r="F2933" i="1"/>
  <c r="H2933" i="1"/>
  <c r="E2934" i="1"/>
  <c r="F2934" i="1"/>
  <c r="H2934" i="1"/>
  <c r="E2935" i="1"/>
  <c r="F2935" i="1"/>
  <c r="H2935" i="1"/>
  <c r="E2936" i="1"/>
  <c r="F2936" i="1"/>
  <c r="H2936" i="1"/>
  <c r="E2937" i="1"/>
  <c r="F2937" i="1"/>
  <c r="H2937" i="1"/>
  <c r="E2938" i="1"/>
  <c r="F2938" i="1"/>
  <c r="H2938" i="1"/>
  <c r="E2939" i="1"/>
  <c r="F2939" i="1"/>
  <c r="H2939" i="1"/>
  <c r="E2940" i="1"/>
  <c r="F2940" i="1"/>
  <c r="H2940" i="1"/>
  <c r="E2941" i="1"/>
  <c r="F2941" i="1"/>
  <c r="H2941" i="1"/>
  <c r="E2942" i="1"/>
  <c r="F2942" i="1"/>
  <c r="H2942" i="1"/>
  <c r="E2943" i="1"/>
  <c r="F2943" i="1"/>
  <c r="H2943" i="1"/>
  <c r="E2944" i="1"/>
  <c r="F2944" i="1"/>
  <c r="H2944" i="1"/>
  <c r="E2945" i="1"/>
  <c r="F2945" i="1"/>
  <c r="H2945" i="1"/>
  <c r="E2946" i="1"/>
  <c r="F2946" i="1"/>
  <c r="H2946" i="1"/>
  <c r="E2947" i="1"/>
  <c r="F2947" i="1"/>
  <c r="H2947" i="1"/>
  <c r="E2948" i="1"/>
  <c r="F2948" i="1"/>
  <c r="H2948" i="1"/>
  <c r="E2949" i="1"/>
  <c r="F2949" i="1"/>
  <c r="H2949" i="1"/>
  <c r="E2950" i="1"/>
  <c r="F2950" i="1"/>
  <c r="H2950" i="1"/>
  <c r="E2951" i="1"/>
  <c r="F2951" i="1"/>
  <c r="H2951" i="1"/>
  <c r="E2952" i="1"/>
  <c r="F2952" i="1"/>
  <c r="H2952" i="1"/>
  <c r="E2953" i="1"/>
  <c r="F2953" i="1"/>
  <c r="H2953" i="1"/>
  <c r="E2954" i="1"/>
  <c r="F2954" i="1"/>
  <c r="H2954" i="1"/>
  <c r="E2955" i="1"/>
  <c r="F2955" i="1"/>
  <c r="H2955" i="1"/>
  <c r="E2956" i="1"/>
  <c r="F2956" i="1"/>
  <c r="H2956" i="1"/>
  <c r="E2957" i="1"/>
  <c r="F2957" i="1"/>
  <c r="H2957" i="1"/>
  <c r="E2958" i="1"/>
  <c r="F2958" i="1"/>
  <c r="H2958" i="1"/>
  <c r="E2959" i="1"/>
  <c r="F2959" i="1"/>
  <c r="H2959" i="1"/>
  <c r="E2960" i="1"/>
  <c r="F2960" i="1"/>
  <c r="H2960" i="1"/>
  <c r="E2961" i="1"/>
  <c r="F2961" i="1"/>
  <c r="H2961" i="1"/>
  <c r="E2962" i="1"/>
  <c r="F2962" i="1"/>
  <c r="H2962" i="1"/>
  <c r="E2963" i="1"/>
  <c r="F2963" i="1"/>
  <c r="H2963" i="1"/>
  <c r="E2964" i="1"/>
  <c r="F2964" i="1"/>
  <c r="H2964" i="1"/>
  <c r="E2965" i="1"/>
  <c r="F2965" i="1"/>
  <c r="H2965" i="1"/>
  <c r="E2966" i="1"/>
  <c r="F2966" i="1"/>
  <c r="H2966" i="1"/>
  <c r="E2967" i="1"/>
  <c r="F2967" i="1"/>
  <c r="H2967" i="1"/>
  <c r="E2968" i="1"/>
  <c r="F2968" i="1"/>
  <c r="H2968" i="1"/>
  <c r="E2969" i="1"/>
  <c r="F2969" i="1"/>
  <c r="H2969" i="1"/>
  <c r="E2970" i="1"/>
  <c r="F2970" i="1"/>
  <c r="H2970" i="1"/>
  <c r="E2971" i="1"/>
  <c r="F2971" i="1"/>
  <c r="H2971" i="1"/>
  <c r="E2972" i="1"/>
  <c r="F2972" i="1"/>
  <c r="H2972" i="1"/>
  <c r="E2973" i="1"/>
  <c r="F2973" i="1"/>
  <c r="H2973" i="1"/>
  <c r="E2974" i="1"/>
  <c r="F2974" i="1"/>
  <c r="H2974" i="1"/>
  <c r="E2975" i="1"/>
  <c r="F2975" i="1"/>
  <c r="H2975" i="1"/>
  <c r="E2976" i="1"/>
  <c r="F2976" i="1"/>
  <c r="H2976" i="1"/>
  <c r="E2977" i="1"/>
  <c r="F2977" i="1"/>
  <c r="H2977" i="1"/>
  <c r="E2978" i="1"/>
  <c r="F2978" i="1"/>
  <c r="H2978" i="1"/>
  <c r="E2979" i="1"/>
  <c r="F2979" i="1"/>
  <c r="H2979" i="1"/>
  <c r="E2980" i="1"/>
  <c r="F2980" i="1"/>
  <c r="H2980" i="1"/>
  <c r="E2981" i="1"/>
  <c r="F2981" i="1"/>
  <c r="H2981" i="1"/>
  <c r="E2982" i="1"/>
  <c r="F2982" i="1"/>
  <c r="H2982" i="1"/>
  <c r="E2983" i="1"/>
  <c r="F2983" i="1"/>
  <c r="H2983" i="1"/>
  <c r="E2984" i="1"/>
  <c r="F2984" i="1"/>
  <c r="H2984" i="1"/>
  <c r="E2985" i="1"/>
  <c r="F2985" i="1"/>
  <c r="H2985" i="1"/>
  <c r="E2986" i="1"/>
  <c r="F2986" i="1"/>
  <c r="H2986" i="1"/>
  <c r="E2987" i="1"/>
  <c r="F2987" i="1"/>
  <c r="H2987" i="1"/>
  <c r="E2988" i="1"/>
  <c r="F2988" i="1"/>
  <c r="H2988" i="1"/>
  <c r="E2989" i="1"/>
  <c r="F2989" i="1"/>
  <c r="H2989" i="1"/>
  <c r="E2990" i="1"/>
  <c r="F2990" i="1"/>
  <c r="H2990" i="1"/>
  <c r="E2991" i="1"/>
  <c r="F2991" i="1"/>
  <c r="H2991" i="1"/>
  <c r="E2992" i="1"/>
  <c r="F2992" i="1"/>
  <c r="H2992" i="1"/>
  <c r="E2993" i="1"/>
  <c r="F2993" i="1"/>
  <c r="H2993" i="1"/>
  <c r="E2994" i="1"/>
  <c r="F2994" i="1"/>
  <c r="H2994" i="1"/>
  <c r="E2995" i="1"/>
  <c r="F2995" i="1"/>
  <c r="H2995" i="1"/>
  <c r="E2996" i="1"/>
  <c r="F2996" i="1"/>
  <c r="H2996" i="1"/>
  <c r="E2997" i="1"/>
  <c r="F2997" i="1"/>
  <c r="H2997" i="1"/>
  <c r="E2998" i="1"/>
  <c r="F2998" i="1"/>
  <c r="H2998" i="1"/>
  <c r="E2999" i="1"/>
  <c r="F2999" i="1"/>
  <c r="H2999" i="1"/>
  <c r="E3000" i="1"/>
  <c r="F3000" i="1"/>
  <c r="H3000" i="1"/>
  <c r="E3001" i="1"/>
  <c r="F3001" i="1"/>
  <c r="H3001" i="1"/>
  <c r="E3002" i="1"/>
  <c r="F3002" i="1"/>
  <c r="H3002" i="1"/>
  <c r="E3003" i="1"/>
  <c r="F3003" i="1"/>
  <c r="H3003" i="1"/>
  <c r="E3004" i="1"/>
  <c r="F3004" i="1"/>
  <c r="H3004" i="1"/>
  <c r="E3005" i="1"/>
  <c r="F3005" i="1"/>
  <c r="H3005" i="1"/>
  <c r="E3006" i="1"/>
  <c r="F3006" i="1"/>
  <c r="H3006" i="1"/>
  <c r="E3007" i="1"/>
  <c r="F3007" i="1"/>
  <c r="H3007" i="1"/>
  <c r="E3008" i="1"/>
  <c r="F3008" i="1"/>
  <c r="H3008" i="1"/>
  <c r="E3009" i="1"/>
  <c r="F3009" i="1"/>
  <c r="H3009" i="1"/>
  <c r="E3010" i="1"/>
  <c r="F3010" i="1"/>
  <c r="H3010" i="1"/>
  <c r="E3011" i="1"/>
  <c r="F3011" i="1"/>
  <c r="H3011" i="1"/>
  <c r="E3012" i="1"/>
  <c r="F3012" i="1"/>
  <c r="H3012" i="1"/>
  <c r="E3013" i="1"/>
  <c r="F3013" i="1"/>
  <c r="H3013" i="1"/>
  <c r="E3014" i="1"/>
  <c r="F3014" i="1"/>
  <c r="H3014" i="1"/>
  <c r="E3015" i="1"/>
  <c r="F3015" i="1"/>
  <c r="H3015" i="1"/>
  <c r="E3016" i="1"/>
  <c r="F3016" i="1"/>
  <c r="H3016" i="1"/>
  <c r="E3017" i="1"/>
  <c r="F3017" i="1"/>
  <c r="H3017" i="1"/>
  <c r="E3018" i="1"/>
  <c r="F3018" i="1"/>
  <c r="H3018" i="1"/>
  <c r="E3019" i="1"/>
  <c r="F3019" i="1"/>
  <c r="H3019" i="1"/>
  <c r="E3020" i="1"/>
  <c r="F3020" i="1"/>
  <c r="H3020" i="1"/>
  <c r="E3021" i="1"/>
  <c r="F3021" i="1"/>
  <c r="H3021" i="1"/>
  <c r="E3022" i="1"/>
  <c r="F3022" i="1"/>
  <c r="H3022" i="1"/>
  <c r="E3023" i="1"/>
  <c r="F3023" i="1"/>
  <c r="H3023" i="1"/>
  <c r="E3024" i="1"/>
  <c r="F3024" i="1"/>
  <c r="H3024" i="1"/>
  <c r="E3025" i="1"/>
  <c r="F3025" i="1"/>
  <c r="H3025" i="1"/>
  <c r="E3026" i="1"/>
  <c r="F3026" i="1"/>
  <c r="H3026" i="1"/>
  <c r="E3027" i="1"/>
  <c r="F3027" i="1"/>
  <c r="H3027" i="1"/>
  <c r="E3028" i="1"/>
  <c r="F3028" i="1"/>
  <c r="H3028" i="1"/>
  <c r="E3029" i="1"/>
  <c r="F3029" i="1"/>
  <c r="H3029" i="1"/>
  <c r="E3030" i="1"/>
  <c r="F3030" i="1"/>
  <c r="H3030" i="1"/>
  <c r="E3031" i="1"/>
  <c r="F3031" i="1"/>
  <c r="H3031" i="1"/>
  <c r="E3032" i="1"/>
  <c r="F3032" i="1"/>
  <c r="H3032" i="1"/>
  <c r="E3033" i="1"/>
  <c r="F3033" i="1"/>
  <c r="H3033" i="1"/>
  <c r="E3034" i="1"/>
  <c r="F3034" i="1"/>
  <c r="H3034" i="1"/>
  <c r="E3035" i="1"/>
  <c r="F3035" i="1"/>
  <c r="H3035" i="1"/>
  <c r="E3036" i="1"/>
  <c r="F3036" i="1"/>
  <c r="H3036" i="1"/>
  <c r="E3037" i="1"/>
  <c r="F3037" i="1"/>
  <c r="H3037" i="1"/>
  <c r="E3038" i="1"/>
  <c r="F3038" i="1"/>
  <c r="H3038" i="1"/>
  <c r="E3039" i="1"/>
  <c r="F3039" i="1"/>
  <c r="H3039" i="1"/>
  <c r="E3040" i="1"/>
  <c r="F3040" i="1"/>
  <c r="H3040" i="1"/>
  <c r="E3041" i="1"/>
  <c r="F3041" i="1"/>
  <c r="H3041" i="1"/>
  <c r="E3042" i="1"/>
  <c r="F3042" i="1"/>
  <c r="H3042" i="1"/>
  <c r="E3043" i="1"/>
  <c r="F3043" i="1"/>
  <c r="H3043" i="1"/>
  <c r="E3044" i="1"/>
  <c r="F3044" i="1"/>
  <c r="H3044" i="1"/>
  <c r="E3045" i="1"/>
  <c r="F3045" i="1"/>
  <c r="H3045" i="1"/>
  <c r="E3046" i="1"/>
  <c r="F3046" i="1"/>
  <c r="H3046" i="1"/>
  <c r="E3047" i="1"/>
  <c r="F3047" i="1"/>
  <c r="H3047" i="1"/>
  <c r="E3048" i="1"/>
  <c r="F3048" i="1"/>
  <c r="H3048" i="1"/>
  <c r="E3049" i="1"/>
  <c r="F3049" i="1"/>
  <c r="H3049" i="1"/>
  <c r="E3050" i="1"/>
  <c r="F3050" i="1"/>
  <c r="H3050" i="1"/>
  <c r="E3051" i="1"/>
  <c r="F3051" i="1"/>
  <c r="H3051" i="1"/>
  <c r="E3052" i="1"/>
  <c r="F3052" i="1"/>
  <c r="H3052" i="1"/>
  <c r="E3053" i="1"/>
  <c r="F3053" i="1"/>
  <c r="H3053" i="1"/>
  <c r="E3054" i="1"/>
  <c r="F3054" i="1"/>
  <c r="H3054" i="1"/>
  <c r="E3055" i="1"/>
  <c r="F3055" i="1"/>
  <c r="H3055" i="1"/>
  <c r="E3056" i="1"/>
  <c r="F3056" i="1"/>
  <c r="H3056" i="1"/>
  <c r="E3057" i="1"/>
  <c r="F3057" i="1"/>
  <c r="H3057" i="1"/>
  <c r="E3058" i="1"/>
  <c r="F3058" i="1"/>
  <c r="H3058" i="1"/>
  <c r="E3059" i="1"/>
  <c r="F3059" i="1"/>
  <c r="H3059" i="1"/>
  <c r="E3060" i="1"/>
  <c r="F3060" i="1"/>
  <c r="H3060" i="1"/>
  <c r="E3061" i="1"/>
  <c r="F3061" i="1"/>
  <c r="H3061" i="1"/>
  <c r="E3062" i="1"/>
  <c r="F3062" i="1"/>
  <c r="H3062" i="1"/>
  <c r="E3063" i="1"/>
  <c r="F3063" i="1"/>
  <c r="H3063" i="1"/>
  <c r="E3064" i="1"/>
  <c r="F3064" i="1"/>
  <c r="H3064" i="1"/>
  <c r="E3065" i="1"/>
  <c r="F3065" i="1"/>
  <c r="H3065" i="1"/>
  <c r="E3066" i="1"/>
  <c r="F3066" i="1"/>
  <c r="H3066" i="1"/>
  <c r="E3067" i="1"/>
  <c r="F3067" i="1"/>
  <c r="H3067" i="1"/>
  <c r="E3068" i="1"/>
  <c r="F3068" i="1"/>
  <c r="H3068" i="1"/>
  <c r="E3069" i="1"/>
  <c r="F3069" i="1"/>
  <c r="H3069" i="1"/>
  <c r="E3070" i="1"/>
  <c r="F3070" i="1"/>
  <c r="H3070" i="1"/>
  <c r="E3071" i="1"/>
  <c r="F3071" i="1"/>
  <c r="H3071" i="1"/>
  <c r="E3072" i="1"/>
  <c r="F3072" i="1"/>
  <c r="H3072" i="1"/>
  <c r="E3073" i="1"/>
  <c r="F3073" i="1"/>
  <c r="H3073" i="1"/>
  <c r="E3074" i="1"/>
  <c r="F3074" i="1"/>
  <c r="H3074" i="1"/>
  <c r="E3075" i="1"/>
  <c r="F3075" i="1"/>
  <c r="H3075" i="1"/>
  <c r="E3076" i="1"/>
  <c r="F3076" i="1"/>
  <c r="H3076" i="1"/>
  <c r="E3077" i="1"/>
  <c r="F3077" i="1"/>
  <c r="H3077" i="1"/>
  <c r="E3078" i="1"/>
  <c r="F3078" i="1"/>
  <c r="H3078" i="1"/>
  <c r="E3079" i="1"/>
  <c r="F3079" i="1"/>
  <c r="H3079" i="1"/>
  <c r="E3080" i="1"/>
  <c r="F3080" i="1"/>
  <c r="H3080" i="1"/>
  <c r="E3081" i="1"/>
  <c r="F3081" i="1"/>
  <c r="H3081" i="1"/>
  <c r="E3082" i="1"/>
  <c r="F3082" i="1"/>
  <c r="H3082" i="1"/>
  <c r="E3083" i="1"/>
  <c r="F3083" i="1"/>
  <c r="H3083" i="1"/>
  <c r="E3084" i="1"/>
  <c r="F3084" i="1"/>
  <c r="H3084" i="1"/>
  <c r="E3085" i="1"/>
  <c r="F3085" i="1"/>
  <c r="H3085" i="1"/>
  <c r="E3086" i="1"/>
  <c r="F3086" i="1"/>
  <c r="H3086" i="1"/>
  <c r="E3087" i="1"/>
  <c r="F3087" i="1"/>
  <c r="H3087" i="1"/>
  <c r="E3088" i="1"/>
  <c r="F3088" i="1"/>
  <c r="H3088" i="1"/>
  <c r="E3089" i="1"/>
  <c r="F3089" i="1"/>
  <c r="H3089" i="1"/>
  <c r="E3090" i="1"/>
  <c r="F3090" i="1"/>
  <c r="H3090" i="1"/>
  <c r="E3091" i="1"/>
  <c r="F3091" i="1"/>
  <c r="H3091" i="1"/>
  <c r="E3092" i="1"/>
  <c r="F3092" i="1"/>
  <c r="H3092" i="1"/>
  <c r="E3093" i="1"/>
  <c r="F3093" i="1"/>
  <c r="H3093" i="1"/>
  <c r="E3094" i="1"/>
  <c r="F3094" i="1"/>
  <c r="H3094" i="1"/>
  <c r="E3095" i="1"/>
  <c r="F3095" i="1"/>
  <c r="H3095" i="1"/>
  <c r="E3096" i="1"/>
  <c r="F3096" i="1"/>
  <c r="H3096" i="1"/>
  <c r="E3097" i="1"/>
  <c r="F3097" i="1"/>
  <c r="H3097" i="1"/>
  <c r="E3098" i="1"/>
  <c r="F3098" i="1"/>
  <c r="H3098" i="1"/>
  <c r="E3099" i="1"/>
  <c r="F3099" i="1"/>
  <c r="H3099" i="1"/>
  <c r="E3100" i="1"/>
  <c r="F3100" i="1"/>
  <c r="H3100" i="1"/>
  <c r="E3101" i="1"/>
  <c r="F3101" i="1"/>
  <c r="H3101" i="1"/>
  <c r="E3102" i="1"/>
  <c r="F3102" i="1"/>
  <c r="H3102" i="1"/>
  <c r="E3103" i="1"/>
  <c r="F3103" i="1"/>
  <c r="H3103" i="1"/>
  <c r="E3104" i="1"/>
  <c r="F3104" i="1"/>
  <c r="H3104" i="1"/>
  <c r="E3105" i="1"/>
  <c r="F3105" i="1"/>
  <c r="H3105" i="1"/>
  <c r="E3106" i="1"/>
  <c r="F3106" i="1"/>
  <c r="H3106" i="1"/>
  <c r="E3107" i="1"/>
  <c r="F3107" i="1"/>
  <c r="H3107" i="1"/>
  <c r="E3108" i="1"/>
  <c r="F3108" i="1"/>
  <c r="H3108" i="1"/>
  <c r="E3109" i="1"/>
  <c r="F3109" i="1"/>
  <c r="H3109" i="1"/>
  <c r="E3110" i="1"/>
  <c r="F3110" i="1"/>
  <c r="H3110" i="1"/>
  <c r="E3111" i="1"/>
  <c r="F3111" i="1"/>
  <c r="H3111" i="1"/>
  <c r="E3112" i="1"/>
  <c r="F3112" i="1"/>
  <c r="H3112" i="1"/>
  <c r="E3113" i="1"/>
  <c r="F3113" i="1"/>
  <c r="H3113" i="1"/>
  <c r="E3114" i="1"/>
  <c r="F3114" i="1"/>
  <c r="H3114" i="1"/>
  <c r="E3115" i="1"/>
  <c r="F3115" i="1"/>
  <c r="H3115" i="1"/>
  <c r="E3116" i="1"/>
  <c r="F3116" i="1"/>
  <c r="H3116" i="1"/>
  <c r="E3117" i="1"/>
  <c r="F3117" i="1"/>
  <c r="H3117" i="1"/>
  <c r="E3118" i="1"/>
  <c r="F3118" i="1"/>
  <c r="H3118" i="1"/>
  <c r="E3119" i="1"/>
  <c r="F3119" i="1"/>
  <c r="H3119" i="1"/>
  <c r="E3120" i="1"/>
  <c r="F3120" i="1"/>
  <c r="H3120" i="1"/>
  <c r="E3121" i="1"/>
  <c r="F3121" i="1"/>
  <c r="H3121" i="1"/>
  <c r="E3122" i="1"/>
  <c r="F3122" i="1"/>
  <c r="H3122" i="1"/>
  <c r="E3123" i="1"/>
  <c r="F3123" i="1"/>
  <c r="H3123" i="1"/>
  <c r="E3124" i="1"/>
  <c r="F3124" i="1"/>
  <c r="H3124" i="1"/>
  <c r="E3125" i="1"/>
  <c r="F3125" i="1"/>
  <c r="H3125" i="1"/>
  <c r="E3126" i="1"/>
  <c r="F3126" i="1"/>
  <c r="H3126" i="1"/>
  <c r="E3127" i="1"/>
  <c r="F3127" i="1"/>
  <c r="H3127" i="1"/>
  <c r="E3128" i="1"/>
  <c r="F3128" i="1"/>
  <c r="H3128" i="1"/>
  <c r="E3129" i="1"/>
  <c r="F3129" i="1"/>
  <c r="H3129" i="1"/>
  <c r="E3130" i="1"/>
  <c r="F3130" i="1"/>
  <c r="H3130" i="1"/>
  <c r="E3131" i="1"/>
  <c r="F3131" i="1"/>
  <c r="H3131" i="1"/>
  <c r="E3132" i="1"/>
  <c r="F3132" i="1"/>
  <c r="H3132" i="1"/>
  <c r="E3133" i="1"/>
  <c r="F3133" i="1"/>
  <c r="H3133" i="1"/>
  <c r="E3134" i="1"/>
  <c r="F3134" i="1"/>
  <c r="H3134" i="1"/>
  <c r="E3135" i="1"/>
  <c r="F3135" i="1"/>
  <c r="H3135" i="1"/>
  <c r="E3136" i="1"/>
  <c r="F3136" i="1"/>
  <c r="H3136" i="1"/>
  <c r="E3137" i="1"/>
  <c r="F3137" i="1"/>
  <c r="H3137" i="1"/>
  <c r="E3138" i="1"/>
  <c r="F3138" i="1"/>
  <c r="H3138" i="1"/>
  <c r="E3139" i="1"/>
  <c r="F3139" i="1"/>
  <c r="H3139" i="1"/>
  <c r="E3140" i="1"/>
  <c r="F3140" i="1"/>
  <c r="H3140" i="1"/>
  <c r="E3141" i="1"/>
  <c r="F3141" i="1"/>
  <c r="H3141" i="1"/>
  <c r="E3142" i="1"/>
  <c r="F3142" i="1"/>
  <c r="H3142" i="1"/>
  <c r="E3143" i="1"/>
  <c r="F3143" i="1"/>
  <c r="H3143" i="1"/>
  <c r="E3144" i="1"/>
  <c r="F3144" i="1"/>
  <c r="H3144" i="1"/>
</calcChain>
</file>

<file path=xl/sharedStrings.xml><?xml version="1.0" encoding="utf-8"?>
<sst xmlns="http://schemas.openxmlformats.org/spreadsheetml/2006/main" count="618" uniqueCount="471">
  <si>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</si>
  <si>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</si>
  <si>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</si>
  <si>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</si>
  <si>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</si>
  <si>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</si>
  <si>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</si>
  <si>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</si>
  <si>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</si>
  <si>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304 CONSTRUCTION LLC</t>
  </si>
  <si>
    <t>973 MATERIALS  LLC</t>
  </si>
  <si>
    <t>A PLUS BAIL BONDS</t>
  </si>
  <si>
    <t>ARNOLD OIL COMPANY OF AUSTIN LP</t>
  </si>
  <si>
    <t>TIMOTHY HALL</t>
  </si>
  <si>
    <t>AAA FIRE &amp; SAFETY EQUIP CO.  INC.</t>
  </si>
  <si>
    <t>ABREO &amp; CARTER</t>
  </si>
  <si>
    <t>ADAM DAKOTA ROWINS</t>
  </si>
  <si>
    <t>ADAM MUERY</t>
  </si>
  <si>
    <t>ADENA LEWIS</t>
  </si>
  <si>
    <t>ALAMO  GROUP (TX)  INC</t>
  </si>
  <si>
    <t>ALBERT NEAL PFEIFFER</t>
  </si>
  <si>
    <t>ALEJANDRO RODRIGUEZ</t>
  </si>
  <si>
    <t>S &amp; D PLUMBING-GIDDINGS LLC</t>
  </si>
  <si>
    <t>AMANDO GARCIA</t>
  </si>
  <si>
    <t>AMAZON CAPITAL SERVICES INC</t>
  </si>
  <si>
    <t>AMERICAN ASSN OF NOTARIES</t>
  </si>
  <si>
    <t>AMERICAN FASTENERS  INC.</t>
  </si>
  <si>
    <t>AMERICAN TIRE DISTRIBUTORS INC</t>
  </si>
  <si>
    <t>AMERISOURCEBERGEN</t>
  </si>
  <si>
    <t>AMG PRINTING &amp; MAILING  LLC</t>
  </si>
  <si>
    <t>ANDERSON &amp; ANDERSON LAW FIRM PC</t>
  </si>
  <si>
    <t>ANDERSON MACHINERY AUSTIN INC</t>
  </si>
  <si>
    <t>C APPLEMAN ENT INC</t>
  </si>
  <si>
    <t>AQUA BEVERAGE COMPANY/OZARKA</t>
  </si>
  <si>
    <t>AQUA WATER SUPPLY CORPORATION</t>
  </si>
  <si>
    <t>THE ASSOCIATION OF RURAL COMMUNITIES IN TEXAS</t>
  </si>
  <si>
    <t>ARSENAL ADVERTISING LLC</t>
  </si>
  <si>
    <t>ASSOCIATED SUPPLY COMPANY  INC.</t>
  </si>
  <si>
    <t>ASHLEY HERMANS</t>
  </si>
  <si>
    <t>AT &amp; T</t>
  </si>
  <si>
    <t>AT&amp;T</t>
  </si>
  <si>
    <t>AT&amp;T MOBILITY</t>
  </si>
  <si>
    <t>AT&amp;T MOBILITY-W&amp;M</t>
  </si>
  <si>
    <t>ATLANTIC SIGNAL LLC</t>
  </si>
  <si>
    <t>ATS IRRIGATION  INC.</t>
  </si>
  <si>
    <t>RICHARD ATWOOD</t>
  </si>
  <si>
    <t>GATEHOUSE MEDIA TEXAS HOLDINGS II  INC.</t>
  </si>
  <si>
    <t>AUSTIN ENDOSCOPY CENTER  II LP</t>
  </si>
  <si>
    <t>RALPH E BONNELL CIH</t>
  </si>
  <si>
    <t>AUSTIN RADIOLOGICAL ASSOC</t>
  </si>
  <si>
    <t>AUSTIN REBUILDERS INC</t>
  </si>
  <si>
    <t>AUTUMN J SMITH</t>
  </si>
  <si>
    <t>JIM ATTRA INC</t>
  </si>
  <si>
    <t>B-GREENER INDUSTRIAL CLEANERS  LLC</t>
  </si>
  <si>
    <t>MICHAEL OLDHAM TIRE INC</t>
  </si>
  <si>
    <t>EDUARDO BARRIENTOS</t>
  </si>
  <si>
    <t>BASTROP COUNTY SHERIFF'S DEPT</t>
  </si>
  <si>
    <t>DANIEL L HEPKER</t>
  </si>
  <si>
    <t>BASTROP COUNTY CARES</t>
  </si>
  <si>
    <t>BASTROP COUNTY PROBATION DEPT</t>
  </si>
  <si>
    <t>BASTROP MEDICAL CLINIC</t>
  </si>
  <si>
    <t>BASTROP PROVIDENCE  LLC</t>
  </si>
  <si>
    <t>DAVID H OUTON</t>
  </si>
  <si>
    <t>BEN E KEITH CO.</t>
  </si>
  <si>
    <t>BENTON ESKEW</t>
  </si>
  <si>
    <t>MULTI SERVICE TECHNOLOGY SOLUTIONS  INC.</t>
  </si>
  <si>
    <t>B C FOOD GROUP  LLC</t>
  </si>
  <si>
    <t>BETA TECHNOLOGY INC.</t>
  </si>
  <si>
    <t>MAURINE MC LEAN</t>
  </si>
  <si>
    <t>BIMBO FOODS INC</t>
  </si>
  <si>
    <t>BLAISING FIRE &amp; WATER  INC.</t>
  </si>
  <si>
    <t>BLAS J. COY  JR.</t>
  </si>
  <si>
    <t>BSTS LLC</t>
  </si>
  <si>
    <t>BLUEBONNET AREA CRIME STOPPERS PROGRAM</t>
  </si>
  <si>
    <t>BLUEBONNET ELECTRIC</t>
  </si>
  <si>
    <t>="14</t>
  </si>
  <si>
    <t>649"</t>
  </si>
  <si>
    <t>BLUEBONNET ELECTRIC COOPERATIVE  INC.</t>
  </si>
  <si>
    <t>BLUEBONNET TRAILS MHMR</t>
  </si>
  <si>
    <t>BOB BARKER COMPANY  INC.</t>
  </si>
  <si>
    <t>BOWIE INTERNATIONAL  LLC</t>
  </si>
  <si>
    <t>BRAUNTEX MATERIALS INC</t>
  </si>
  <si>
    <t>LAW OFFICE OF BRYAN W. MCDANIEL  P.C.</t>
  </si>
  <si>
    <t>BUREAU OF VITAL STATISTICS</t>
  </si>
  <si>
    <t>C M PESL</t>
  </si>
  <si>
    <t>CALDWELL COUNTY SHERIFF</t>
  </si>
  <si>
    <t>CAPITAL AREA COUNCIL OF GOVERNMENTS</t>
  </si>
  <si>
    <t>MARION G &amp; LINDA K RAINS</t>
  </si>
  <si>
    <t>CAPITOL BEARING SERVICE OF AUSTIN  INC.</t>
  </si>
  <si>
    <t>TIB-THE INDEPENDENT BANKERS BANK</t>
  </si>
  <si>
    <t>CARROLL H RABEL</t>
  </si>
  <si>
    <t>COUNTY &amp; DISTRICT CLERKS ASSOCIATION OF TEXAS</t>
  </si>
  <si>
    <t>CDW GOVERNMENT INC</t>
  </si>
  <si>
    <t>CEN-TEX MARINE FABRICATORS INC</t>
  </si>
  <si>
    <t>CENTERPOINT ENERGY</t>
  </si>
  <si>
    <t>LARRY D. LYNN</t>
  </si>
  <si>
    <t>CENTRAL TEXAS AUTOPSY</t>
  </si>
  <si>
    <t>CHARLES W CARVER</t>
  </si>
  <si>
    <t>CHARLIE POWELL</t>
  </si>
  <si>
    <t>CHRIS MATT DILLON</t>
  </si>
  <si>
    <t>CHRISTOPHER D  DUGGAN</t>
  </si>
  <si>
    <t>CHRISTOPHER WOLF</t>
  </si>
  <si>
    <t>CINTAS</t>
  </si>
  <si>
    <t>CINTAS CORPORATION #86</t>
  </si>
  <si>
    <t>CINTAS CORPORATION</t>
  </si>
  <si>
    <t>CITY OF BASTROP</t>
  </si>
  <si>
    <t>CITY OF SMITHVILLE</t>
  </si>
  <si>
    <t>CLARA BECKETT</t>
  </si>
  <si>
    <t>CLAUDIA PALMA RUBIN DE CELIS</t>
  </si>
  <si>
    <t>CLEO HERNANDEZ</t>
  </si>
  <si>
    <t>CLIFFORD POWER SYSTEMS INC</t>
  </si>
  <si>
    <t>CLINICAL PATHOLOGY LABORATORIES INC</t>
  </si>
  <si>
    <t>CLINICAL PATHOLOGY ASSOC. OF AUSTIN</t>
  </si>
  <si>
    <t>COLORADO MATERIALS CO.</t>
  </si>
  <si>
    <t>COMMUNITY COFFEE COMPANY LLC</t>
  </si>
  <si>
    <t>CONNIE SCHROEDER</t>
  </si>
  <si>
    <t>="13</t>
  </si>
  <si>
    <t>651  04/23/19"</t>
  </si>
  <si>
    <t>CONTECH ENGINEERED SOLUTIONS INC</t>
  </si>
  <si>
    <t>CONVERGENCE CABLING  INC.</t>
  </si>
  <si>
    <t>COOPER EQUIPMENT CO.</t>
  </si>
  <si>
    <t>CORYELL COUNTY SHERIFF</t>
  </si>
  <si>
    <t>COTHRON SECURITY SOLUTIONS  LLC</t>
  </si>
  <si>
    <t>COUNTY OF BEXAR - SHERIFF</t>
  </si>
  <si>
    <t>CRESSIDA EVELYN KWOLEK  Ph.D.</t>
  </si>
  <si>
    <t>CYDNEY CRIDER</t>
  </si>
  <si>
    <t>DALE COOK</t>
  </si>
  <si>
    <t>DALLAS COUNTY CONSTABLE PCT 1</t>
  </si>
  <si>
    <t>DARYL BUTLER</t>
  </si>
  <si>
    <t>="12</t>
  </si>
  <si>
    <t>519  04/17/19"</t>
  </si>
  <si>
    <t>DAVID B BROOKS</t>
  </si>
  <si>
    <t>DAVID CONTI</t>
  </si>
  <si>
    <t>DAVID M COLLINS</t>
  </si>
  <si>
    <t>DELL</t>
  </si>
  <si>
    <t>SETON FAMILY OF HOSPITALS</t>
  </si>
  <si>
    <t>DENTRUST DENTAL TX PC</t>
  </si>
  <si>
    <t>DESMAR WALKES  MD  PA</t>
  </si>
  <si>
    <t>DICKENS LOCKSMITH INC</t>
  </si>
  <si>
    <t>DEPARTMENT OF INFORMATION RESOURCES</t>
  </si>
  <si>
    <t>DISCOUNT DOOR &amp; METAL  LLC</t>
  </si>
  <si>
    <t>DONNIE STARK</t>
  </si>
  <si>
    <t>DOUBLE D INTERNATIONAL FOOD CO.  INC.</t>
  </si>
  <si>
    <t>DOUBLE TUFF TRUCK TARPS INC</t>
  </si>
  <si>
    <t>DUNNE &amp; JUAREZ L.L.C.</t>
  </si>
  <si>
    <t>DURAN GRAVEL CO. INC</t>
  </si>
  <si>
    <t>DYLAN OWENS</t>
  </si>
  <si>
    <t>ECOLAB INC</t>
  </si>
  <si>
    <t>ELECTION CENTER</t>
  </si>
  <si>
    <t>ELECTION SYSTEMS &amp; SOFTWARE INC</t>
  </si>
  <si>
    <t>BLACKLANDS PUBLICATIONS INC</t>
  </si>
  <si>
    <t>RALPH DAVID GLASS</t>
  </si>
  <si>
    <t>CITY OF ELGIN UTILITIES</t>
  </si>
  <si>
    <t>ELLIOTT ELECTRIC SUPPLY INC</t>
  </si>
  <si>
    <t>EMANUEL &amp; JEANETT THOMAS</t>
  </si>
  <si>
    <t>ERGON ASPHALT &amp; EMULSIONS INC</t>
  </si>
  <si>
    <t>ETTA WILEY</t>
  </si>
  <si>
    <t>EUGENE C BLOMSTROM</t>
  </si>
  <si>
    <t>EWEAC</t>
  </si>
  <si>
    <t>BASTROP COUNTY WOMEN'S SHELTER</t>
  </si>
  <si>
    <t>FAMILY HEALTH CENTER OF BASTROP PLLC</t>
  </si>
  <si>
    <t>FAYETTE COUNTY TOURISM ASSOCIATION</t>
  </si>
  <si>
    <t>FEDERAL BUREAU OF PRISONS</t>
  </si>
  <si>
    <t>FEDERAL EXPRESS</t>
  </si>
  <si>
    <t>FIRST NATIONAL BANK</t>
  </si>
  <si>
    <t>FIRST NATIONAL BANK BASTROP</t>
  </si>
  <si>
    <t>861  04/23/19"</t>
  </si>
  <si>
    <t>FLEETPRIDE</t>
  </si>
  <si>
    <t>FLORENCE BEHAVIN</t>
  </si>
  <si>
    <t>FOREMOST COUNTY MUTUAL INS CO</t>
  </si>
  <si>
    <t>="15</t>
  </si>
  <si>
    <t>347  04/29/19"</t>
  </si>
  <si>
    <t>FORREST L. SANDERSON</t>
  </si>
  <si>
    <t>FRANCES HUNTER</t>
  </si>
  <si>
    <t>AUSTIN TRUCK AND EQUIPMENT  LTD</t>
  </si>
  <si>
    <t>FRERICH ENTERPRISES INC</t>
  </si>
  <si>
    <t>EUGENE W BRIGGS JR</t>
  </si>
  <si>
    <t>GALLS PARENT HOLDINGS LLC</t>
  </si>
  <si>
    <t>GARLAND/DBS  INC.</t>
  </si>
  <si>
    <t>BRIDGESTONE AMERICAS INC</t>
  </si>
  <si>
    <t>GLENN TEINERT</t>
  </si>
  <si>
    <t>GRAINGER INC</t>
  </si>
  <si>
    <t>GT DISTRIBUTORS  INC.</t>
  </si>
  <si>
    <t>GULF COAST PAPER CO. INC.</t>
  </si>
  <si>
    <t>VERTEX ENERGY  INC.</t>
  </si>
  <si>
    <t>HALFF ASSOCIATES</t>
  </si>
  <si>
    <t>HAMILTON ELECTRIC WORKS  INC.</t>
  </si>
  <si>
    <t>HANNAH QUACKENBUSH</t>
  </si>
  <si>
    <t>HARRIS COUNTY CONSTABLE PCT 1</t>
  </si>
  <si>
    <t>HCI</t>
  </si>
  <si>
    <t>HEADSETS DIRECT INC.</t>
  </si>
  <si>
    <t>HENNA CHEVROLET</t>
  </si>
  <si>
    <t>BUTLER ANIMAL HEALTH</t>
  </si>
  <si>
    <t>HERSHCAP BACKHOE &amp; DITCHING  INC.</t>
  </si>
  <si>
    <t>="10</t>
  </si>
  <si>
    <t>658  04/08/19"</t>
  </si>
  <si>
    <t>BASCOM L HODGES JR</t>
  </si>
  <si>
    <t>HODGSON G ECKEL</t>
  </si>
  <si>
    <t>BD HOLT CO</t>
  </si>
  <si>
    <t>CITIBANK (SOUTH DAKOTA)N.A./THE HOME DEPOT</t>
  </si>
  <si>
    <t>GREGORY LUCAS</t>
  </si>
  <si>
    <t>HUDSON ENERGY CORP</t>
  </si>
  <si>
    <t>HYDRAULIC HOUSE INC</t>
  </si>
  <si>
    <t>INCIDENT RESPONSE TECHNOLOGIES INC</t>
  </si>
  <si>
    <t>INDIGENT HEALTHCARE SOLUTIONS</t>
  </si>
  <si>
    <t>INDIGENT HEALTH CARE ACCT</t>
  </si>
  <si>
    <t>IRON MOUNTAIN RECORDS MGMT INC</t>
  </si>
  <si>
    <t>J D LANGLEY</t>
  </si>
  <si>
    <t>JACQUELINE LUCERO</t>
  </si>
  <si>
    <t>JAIME SANTANA</t>
  </si>
  <si>
    <t>JAMES D. SQUIER</t>
  </si>
  <si>
    <t>JAMES O. BURKE</t>
  </si>
  <si>
    <t>JAN LANGER  DVM</t>
  </si>
  <si>
    <t>JAY SHANKAR PRASAD</t>
  </si>
  <si>
    <t>JEFF KINNISON</t>
  </si>
  <si>
    <t>JENKINS &amp; JENKINS LLP</t>
  </si>
  <si>
    <t>JAMES MORGAN</t>
  </si>
  <si>
    <t>JF FILTRATION INC</t>
  </si>
  <si>
    <t>JOHN DEERE FINANCIAL f.s.b.</t>
  </si>
  <si>
    <t>JORDAN BATTERSBY  MCDONALD</t>
  </si>
  <si>
    <t>JORDAN ESKEW</t>
  </si>
  <si>
    <t>BILLY JOSHUA GILL</t>
  </si>
  <si>
    <t>JESSE E. PERKINS</t>
  </si>
  <si>
    <t>JUSTIN MATTHEW FOHN</t>
  </si>
  <si>
    <t>KAUFFMAN COMPANY</t>
  </si>
  <si>
    <t>KAYCI SCHULTZ WATSON</t>
  </si>
  <si>
    <t>KAYLA STEIN</t>
  </si>
  <si>
    <t>KENNETH E. LIMUEL JR</t>
  </si>
  <si>
    <t>KENNETH GONSOULIN</t>
  </si>
  <si>
    <t>="16</t>
  </si>
  <si>
    <t>181  04/01/19"</t>
  </si>
  <si>
    <t>KENNETH LIMUEL</t>
  </si>
  <si>
    <t>KENT BROUSSARD TOWER RENTAL INC</t>
  </si>
  <si>
    <t>KING'S PORTABLE THRONES</t>
  </si>
  <si>
    <t>KOETTER FIRE PROTECTION OF AUSTIN  LLC</t>
  </si>
  <si>
    <t>KOFILE TECHNOLOGIES  INC.</t>
  </si>
  <si>
    <t>KRISTI POWELL</t>
  </si>
  <si>
    <t>THE LA GRANGE PARTS HOUSE INC</t>
  </si>
  <si>
    <t>LABATT INSTITUTIONAL SUPPLY CO</t>
  </si>
  <si>
    <t>LAURA ROBERTSON</t>
  </si>
  <si>
    <t>LUCIO LEAL</t>
  </si>
  <si>
    <t>LEE COUNTY WATER SUPPLY CORP</t>
  </si>
  <si>
    <t>LEON SCAIFE</t>
  </si>
  <si>
    <t>LEXISNEXIS RISK DATA MGMT INC</t>
  </si>
  <si>
    <t>LINDA HARMON-TAX ASSESSOR</t>
  </si>
  <si>
    <t>LINDSEY SIMMONS</t>
  </si>
  <si>
    <t>LIQUID ENVIRONMENTAL SOLUTIONS</t>
  </si>
  <si>
    <t>LISA M. MIMS</t>
  </si>
  <si>
    <t>LLANO COUNTY SHERIFF</t>
  </si>
  <si>
    <t>LLOYD GOSSELINK ROCHELLE &amp; TOWNSEND. PC</t>
  </si>
  <si>
    <t>LONE STAR CIRCLE OF CARE</t>
  </si>
  <si>
    <t>UNITED KWB COLLABORATIONS LLC</t>
  </si>
  <si>
    <t>LONNIE LAWRENCE DAVIS JR</t>
  </si>
  <si>
    <t>TRUBAR  LLC</t>
  </si>
  <si>
    <t>LOWE'S</t>
  </si>
  <si>
    <t>LUSTRE-CAL CORP</t>
  </si>
  <si>
    <t>LYN TURNER</t>
  </si>
  <si>
    <t>LYNN PEAVEY CO.</t>
  </si>
  <si>
    <t>MANATRON</t>
  </si>
  <si>
    <t>MARIA ANFOSSO</t>
  </si>
  <si>
    <t>MARIDEL BORREGO</t>
  </si>
  <si>
    <t>MARK DAUBE</t>
  </si>
  <si>
    <t>MARK T. MALONE  M.D. P.A</t>
  </si>
  <si>
    <t>JOHN W GASPARINI INC</t>
  </si>
  <si>
    <t>SCI TEXAS FUNERAL SERVICES INC</t>
  </si>
  <si>
    <t>MARY BETH SCOTT</t>
  </si>
  <si>
    <t>MATHESON TRI-GAS INC</t>
  </si>
  <si>
    <t>MCBROOM CLINIC P.A.</t>
  </si>
  <si>
    <t>McCOY'S BUILDING SUPPLY CENTER</t>
  </si>
  <si>
    <t>McCREARY  VESELKA  BRAGG &amp; ALLEN P</t>
  </si>
  <si>
    <t>McDADE CEMETERY ASSOCIATION</t>
  </si>
  <si>
    <t>McKESSON MEDICAL-SURGIVAL GOVERNMENT SOLUTIONS LLC</t>
  </si>
  <si>
    <t>MEDIMPACT HEALTHCARE SYSTEMS INC</t>
  </si>
  <si>
    <t>MEGAN FAITH ANDERSON</t>
  </si>
  <si>
    <t>MICHELE FRITSCHE C.S.R.</t>
  </si>
  <si>
    <t>MIDTEX MATERIALS</t>
  </si>
  <si>
    <t>MIKE FORSTNER'S WATERLIFE</t>
  </si>
  <si>
    <t>ADREA LETRICE BRIDGEMAN</t>
  </si>
  <si>
    <t>JOSEPH EDWARD GRUNINGER</t>
  </si>
  <si>
    <t>JEFFREY RUSSELL KRITZ</t>
  </si>
  <si>
    <t>MICHELLE LYNN HARRIS</t>
  </si>
  <si>
    <t>JOHN MICHAEL COON</t>
  </si>
  <si>
    <t>ELIZABETH RICHVOLDSEN</t>
  </si>
  <si>
    <t>DAVID EARL MCMULLEN</t>
  </si>
  <si>
    <t>ARRION SAVINO ESPINOZA</t>
  </si>
  <si>
    <t>DIXIE ANN KING</t>
  </si>
  <si>
    <t>ROBYNE M TAYLOR</t>
  </si>
  <si>
    <t>MAIRA LORENA GORMAN</t>
  </si>
  <si>
    <t>MONARCH DISPOSAL  LLC</t>
  </si>
  <si>
    <t>MORSCO SUPPLY  LLC</t>
  </si>
  <si>
    <t>MOST DEPENDABLE FOUNTAINS INC</t>
  </si>
  <si>
    <t>MOTOROLA INC</t>
  </si>
  <si>
    <t>NACVSO</t>
  </si>
  <si>
    <t>NALCO COMPANY LLC</t>
  </si>
  <si>
    <t>NALLEY HVAC MECHANICAL LLC</t>
  </si>
  <si>
    <t>NANCY YOUNG</t>
  </si>
  <si>
    <t>NATIONAL FOOD GROUP INC</t>
  </si>
  <si>
    <t>NATIONAL TACTICAL OFFICERS ASSOCIATION</t>
  </si>
  <si>
    <t>WILLIAM HAROLD NELSON</t>
  </si>
  <si>
    <t>NEVAREZ RODRIGO</t>
  </si>
  <si>
    <t>JOHN NIXON</t>
  </si>
  <si>
    <t>NORMAN SHARP</t>
  </si>
  <si>
    <t>O'REILLY AUTOMOTIVE  INC.</t>
  </si>
  <si>
    <t>SOUTHERN FOODS GROUP LP</t>
  </si>
  <si>
    <t>OFFICE DEPOT</t>
  </si>
  <si>
    <t>UCG INFORMATION SERVICES LLC</t>
  </si>
  <si>
    <t>OSBURN ASSOCIATES INC.</t>
  </si>
  <si>
    <t>OTILIA SANCHEZ</t>
  </si>
  <si>
    <t>OTTO MAROSKO</t>
  </si>
  <si>
    <t>PAIGE TRACTORS INC</t>
  </si>
  <si>
    <t>SL PARKER PARTNERSHIP LLC</t>
  </si>
  <si>
    <t>JACOB  COX</t>
  </si>
  <si>
    <t>PATTERSON  VETERINARY SUPPLY INC</t>
  </si>
  <si>
    <t>PAUL PAPE</t>
  </si>
  <si>
    <t>PERDUE  BRANDON  FIELDER  COLLINS &amp; MOTT LLP</t>
  </si>
  <si>
    <t>CLEVELAND MACK SALES INC</t>
  </si>
  <si>
    <t>PHILIP L HALL</t>
  </si>
  <si>
    <t>PHILIP R DUCLOUX</t>
  </si>
  <si>
    <t>PM WILSON &amp; ASSOCIATES PLLC</t>
  </si>
  <si>
    <t>POST OAK HARDWARE  INC.</t>
  </si>
  <si>
    <t>POSTMASTER</t>
  </si>
  <si>
    <t>JERRY POWELL</t>
  </si>
  <si>
    <t>PRODUCTION SPECIALTY INCORPORATED</t>
  </si>
  <si>
    <t>PROGRESSIVE - RESTITUTION ACCT</t>
  </si>
  <si>
    <t>PTS OF AMERICA  LLC</t>
  </si>
  <si>
    <t>QUEST DIAGNOSTICS CLINICAL LABORATORIES</t>
  </si>
  <si>
    <t>R J CARDWELL</t>
  </si>
  <si>
    <t>R.R. BRINK LOCKING SYSTEMS INC</t>
  </si>
  <si>
    <t>RANDI FISHBECK</t>
  </si>
  <si>
    <t>NESTLE WATERS N AMERICA INC</t>
  </si>
  <si>
    <t>REBECCA STRNAD</t>
  </si>
  <si>
    <t>RED WING BUSINESS ADVANTAGE ACCOUNT</t>
  </si>
  <si>
    <t>REYNOLDS &amp; KEINARTH</t>
  </si>
  <si>
    <t>RICHARD ALLAN DICKMAN JR</t>
  </si>
  <si>
    <t>RICOH USA INC</t>
  </si>
  <si>
    <t>RUNKLE ENTERPRISES</t>
  </si>
  <si>
    <t>ROADRUNNER RADIOLOGY EQUIP LLC</t>
  </si>
  <si>
    <t>ROBERT MADDEN INDUSTRIES LTD</t>
  </si>
  <si>
    <t>ROBERT WILLIAMS</t>
  </si>
  <si>
    <t>ROSE PIETSCH COUNTY CLERK</t>
  </si>
  <si>
    <t>RUSH CHEVROLET LLC</t>
  </si>
  <si>
    <t>RUTH A. CARROLL</t>
  </si>
  <si>
    <t>TRAVIS CNTY DOMESTIC VIOLENCE &amp; SEXUAL ASSAULT</t>
  </si>
  <si>
    <t>SAM HOUSTON STATE UNIVERSITY</t>
  </si>
  <si>
    <t>SAMMY LERMA III MD</t>
  </si>
  <si>
    <t>SCOTT MERRIMAN INC</t>
  </si>
  <si>
    <t>SETON HEALTHCARE SPONSORED PROJECTS</t>
  </si>
  <si>
    <t>SHARON FOERSTER</t>
  </si>
  <si>
    <t>SHARON HANCOCK</t>
  </si>
  <si>
    <t>962  04/09/19"</t>
  </si>
  <si>
    <t>SHEILA RAINOSEK</t>
  </si>
  <si>
    <t>SHERWIN WILLIAMS CO</t>
  </si>
  <si>
    <t>SHI GOVERNMENT SOLUTIONS INC.</t>
  </si>
  <si>
    <t>SHOPPA'S FARM SUPPLY</t>
  </si>
  <si>
    <t>SHRED-IT US HOLDCO  INC</t>
  </si>
  <si>
    <t>SIGNATURE SMILES</t>
  </si>
  <si>
    <t>SILSBEE FORD</t>
  </si>
  <si>
    <t>SMITH STORES  INC.</t>
  </si>
  <si>
    <t>SMITHVILLE AUTO PARTS  INC</t>
  </si>
  <si>
    <t>SMITHVILLE CHAMBER OF COMMERCE</t>
  </si>
  <si>
    <t>SMITHVILLE INDEPENDENT SCHOOL DISTRICT</t>
  </si>
  <si>
    <t>SOUTH TX CNTY JUDGES' &amp; COMM ASSN</t>
  </si>
  <si>
    <t>SOUTHERN TIRE MART LLC</t>
  </si>
  <si>
    <t>DS WATERS OF AMERICA INC</t>
  </si>
  <si>
    <t>SPECIALTY VETERINARY PHARMACY INC</t>
  </si>
  <si>
    <t>SRIDHAR P REDDY MD PA</t>
  </si>
  <si>
    <t>ST DAVID'S HEALTHCARE PARTNERSHIP</t>
  </si>
  <si>
    <t>ST. DAVIDS HEART &amp; VASCULAR  PLLC</t>
  </si>
  <si>
    <t>ST. MARK'S MEDICAL CENTER</t>
  </si>
  <si>
    <t>STAPLES ADVANTAGE</t>
  </si>
  <si>
    <t>STATE OF TEXAS</t>
  </si>
  <si>
    <t>STERICYCLE  INC.</t>
  </si>
  <si>
    <t>STEVE GRANADO</t>
  </si>
  <si>
    <t>STEVEN A LOGSDON</t>
  </si>
  <si>
    <t>SUN COAST RESOURCES</t>
  </si>
  <si>
    <t>T4 DISTRIBUTION  LLC</t>
  </si>
  <si>
    <t>TAVCO SERVICES INC</t>
  </si>
  <si>
    <t>TEXAS DEPARTMENT OF CRIMINAL JUSTICE</t>
  </si>
  <si>
    <t>TEJAS ELEVATOR COMPANY</t>
  </si>
  <si>
    <t>TERRENCE B. OERTLI</t>
  </si>
  <si>
    <t>TERRILL L FLENNIKEN</t>
  </si>
  <si>
    <t>TEX-CON OIL CO</t>
  </si>
  <si>
    <t>TEXAN EYE  P.A.</t>
  </si>
  <si>
    <t>TEXAS A&amp;M AGRILIFE EXTENSION SERVICE</t>
  </si>
  <si>
    <t>ELIZABETH ANN SPENCE</t>
  </si>
  <si>
    <t>TEXAS AGGREGATES  LLC</t>
  </si>
  <si>
    <t>TEXAS ASSOCIATES INSURORS AGENCY</t>
  </si>
  <si>
    <t>TEXAS ASSOCIATION FOR COURT ADMINISTRATION</t>
  </si>
  <si>
    <t>TEXAS ASSOCIATION OF COUNTIES</t>
  </si>
  <si>
    <t>TEXAS COLORADO RIVER FLOODPLAIN COALITION</t>
  </si>
  <si>
    <t>TEXAS CRUSHED STONE CO.</t>
  </si>
  <si>
    <t>TEXAS DEPT OF PUBLIC SAFETY</t>
  </si>
  <si>
    <t>TEXAS DOWNTOWN ASSOCIATION</t>
  </si>
  <si>
    <t>TEXAS NARCOTIC OFFICERS ASSOCIATION</t>
  </si>
  <si>
    <t>TEXAS PARKS &amp; WILDLIFE DEPARTMENT</t>
  </si>
  <si>
    <t>BRETT DENNEY</t>
  </si>
  <si>
    <t>TEXAS VISION CLINIC  PLLC</t>
  </si>
  <si>
    <t>TEXAS WELDING SUPPLY</t>
  </si>
  <si>
    <t>BUG MASTER EXTERMINATING SERVICES  LTD</t>
  </si>
  <si>
    <t>JAMES ANDREW CASEY</t>
  </si>
  <si>
    <t>RICHARD NELSON MOORE</t>
  </si>
  <si>
    <t>THE NITSCHE GROUP</t>
  </si>
  <si>
    <t>THE TRAVELERS INDEMNITY COMPANY</t>
  </si>
  <si>
    <t>TEXAS HOTEL &amp; LODGING ASSN</t>
  </si>
  <si>
    <t>WEST PUBLISHING CORPORATION</t>
  </si>
  <si>
    <t>TWE-ADVANCE/NEWHOUSE PARTNERSHIP</t>
  </si>
  <si>
    <t>TRACTOR SUPPLY CREDIT PLAN</t>
  </si>
  <si>
    <t>TRAVIS COUNTY CONSTABLE PCT 5</t>
  </si>
  <si>
    <t>TRAVIS COUNTY EMERGENCY PHYSICIANS PA</t>
  </si>
  <si>
    <t>TRAVIS COUNTY MEDICAL EXAMINER</t>
  </si>
  <si>
    <t>TRAVIS COX PLUMBING CO LLC</t>
  </si>
  <si>
    <t>KAUFFMAN TIRE</t>
  </si>
  <si>
    <t>TTIA</t>
  </si>
  <si>
    <t>TULL FARLEY</t>
  </si>
  <si>
    <t>TYLER BRADLEY</t>
  </si>
  <si>
    <t>TYLER TECHNOLOGIES INC</t>
  </si>
  <si>
    <t>ULINE  INC.</t>
  </si>
  <si>
    <t>COUFAL-PRATER EQUIPMENT  LLC</t>
  </si>
  <si>
    <t>UNITED REFRIGERATION INC</t>
  </si>
  <si>
    <t>UNITED PARCEL SERVICE</t>
  </si>
  <si>
    <t>VCSOAT</t>
  </si>
  <si>
    <t>VERNON TUCK DEVELOPMENT LLC</t>
  </si>
  <si>
    <t>VIKING PRODUCTS GROUP  INC.</t>
  </si>
  <si>
    <t>TEXAS DEPARTMENT OF STATE HEALTH SERVICES</t>
  </si>
  <si>
    <t>US BANK NA</t>
  </si>
  <si>
    <t>WALLACE LUNDGREN</t>
  </si>
  <si>
    <t>573"</t>
  </si>
  <si>
    <t>WALLER COUNTY ASPHALT INC</t>
  </si>
  <si>
    <t>WALMART COMMUNITY BRC</t>
  </si>
  <si>
    <t>WASHING EQUIPMENT OF TEXAS</t>
  </si>
  <si>
    <t>WASTE CONNECTIONS LONE STAR. INC.</t>
  </si>
  <si>
    <t>WASTE MANAGEMENT OF TEXAS INC</t>
  </si>
  <si>
    <t>WATCH GUARD VIDEO</t>
  </si>
  <si>
    <t>WIND KNOT INCORPORATED</t>
  </si>
  <si>
    <t>MAO PHARMACY INC</t>
  </si>
  <si>
    <t>WHITNEY L THURMOND</t>
  </si>
  <si>
    <t>WILLIAMSON COUNTY CONSTABLE PCT 3</t>
  </si>
  <si>
    <t>WJC CONSTRUCTORS SERVICES  LLC</t>
  </si>
  <si>
    <t>WORLDPOINT ECC  INC</t>
  </si>
  <si>
    <t>XEROX CORPORATION</t>
  </si>
  <si>
    <t>YOUNGS PROFESSIONAL SERVICES  LLC</t>
  </si>
  <si>
    <t>ZOETIS US LLC</t>
  </si>
  <si>
    <t>ZURICH DIRECT UNDERWRITERS</t>
  </si>
  <si>
    <t>BASTROP INDEPENDENT SCHOOL DISTRICT</t>
  </si>
  <si>
    <t>CENTEX MATERIALS LLC</t>
  </si>
  <si>
    <t>COMMUNITY TRUCKING</t>
  </si>
  <si>
    <t>MERGERS MARKETING INC.</t>
  </si>
  <si>
    <t>GARMENTS TO GO  INC</t>
  </si>
  <si>
    <t>KIRKSEY ARCHITECTS  INC.</t>
  </si>
  <si>
    <t>EDWARD G HALL II</t>
  </si>
  <si>
    <t>RDO EQUIPMENT CO.</t>
  </si>
  <si>
    <t>SPEED FAB-CRETE CORPORATION</t>
  </si>
  <si>
    <t>ZORO TOOLS INC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</si>
  <si>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</si>
  <si>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</si>
  <si>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</si>
  <si>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</si>
  <si>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</si>
  <si>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</si>
  <si>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</si>
  <si>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</si>
  <si>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MICHIGAN STATE DISBURSEMENT UNIT(MiSDU)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</si>
  <si>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</si>
  <si>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</si>
  <si>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</si>
  <si>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</si>
  <si>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</si>
  <si>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</si>
  <si>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AWG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</si>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</sst>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45"/>
  <sheetViews>
    <sheetView tabSelected="1" workbookViewId="0">
      <selection activeCell="A1671" sqref="A1671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19.42578125" bestFit="1" customWidth="1"/>
    <col min="6" max="6" width="35.28515625" bestFit="1" customWidth="1"/>
    <col min="7" max="7" width="31.28515625" style="2" bestFit="1" customWidth="1"/>
    <col min="8" max="8" width="35.2851562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82049</v>
      </c>
      <c r="C2" s="2">
        <v>30</v>
      </c>
      <c r="D2" s="1">
        <v>43598</v>
      </c>
      <c r="E2" t="str">
        <f>"201904298882"</f>
        <v>201904298882</v>
      </c>
      <c r="F2" t="str">
        <f>"REFUND BAIL BOND COUPONS"</f>
        <v>REFUND BAIL BOND COUPONS</v>
      </c>
      <c r="G2" s="2">
        <v>30</v>
      </c>
      <c r="H2" t="str">
        <f>"REFUND BAIL BOND COUPONS"</f>
        <v>REFUND BAIL BOND COUPONS</v>
      </c>
    </row>
    <row r="3" spans="1:8" x14ac:dyDescent="0.25">
      <c r="A3" t="s">
        <v>8</v>
      </c>
      <c r="B3">
        <v>82289</v>
      </c>
      <c r="C3" s="2">
        <v>30</v>
      </c>
      <c r="D3" s="1">
        <v>43613</v>
      </c>
      <c r="E3" t="str">
        <f>"201905169301"</f>
        <v>201905169301</v>
      </c>
      <c r="F3" t="str">
        <f>"REFUND BAIL BOND COUPONS"</f>
        <v>REFUND BAIL BOND COUPONS</v>
      </c>
      <c r="G3" s="2">
        <v>30</v>
      </c>
      <c r="H3" t="str">
        <f>"REFUND BAIL BOND COUPONS"</f>
        <v>REFUND BAIL BOND COUPONS</v>
      </c>
    </row>
    <row r="4" spans="1:8" x14ac:dyDescent="0.25">
      <c r="A4" t="s">
        <v>9</v>
      </c>
      <c r="B4">
        <v>82435</v>
      </c>
      <c r="C4" s="2">
        <v>19000</v>
      </c>
      <c r="D4" s="1">
        <v>43613</v>
      </c>
      <c r="E4" t="str">
        <f>"19-1041"</f>
        <v>19-1041</v>
      </c>
      <c r="F4" t="str">
        <f>"PREP SUBGRADE/GRAVEL BASE/P3"</f>
        <v>PREP SUBGRADE/GRAVEL BASE/P3</v>
      </c>
      <c r="G4" s="2">
        <v>4500</v>
      </c>
    </row>
    <row r="5" spans="1:8" x14ac:dyDescent="0.25">
      <c r="E5" t="str">
        <f>"19-1042"</f>
        <v>19-1042</v>
      </c>
      <c r="F5" t="str">
        <f>"CONCRETE SLAB/PCT#3"</f>
        <v>CONCRETE SLAB/PCT#3</v>
      </c>
      <c r="G5" s="2">
        <v>4900</v>
      </c>
    </row>
    <row r="6" spans="1:8" x14ac:dyDescent="0.25">
      <c r="E6" t="str">
        <f>"19-1043"</f>
        <v>19-1043</v>
      </c>
      <c r="F6" t="str">
        <f>"CONCRETE WALLS/PCT#3"</f>
        <v>CONCRETE WALLS/PCT#3</v>
      </c>
      <c r="G6" s="2">
        <v>4800</v>
      </c>
    </row>
    <row r="7" spans="1:8" x14ac:dyDescent="0.25">
      <c r="E7" t="str">
        <f>"19-1044"</f>
        <v>19-1044</v>
      </c>
      <c r="F7" t="str">
        <f>"CONCRETE WALLS/PCT#3"</f>
        <v>CONCRETE WALLS/PCT#3</v>
      </c>
      <c r="G7" s="2">
        <v>4800</v>
      </c>
    </row>
    <row r="8" spans="1:8" x14ac:dyDescent="0.25">
      <c r="A8" t="s">
        <v>10</v>
      </c>
      <c r="B8">
        <v>82050</v>
      </c>
      <c r="C8" s="2">
        <v>36160.949999999997</v>
      </c>
      <c r="D8" s="1">
        <v>43598</v>
      </c>
      <c r="E8" t="str">
        <f>"9725-001-107696"</f>
        <v>9725-001-107696</v>
      </c>
      <c r="F8" t="str">
        <f t="shared" ref="F8:F18" si="0">"ACCT#9725-001/REC BASE/PCT#2"</f>
        <v>ACCT#9725-001/REC BASE/PCT#2</v>
      </c>
      <c r="G8" s="2">
        <v>378.53</v>
      </c>
      <c r="H8" t="str">
        <f t="shared" ref="H8:H18" si="1">"ACCT#9725-001/REC BASE/PCT#2"</f>
        <v>ACCT#9725-001/REC BASE/PCT#2</v>
      </c>
    </row>
    <row r="9" spans="1:8" x14ac:dyDescent="0.25">
      <c r="E9" t="str">
        <f>"9725-001-107729"</f>
        <v>9725-001-107729</v>
      </c>
      <c r="F9" t="str">
        <f t="shared" si="0"/>
        <v>ACCT#9725-001/REC BASE/PCT#2</v>
      </c>
      <c r="G9" s="2">
        <v>1038.2</v>
      </c>
      <c r="H9" t="str">
        <f t="shared" si="1"/>
        <v>ACCT#9725-001/REC BASE/PCT#2</v>
      </c>
    </row>
    <row r="10" spans="1:8" x14ac:dyDescent="0.25">
      <c r="E10" t="str">
        <f>"9725-001-107800"</f>
        <v>9725-001-107800</v>
      </c>
      <c r="F10" t="str">
        <f t="shared" si="0"/>
        <v>ACCT#9725-001/REC BASE/PCT#2</v>
      </c>
      <c r="G10" s="2">
        <v>996.1</v>
      </c>
      <c r="H10" t="str">
        <f t="shared" si="1"/>
        <v>ACCT#9725-001/REC BASE/PCT#2</v>
      </c>
    </row>
    <row r="11" spans="1:8" x14ac:dyDescent="0.25">
      <c r="E11" t="str">
        <f>"9725-001-107839"</f>
        <v>9725-001-107839</v>
      </c>
      <c r="F11" t="str">
        <f t="shared" si="0"/>
        <v>ACCT#9725-001/REC BASE/PCT#2</v>
      </c>
      <c r="G11" s="2">
        <v>4944.3900000000003</v>
      </c>
      <c r="H11" t="str">
        <f t="shared" si="1"/>
        <v>ACCT#9725-001/REC BASE/PCT#2</v>
      </c>
    </row>
    <row r="12" spans="1:8" x14ac:dyDescent="0.25">
      <c r="E12" t="str">
        <f>"9725-001-107864"</f>
        <v>9725-001-107864</v>
      </c>
      <c r="F12" t="str">
        <f t="shared" si="0"/>
        <v>ACCT#9725-001/REC BASE/PCT#2</v>
      </c>
      <c r="G12" s="2">
        <v>6198.16</v>
      </c>
      <c r="H12" t="str">
        <f t="shared" si="1"/>
        <v>ACCT#9725-001/REC BASE/PCT#2</v>
      </c>
    </row>
    <row r="13" spans="1:8" x14ac:dyDescent="0.25">
      <c r="E13" t="str">
        <f>"9725-001-107891"</f>
        <v>9725-001-107891</v>
      </c>
      <c r="F13" t="str">
        <f t="shared" si="0"/>
        <v>ACCT#9725-001/REC BASE/PCT#2</v>
      </c>
      <c r="G13" s="2">
        <v>639.98</v>
      </c>
      <c r="H13" t="str">
        <f t="shared" si="1"/>
        <v>ACCT#9725-001/REC BASE/PCT#2</v>
      </c>
    </row>
    <row r="14" spans="1:8" x14ac:dyDescent="0.25">
      <c r="E14" t="str">
        <f>"9725-001-107921"</f>
        <v>9725-001-107921</v>
      </c>
      <c r="F14" t="str">
        <f t="shared" si="0"/>
        <v>ACCT#9725-001/REC BASE/PCT#2</v>
      </c>
      <c r="G14" s="2">
        <v>6701.91</v>
      </c>
      <c r="H14" t="str">
        <f t="shared" si="1"/>
        <v>ACCT#9725-001/REC BASE/PCT#2</v>
      </c>
    </row>
    <row r="15" spans="1:8" x14ac:dyDescent="0.25">
      <c r="E15" t="str">
        <f>"9725-001-107961"</f>
        <v>9725-001-107961</v>
      </c>
      <c r="F15" t="str">
        <f t="shared" si="0"/>
        <v>ACCT#9725-001/REC BASE/PCT#2</v>
      </c>
      <c r="G15" s="2">
        <v>5476.8</v>
      </c>
      <c r="H15" t="str">
        <f t="shared" si="1"/>
        <v>ACCT#9725-001/REC BASE/PCT#2</v>
      </c>
    </row>
    <row r="16" spans="1:8" x14ac:dyDescent="0.25">
      <c r="E16" t="str">
        <f>"9725-001-108005"</f>
        <v>9725-001-108005</v>
      </c>
      <c r="F16" t="str">
        <f t="shared" si="0"/>
        <v>ACCT#9725-001/REC BASE/PCT#2</v>
      </c>
      <c r="G16" s="2">
        <v>3603.02</v>
      </c>
      <c r="H16" t="str">
        <f t="shared" si="1"/>
        <v>ACCT#9725-001/REC BASE/PCT#2</v>
      </c>
    </row>
    <row r="17" spans="1:8" x14ac:dyDescent="0.25">
      <c r="E17" t="str">
        <f>"9725-001-108035"</f>
        <v>9725-001-108035</v>
      </c>
      <c r="F17" t="str">
        <f t="shared" si="0"/>
        <v>ACCT#9725-001/REC BASE/PCT#2</v>
      </c>
      <c r="G17" s="2">
        <v>4066.7</v>
      </c>
      <c r="H17" t="str">
        <f t="shared" si="1"/>
        <v>ACCT#9725-001/REC BASE/PCT#2</v>
      </c>
    </row>
    <row r="18" spans="1:8" x14ac:dyDescent="0.25">
      <c r="E18" t="str">
        <f>"9725-001-108071"</f>
        <v>9725-001-108071</v>
      </c>
      <c r="F18" t="str">
        <f t="shared" si="0"/>
        <v>ACCT#9725-001/REC BASE/PCT#2</v>
      </c>
      <c r="G18" s="2">
        <v>446.26</v>
      </c>
      <c r="H18" t="str">
        <f t="shared" si="1"/>
        <v>ACCT#9725-001/REC BASE/PCT#2</v>
      </c>
    </row>
    <row r="19" spans="1:8" x14ac:dyDescent="0.25">
      <c r="E19" t="str">
        <f>"9725-004-107876"</f>
        <v>9725-004-107876</v>
      </c>
      <c r="F19" t="str">
        <f>"ACCT#9725-004/REC BASE/PCT#1"</f>
        <v>ACCT#9725-004/REC BASE/PCT#1</v>
      </c>
      <c r="G19" s="2">
        <v>600</v>
      </c>
      <c r="H19" t="str">
        <f>"ACCT#9725-004/REC BASE/PCT#1"</f>
        <v>ACCT#9725-004/REC BASE/PCT#1</v>
      </c>
    </row>
    <row r="20" spans="1:8" x14ac:dyDescent="0.25">
      <c r="E20" t="str">
        <f>"9725-004-108112"</f>
        <v>9725-004-108112</v>
      </c>
      <c r="F20" t="str">
        <f>"ACCT#9725-004/REC BASE/PCT#4"</f>
        <v>ACCT#9725-004/REC BASE/PCT#4</v>
      </c>
      <c r="G20" s="2">
        <v>87.76</v>
      </c>
      <c r="H20" t="str">
        <f>"ACCT#9725-004/REC BASE/PCT#4"</f>
        <v>ACCT#9725-004/REC BASE/PCT#4</v>
      </c>
    </row>
    <row r="21" spans="1:8" x14ac:dyDescent="0.25">
      <c r="E21" t="str">
        <f>"9725-004-108150"</f>
        <v>9725-004-108150</v>
      </c>
      <c r="F21" t="str">
        <f>"ACCT#9725-004/REC BASE/PCT#4"</f>
        <v>ACCT#9725-004/REC BASE/PCT#4</v>
      </c>
      <c r="G21" s="2">
        <v>354.28</v>
      </c>
      <c r="H21" t="str">
        <f>"ACCT#9725-004/REC BASE/PCT#4"</f>
        <v>ACCT#9725-004/REC BASE/PCT#4</v>
      </c>
    </row>
    <row r="22" spans="1:8" x14ac:dyDescent="0.25">
      <c r="E22" t="str">
        <f>"9725-007-107678"</f>
        <v>9725-007-107678</v>
      </c>
      <c r="F22" t="str">
        <f>"ACCT#9725-007/REC BASE/PCT#4"</f>
        <v>ACCT#9725-007/REC BASE/PCT#4</v>
      </c>
      <c r="G22" s="2">
        <v>129.15</v>
      </c>
      <c r="H22" t="str">
        <f>"ACCT#9725-007/REC BASE/PCT#4"</f>
        <v>ACCT#9725-007/REC BASE/PCT#4</v>
      </c>
    </row>
    <row r="23" spans="1:8" x14ac:dyDescent="0.25">
      <c r="E23" t="str">
        <f>"9725-007-108114"</f>
        <v>9725-007-108114</v>
      </c>
      <c r="F23" t="str">
        <f>"ACCT#9725-007/REC BASE/PCT#4"</f>
        <v>ACCT#9725-007/REC BASE/PCT#4</v>
      </c>
      <c r="G23" s="2">
        <v>251.3</v>
      </c>
      <c r="H23" t="str">
        <f>"ACCT#9725-007/REC BASE/PCT#4"</f>
        <v>ACCT#9725-007/REC BASE/PCT#4</v>
      </c>
    </row>
    <row r="24" spans="1:8" x14ac:dyDescent="0.25">
      <c r="E24" t="str">
        <f>"9725-007-108152"</f>
        <v>9725-007-108152</v>
      </c>
      <c r="F24" t="str">
        <f>"ACCT#9725-007/REC BASE/PCT#4"</f>
        <v>ACCT#9725-007/REC BASE/PCT#4</v>
      </c>
      <c r="G24" s="2">
        <v>248.41</v>
      </c>
      <c r="H24" t="str">
        <f>"ACCT#9725-007/REC BASE/PCT#4"</f>
        <v>ACCT#9725-007/REC BASE/PCT#4</v>
      </c>
    </row>
    <row r="25" spans="1:8" x14ac:dyDescent="0.25">
      <c r="A25" t="s">
        <v>10</v>
      </c>
      <c r="B25">
        <v>82290</v>
      </c>
      <c r="C25" s="2">
        <v>29177.62</v>
      </c>
      <c r="D25" s="1">
        <v>43613</v>
      </c>
      <c r="E25" t="str">
        <f>"9725-001-108137"</f>
        <v>9725-001-108137</v>
      </c>
      <c r="F25" t="str">
        <f>"ACCT#9725-001/REC BASE/PCT#2"</f>
        <v>ACCT#9725-001/REC BASE/PCT#2</v>
      </c>
      <c r="G25" s="2">
        <v>2285.85</v>
      </c>
      <c r="H25" t="str">
        <f>"ACCT#9725-001/REC BASE/PCT#2"</f>
        <v>ACCT#9725-001/REC BASE/PCT#2</v>
      </c>
    </row>
    <row r="26" spans="1:8" x14ac:dyDescent="0.25">
      <c r="E26" t="str">
        <f>"9725-001-108173"</f>
        <v>9725-001-108173</v>
      </c>
      <c r="F26" t="str">
        <f>"ACCT#9725-001/REC BASE/PCT#2"</f>
        <v>ACCT#9725-001/REC BASE/PCT#2</v>
      </c>
      <c r="G26" s="2">
        <v>441.7</v>
      </c>
      <c r="H26" t="str">
        <f>"ACCT#9725-001/REC BASE/PCT#2"</f>
        <v>ACCT#9725-001/REC BASE/PCT#2</v>
      </c>
    </row>
    <row r="27" spans="1:8" x14ac:dyDescent="0.25">
      <c r="E27" t="str">
        <f>"9725-001-108204"</f>
        <v>9725-001-108204</v>
      </c>
      <c r="F27" t="str">
        <f>"ACCT#9725-001/REC BASE/PCT#2"</f>
        <v>ACCT#9725-001/REC BASE/PCT#2</v>
      </c>
      <c r="G27" s="2">
        <v>1525.65</v>
      </c>
      <c r="H27" t="str">
        <f>"ACCT#9725-001/REC BASE/PCT#2"</f>
        <v>ACCT#9725-001/REC BASE/PCT#2</v>
      </c>
    </row>
    <row r="28" spans="1:8" x14ac:dyDescent="0.25">
      <c r="E28" t="str">
        <f>"9725-001-108242"</f>
        <v>9725-001-108242</v>
      </c>
      <c r="F28" t="str">
        <f>"ACCT#9725-008/REC BASE/PCT#2"</f>
        <v>ACCT#9725-008/REC BASE/PCT#2</v>
      </c>
      <c r="G28" s="2">
        <v>1705.48</v>
      </c>
      <c r="H28" t="str">
        <f>"ACCT#9725-008/REC BASE/PCT#2"</f>
        <v>ACCT#9725-008/REC BASE/PCT#2</v>
      </c>
    </row>
    <row r="29" spans="1:8" x14ac:dyDescent="0.25">
      <c r="E29" t="str">
        <f>"9725-001-108274"</f>
        <v>9725-001-108274</v>
      </c>
      <c r="F29" t="str">
        <f>"ACCT#9725-001/REC BASE/PCT#2"</f>
        <v>ACCT#9725-001/REC BASE/PCT#2</v>
      </c>
      <c r="G29" s="2">
        <v>5229.92</v>
      </c>
      <c r="H29" t="str">
        <f>"ACCT#9725-001/REC BASE/PCT#2"</f>
        <v>ACCT#9725-001/REC BASE/PCT#2</v>
      </c>
    </row>
    <row r="30" spans="1:8" x14ac:dyDescent="0.25">
      <c r="E30" t="str">
        <f>"9725-001-108317"</f>
        <v>9725-001-108317</v>
      </c>
      <c r="F30" t="str">
        <f>"ACCT#9725-001/REC BASE/PCT#2"</f>
        <v>ACCT#9725-001/REC BASE/PCT#2</v>
      </c>
      <c r="G30" s="2">
        <v>5056.3999999999996</v>
      </c>
      <c r="H30" t="str">
        <f>"ACCT#9725-001/REC BASE/PCT#2"</f>
        <v>ACCT#9725-001/REC BASE/PCT#2</v>
      </c>
    </row>
    <row r="31" spans="1:8" x14ac:dyDescent="0.25">
      <c r="E31" t="str">
        <f>"9725-001-108357"</f>
        <v>9725-001-108357</v>
      </c>
      <c r="F31" t="str">
        <f>"ACCT#9725-001/REC BASE/PCT#2"</f>
        <v>ACCT#9725-001/REC BASE/PCT#2</v>
      </c>
      <c r="G31" s="2">
        <v>1269.2</v>
      </c>
      <c r="H31" t="str">
        <f>"ACCT#9725-001/REC BASE/PCT#2"</f>
        <v>ACCT#9725-001/REC BASE/PCT#2</v>
      </c>
    </row>
    <row r="32" spans="1:8" x14ac:dyDescent="0.25">
      <c r="E32" t="str">
        <f>"9725-004-108112 P1"</f>
        <v>9725-004-108112 P1</v>
      </c>
      <c r="F32" t="str">
        <f>"ACCT#9725-004/REC BASE/PCT#1"</f>
        <v>ACCT#9725-004/REC BASE/PCT#1</v>
      </c>
      <c r="G32" s="2">
        <v>2097.64</v>
      </c>
      <c r="H32" t="str">
        <f>"ACCT#9725-004-108112/PCT#1"</f>
        <v>ACCT#9725-004-108112/PCT#1</v>
      </c>
    </row>
    <row r="33" spans="1:8" x14ac:dyDescent="0.25">
      <c r="E33" t="str">
        <f>"9725-004-108150 P1"</f>
        <v>9725-004-108150 P1</v>
      </c>
      <c r="F33" t="str">
        <f>"ACCT#9725-004/REC BASE/ PCT#1"</f>
        <v>ACCT#9725-004/REC BASE/ PCT#1</v>
      </c>
      <c r="G33" s="2">
        <v>1969.02</v>
      </c>
      <c r="H33" t="str">
        <f>"ACCT#9725-004/REC BASE/ PCT#1"</f>
        <v>ACCT#9725-004/REC BASE/ PCT#1</v>
      </c>
    </row>
    <row r="34" spans="1:8" x14ac:dyDescent="0.25">
      <c r="E34" t="str">
        <f>"9725-004-108185"</f>
        <v>9725-004-108185</v>
      </c>
      <c r="F34" t="str">
        <f>"ACCT#9725-004/REC BASE/PCT#1"</f>
        <v>ACCT#9725-004/REC BASE/PCT#1</v>
      </c>
      <c r="G34" s="2">
        <v>659.23</v>
      </c>
      <c r="H34" t="str">
        <f>"ACCT#9725-004/REC BASE/PCT#1"</f>
        <v>ACCT#9725-004/REC BASE/PCT#1</v>
      </c>
    </row>
    <row r="35" spans="1:8" x14ac:dyDescent="0.25">
      <c r="E35" t="str">
        <f>"9725-004-108222"</f>
        <v>9725-004-108222</v>
      </c>
      <c r="F35" t="str">
        <f>"ACCT#9725-004-108222"</f>
        <v>ACCT#9725-004-108222</v>
      </c>
      <c r="G35" s="2">
        <v>2065.7199999999998</v>
      </c>
      <c r="H35" t="str">
        <f>"ACCT#9725-004-108222"</f>
        <v>ACCT#9725-004-108222</v>
      </c>
    </row>
    <row r="36" spans="1:8" x14ac:dyDescent="0.25">
      <c r="E36" t="str">
        <f>"9725-004-108403"</f>
        <v>9725-004-108403</v>
      </c>
      <c r="F36" t="str">
        <f>"ACCT#9725-004/REC BASE/PCT#4"</f>
        <v>ACCT#9725-004/REC BASE/PCT#4</v>
      </c>
      <c r="G36" s="2">
        <v>942.48</v>
      </c>
      <c r="H36" t="str">
        <f>"ACCT#9725-004/REC BASE/PCT#4"</f>
        <v>ACCT#9725-004/REC BASE/PCT#4</v>
      </c>
    </row>
    <row r="37" spans="1:8" x14ac:dyDescent="0.25">
      <c r="E37" t="str">
        <f>"9725-004-108434"</f>
        <v>9725-004-108434</v>
      </c>
      <c r="F37" t="str">
        <f>"ACCT#9725-007/REC BASE/PCT#4"</f>
        <v>ACCT#9725-007/REC BASE/PCT#4</v>
      </c>
      <c r="G37" s="2">
        <v>1192.99</v>
      </c>
      <c r="H37" t="str">
        <f>"ACCT#9725-007/REC BASE/PCT#4"</f>
        <v>ACCT#9725-007/REC BASE/PCT#4</v>
      </c>
    </row>
    <row r="38" spans="1:8" x14ac:dyDescent="0.25">
      <c r="E38" t="str">
        <f>"9725-007-108290"</f>
        <v>9725-007-108290</v>
      </c>
      <c r="F38" t="str">
        <f>"ACCT#9725-007/REC BASE/PCT#4"</f>
        <v>ACCT#9725-007/REC BASE/PCT#4</v>
      </c>
      <c r="G38" s="2">
        <v>481.35</v>
      </c>
      <c r="H38" t="str">
        <f>"ACCT#9725-007/REC BASE/PCT#4"</f>
        <v>ACCT#9725-007/REC BASE/PCT#4</v>
      </c>
    </row>
    <row r="39" spans="1:8" x14ac:dyDescent="0.25">
      <c r="E39" t="str">
        <f>"9725-007-108334"</f>
        <v>9725-007-108334</v>
      </c>
      <c r="F39" t="str">
        <f>"ACCT#9725-004/REC BASE/PCT#4"</f>
        <v>ACCT#9725-004/REC BASE/PCT#4</v>
      </c>
      <c r="G39" s="2">
        <v>115.5</v>
      </c>
      <c r="H39" t="str">
        <f>"ACCT#9725-004/REC BASE/PCT#4"</f>
        <v>ACCT#9725-004/REC BASE/PCT#4</v>
      </c>
    </row>
    <row r="40" spans="1:8" x14ac:dyDescent="0.25">
      <c r="E40" t="str">
        <f>"9725-007-108436"</f>
        <v>9725-007-108436</v>
      </c>
      <c r="F40" t="str">
        <f>"ACCT#9725-007/REC BASE/PCT#4"</f>
        <v>ACCT#9725-007/REC BASE/PCT#4</v>
      </c>
      <c r="G40" s="2">
        <v>1495.75</v>
      </c>
      <c r="H40" t="str">
        <f>"ACCT#9725-007/REC BASE/PCT#4"</f>
        <v>ACCT#9725-007/REC BASE/PCT#4</v>
      </c>
    </row>
    <row r="41" spans="1:8" x14ac:dyDescent="0.25">
      <c r="E41" t="str">
        <f>"9725-008-108203"</f>
        <v>9725-008-108203</v>
      </c>
      <c r="F41" t="str">
        <f>"ACCT#9725-008/REC BASE/PCT#2"</f>
        <v>ACCT#9725-008/REC BASE/PCT#2</v>
      </c>
      <c r="G41" s="2">
        <v>643.74</v>
      </c>
      <c r="H41" t="str">
        <f>"ACCT#9725-008/REC BASE/PCT#2"</f>
        <v>ACCT#9725-008/REC BASE/PCT#2</v>
      </c>
    </row>
    <row r="42" spans="1:8" x14ac:dyDescent="0.25">
      <c r="A42" t="s">
        <v>11</v>
      </c>
      <c r="B42">
        <v>82051</v>
      </c>
      <c r="C42" s="2">
        <v>105</v>
      </c>
      <c r="D42" s="1">
        <v>43598</v>
      </c>
      <c r="E42" t="str">
        <f>"201904298883"</f>
        <v>201904298883</v>
      </c>
      <c r="F42" t="str">
        <f>"REFUND BAIL BOND COUPONS"</f>
        <v>REFUND BAIL BOND COUPONS</v>
      </c>
      <c r="G42" s="2">
        <v>105</v>
      </c>
      <c r="H42" t="str">
        <f>"REFUND BAIL BOND COUPONS"</f>
        <v>REFUND BAIL BOND COUPONS</v>
      </c>
    </row>
    <row r="43" spans="1:8" x14ac:dyDescent="0.25">
      <c r="A43" t="s">
        <v>12</v>
      </c>
      <c r="B43">
        <v>82052</v>
      </c>
      <c r="C43" s="2">
        <v>1326.78</v>
      </c>
      <c r="D43" s="1">
        <v>43598</v>
      </c>
      <c r="E43" t="str">
        <f>"345134"</f>
        <v>345134</v>
      </c>
      <c r="F43" t="str">
        <f>"CUST ID#16500/PCT#4"</f>
        <v>CUST ID#16500/PCT#4</v>
      </c>
      <c r="G43" s="2">
        <v>1326.78</v>
      </c>
      <c r="H43" t="str">
        <f>"CUST ID#16500/PCT#4"</f>
        <v>CUST ID#16500/PCT#4</v>
      </c>
    </row>
    <row r="44" spans="1:8" x14ac:dyDescent="0.25">
      <c r="A44" t="s">
        <v>13</v>
      </c>
      <c r="B44">
        <v>747</v>
      </c>
      <c r="C44" s="2">
        <v>23979.8</v>
      </c>
      <c r="D44" s="1">
        <v>43599</v>
      </c>
      <c r="E44" t="str">
        <f>"201905069036"</f>
        <v>201905069036</v>
      </c>
      <c r="F44" t="str">
        <f>"HAULING EXPS 04/15-04/30/PCT#4"</f>
        <v>HAULING EXPS 04/15-04/30/PCT#4</v>
      </c>
      <c r="G44" s="2">
        <v>17037.57</v>
      </c>
      <c r="H44" t="str">
        <f>"HAULING EXPS 04/15-04/30/PCT#4"</f>
        <v>HAULING EXPS 04/15-04/30/PCT#4</v>
      </c>
    </row>
    <row r="45" spans="1:8" x14ac:dyDescent="0.25">
      <c r="E45" t="str">
        <f>"201905069037"</f>
        <v>201905069037</v>
      </c>
      <c r="F45" t="str">
        <f>"HAULING EXPS 4/15-5/2/PCT#1"</f>
        <v>HAULING EXPS 4/15-5/2/PCT#1</v>
      </c>
      <c r="G45" s="2">
        <v>2941.92</v>
      </c>
      <c r="H45" t="str">
        <f>"HAULING EXPS 4/15-5/2/PCT#1"</f>
        <v>HAULING EXPS 4/15-5/2/PCT#1</v>
      </c>
    </row>
    <row r="46" spans="1:8" x14ac:dyDescent="0.25">
      <c r="E46" t="str">
        <f>"201905069041"</f>
        <v>201905069041</v>
      </c>
      <c r="F46" t="str">
        <f>"HAULING EXPS/04/15-05/02/PCT#1"</f>
        <v>HAULING EXPS/04/15-05/02/PCT#1</v>
      </c>
      <c r="G46" s="2">
        <v>248.53</v>
      </c>
      <c r="H46" t="str">
        <f>"HAULING EXPS/04/15-05/02/PCT#1"</f>
        <v>HAULING EXPS/04/15-05/02/PCT#1</v>
      </c>
    </row>
    <row r="47" spans="1:8" x14ac:dyDescent="0.25">
      <c r="E47" t="str">
        <f>"201905069042"</f>
        <v>201905069042</v>
      </c>
      <c r="F47" t="str">
        <f>"HAULING EXPS 04/15-05/02/PCT#1"</f>
        <v>HAULING EXPS 04/15-05/02/PCT#1</v>
      </c>
      <c r="G47" s="2">
        <v>3751.78</v>
      </c>
      <c r="H47" t="str">
        <f>"HAULING EXPS 04/15-05/02/PCT#1"</f>
        <v>HAULING EXPS 04/15-05/02/PCT#1</v>
      </c>
    </row>
    <row r="48" spans="1:8" x14ac:dyDescent="0.25">
      <c r="A48" t="s">
        <v>13</v>
      </c>
      <c r="B48">
        <v>819</v>
      </c>
      <c r="C48" s="2">
        <v>24979.41</v>
      </c>
      <c r="D48" s="1">
        <v>43614</v>
      </c>
      <c r="E48" t="str">
        <f>"201905179321"</f>
        <v>201905179321</v>
      </c>
      <c r="F48" t="str">
        <f>"HAULING EXPS/05/06-05/16/PCT#1"</f>
        <v>HAULING EXPS/05/06-05/16/PCT#1</v>
      </c>
      <c r="G48" s="2">
        <v>4076.44</v>
      </c>
      <c r="H48" t="str">
        <f>"HAULING EXPS/05/06-05/16/PCT#1"</f>
        <v>HAULING EXPS/05/06-05/16/PCT#1</v>
      </c>
    </row>
    <row r="49" spans="1:8" x14ac:dyDescent="0.25">
      <c r="E49" t="str">
        <f>"201905179322"</f>
        <v>201905179322</v>
      </c>
      <c r="F49" t="str">
        <f>"HAULING EXPS/05/06-05/16/PCT#1"</f>
        <v>HAULING EXPS/05/06-05/16/PCT#1</v>
      </c>
      <c r="G49" s="2">
        <v>6267.42</v>
      </c>
      <c r="H49" t="str">
        <f>"HAULING EXPS/05/06-05/16/PCT#1"</f>
        <v>HAULING EXPS/05/06-05/16/PCT#1</v>
      </c>
    </row>
    <row r="50" spans="1:8" x14ac:dyDescent="0.25">
      <c r="E50" t="str">
        <f>"201905179323"</f>
        <v>201905179323</v>
      </c>
      <c r="F50" t="str">
        <f>"HAULING EXPS/05/06-05/15/PCT#1"</f>
        <v>HAULING EXPS/05/06-05/15/PCT#1</v>
      </c>
      <c r="G50" s="2">
        <v>4950.21</v>
      </c>
      <c r="H50" t="str">
        <f>"HAULING EXPS/05/06-05/15/PCT#1"</f>
        <v>HAULING EXPS/05/06-05/15/PCT#1</v>
      </c>
    </row>
    <row r="51" spans="1:8" x14ac:dyDescent="0.25">
      <c r="E51" t="str">
        <f>"201905179324"</f>
        <v>201905179324</v>
      </c>
      <c r="F51" t="str">
        <f>"HAULING EXPS/05/06-05/16/PCT#4"</f>
        <v>HAULING EXPS/05/06-05/16/PCT#4</v>
      </c>
      <c r="G51" s="2">
        <v>9685.34</v>
      </c>
      <c r="H51" t="str">
        <f>"HAULING EXPS/05/06-05/16/PCT#4"</f>
        <v>HAULING EXPS/05/06-05/16/PCT#4</v>
      </c>
    </row>
    <row r="52" spans="1:8" x14ac:dyDescent="0.25">
      <c r="A52" t="s">
        <v>14</v>
      </c>
      <c r="B52">
        <v>82053</v>
      </c>
      <c r="C52" s="2">
        <v>1680.5</v>
      </c>
      <c r="D52" s="1">
        <v>43598</v>
      </c>
      <c r="E52" t="str">
        <f>"312936"</f>
        <v>312936</v>
      </c>
      <c r="F52" t="str">
        <f>"FIRE EXT MAINT/PCT#1"</f>
        <v>FIRE EXT MAINT/PCT#1</v>
      </c>
      <c r="G52" s="2">
        <v>681.5</v>
      </c>
      <c r="H52" t="str">
        <f>"FIRE EXT MAINT/PCT#1"</f>
        <v>FIRE EXT MAINT/PCT#1</v>
      </c>
    </row>
    <row r="53" spans="1:8" x14ac:dyDescent="0.25">
      <c r="E53" t="str">
        <f>"312937"</f>
        <v>312937</v>
      </c>
      <c r="F53" t="str">
        <f>"FIRE EXTINGUISHER MAINT/PCT#4"</f>
        <v>FIRE EXTINGUISHER MAINT/PCT#4</v>
      </c>
      <c r="G53" s="2">
        <v>789.5</v>
      </c>
      <c r="H53" t="str">
        <f>"FIRE EXTINGUISHER MAINT/PCT#4"</f>
        <v>FIRE EXTINGUISHER MAINT/PCT#4</v>
      </c>
    </row>
    <row r="54" spans="1:8" x14ac:dyDescent="0.25">
      <c r="E54" t="str">
        <f>"312939"</f>
        <v>312939</v>
      </c>
      <c r="F54" t="str">
        <f>"FIRE EXTINGUISHER MAINT/ANIMAL"</f>
        <v>FIRE EXTINGUISHER MAINT/ANIMAL</v>
      </c>
      <c r="G54" s="2">
        <v>172</v>
      </c>
      <c r="H54" t="str">
        <f>"FIRE EXTINGUISHER MAINT/ANIMAL"</f>
        <v>FIRE EXTINGUISHER MAINT/ANIMAL</v>
      </c>
    </row>
    <row r="55" spans="1:8" x14ac:dyDescent="0.25">
      <c r="E55" t="str">
        <f>"312968"</f>
        <v>312968</v>
      </c>
      <c r="F55" t="str">
        <f>"FIRE EXTINGUISHER MAINT SVC"</f>
        <v>FIRE EXTINGUISHER MAINT SVC</v>
      </c>
      <c r="G55" s="2">
        <v>37.5</v>
      </c>
      <c r="H55" t="str">
        <f>"FIRE EXTINGUISHER MAINT SVC"</f>
        <v>FIRE EXTINGUISHER MAINT SVC</v>
      </c>
    </row>
    <row r="56" spans="1:8" x14ac:dyDescent="0.25">
      <c r="A56" t="s">
        <v>14</v>
      </c>
      <c r="B56">
        <v>82291</v>
      </c>
      <c r="C56" s="2">
        <v>3560</v>
      </c>
      <c r="D56" s="1">
        <v>43613</v>
      </c>
      <c r="E56" t="str">
        <f>"INV313630 314184"</f>
        <v>INV313630 314184</v>
      </c>
      <c r="F56" t="str">
        <f>"INV313630"</f>
        <v>INV313630</v>
      </c>
      <c r="G56" s="2">
        <v>3560</v>
      </c>
      <c r="H56" t="str">
        <f>"INV313630"</f>
        <v>INV313630</v>
      </c>
    </row>
    <row r="57" spans="1:8" x14ac:dyDescent="0.25">
      <c r="E57" t="str">
        <f>""</f>
        <v/>
      </c>
      <c r="F57" t="str">
        <f>""</f>
        <v/>
      </c>
      <c r="H57" t="str">
        <f>"INV314184A"</f>
        <v>INV314184A</v>
      </c>
    </row>
    <row r="58" spans="1:8" x14ac:dyDescent="0.25">
      <c r="E58" t="str">
        <f>""</f>
        <v/>
      </c>
      <c r="F58" t="str">
        <f>""</f>
        <v/>
      </c>
      <c r="H58" t="str">
        <f>"INV314184"</f>
        <v>INV314184</v>
      </c>
    </row>
    <row r="59" spans="1:8" x14ac:dyDescent="0.25">
      <c r="A59" t="s">
        <v>15</v>
      </c>
      <c r="B59">
        <v>82054</v>
      </c>
      <c r="C59" s="2">
        <v>8245</v>
      </c>
      <c r="D59" s="1">
        <v>43598</v>
      </c>
      <c r="E59" t="str">
        <f>"201905079120"</f>
        <v>201905079120</v>
      </c>
      <c r="F59" t="str">
        <f>"19-19456"</f>
        <v>19-19456</v>
      </c>
      <c r="G59" s="2">
        <v>780</v>
      </c>
      <c r="H59" t="str">
        <f>"19-19456"</f>
        <v>19-19456</v>
      </c>
    </row>
    <row r="60" spans="1:8" x14ac:dyDescent="0.25">
      <c r="E60" t="str">
        <f>"201905079121"</f>
        <v>201905079121</v>
      </c>
      <c r="F60" t="str">
        <f>"17-18718"</f>
        <v>17-18718</v>
      </c>
      <c r="G60" s="2">
        <v>712.5</v>
      </c>
      <c r="H60" t="str">
        <f>"17-18718"</f>
        <v>17-18718</v>
      </c>
    </row>
    <row r="61" spans="1:8" x14ac:dyDescent="0.25">
      <c r="E61" t="str">
        <f>"201905079122"</f>
        <v>201905079122</v>
      </c>
      <c r="F61" t="str">
        <f>"18-18876"</f>
        <v>18-18876</v>
      </c>
      <c r="G61" s="2">
        <v>507.5</v>
      </c>
      <c r="H61" t="str">
        <f>"18-18876"</f>
        <v>18-18876</v>
      </c>
    </row>
    <row r="62" spans="1:8" x14ac:dyDescent="0.25">
      <c r="E62" t="str">
        <f>"201905079123"</f>
        <v>201905079123</v>
      </c>
      <c r="F62" t="str">
        <f>"19-19463"</f>
        <v>19-19463</v>
      </c>
      <c r="G62" s="2">
        <v>437.5</v>
      </c>
      <c r="H62" t="str">
        <f>"19-19463"</f>
        <v>19-19463</v>
      </c>
    </row>
    <row r="63" spans="1:8" x14ac:dyDescent="0.25">
      <c r="E63" t="str">
        <f>"201905079124"</f>
        <v>201905079124</v>
      </c>
      <c r="F63" t="str">
        <f>"18-19237"</f>
        <v>18-19237</v>
      </c>
      <c r="G63" s="2">
        <v>1025</v>
      </c>
      <c r="H63" t="str">
        <f>"18-19237"</f>
        <v>18-19237</v>
      </c>
    </row>
    <row r="64" spans="1:8" x14ac:dyDescent="0.25">
      <c r="E64" t="str">
        <f>"201905079125"</f>
        <v>201905079125</v>
      </c>
      <c r="F64" t="str">
        <f>"18-19279"</f>
        <v>18-19279</v>
      </c>
      <c r="G64" s="2">
        <v>922.5</v>
      </c>
      <c r="H64" t="str">
        <f>"18-19279"</f>
        <v>18-19279</v>
      </c>
    </row>
    <row r="65" spans="1:8" x14ac:dyDescent="0.25">
      <c r="E65" t="str">
        <f>"201905079126"</f>
        <v>201905079126</v>
      </c>
      <c r="F65" t="str">
        <f>"18-18854  02/21/19"</f>
        <v>18-18854  02/21/19</v>
      </c>
      <c r="G65" s="2">
        <v>1862.5</v>
      </c>
      <c r="H65" t="str">
        <f>"18-18854"</f>
        <v>18-18854</v>
      </c>
    </row>
    <row r="66" spans="1:8" x14ac:dyDescent="0.25">
      <c r="E66" t="str">
        <f>"201905079127"</f>
        <v>201905079127</v>
      </c>
      <c r="F66" t="str">
        <f>"18-19023"</f>
        <v>18-19023</v>
      </c>
      <c r="G66" s="2">
        <v>827.5</v>
      </c>
      <c r="H66" t="str">
        <f>"18-19023"</f>
        <v>18-19023</v>
      </c>
    </row>
    <row r="67" spans="1:8" x14ac:dyDescent="0.25">
      <c r="E67" t="str">
        <f>"201905079132"</f>
        <v>201905079132</v>
      </c>
      <c r="F67" t="str">
        <f>"18-19156"</f>
        <v>18-19156</v>
      </c>
      <c r="G67" s="2">
        <v>272.5</v>
      </c>
      <c r="H67" t="str">
        <f>"18-19156"</f>
        <v>18-19156</v>
      </c>
    </row>
    <row r="68" spans="1:8" x14ac:dyDescent="0.25">
      <c r="E68" t="str">
        <f>"201905079133"</f>
        <v>201905079133</v>
      </c>
      <c r="F68" t="str">
        <f>"17-18625   10/09/18"</f>
        <v>17-18625   10/09/18</v>
      </c>
      <c r="G68" s="2">
        <v>257.5</v>
      </c>
      <c r="H68" t="str">
        <f>"17-18625   10/09/18"</f>
        <v>17-18625   10/09/18</v>
      </c>
    </row>
    <row r="69" spans="1:8" x14ac:dyDescent="0.25">
      <c r="E69" t="str">
        <f>"201905079134"</f>
        <v>201905079134</v>
      </c>
      <c r="F69" t="str">
        <f>"18-18885   02/22/19"</f>
        <v>18-18885   02/22/19</v>
      </c>
      <c r="G69" s="2">
        <v>332.5</v>
      </c>
      <c r="H69" t="str">
        <f>"18-18885"</f>
        <v>18-18885</v>
      </c>
    </row>
    <row r="70" spans="1:8" x14ac:dyDescent="0.25">
      <c r="E70" t="str">
        <f>"201905079135"</f>
        <v>201905079135</v>
      </c>
      <c r="F70" t="str">
        <f>"19-19521"</f>
        <v>19-19521</v>
      </c>
      <c r="G70" s="2">
        <v>307.5</v>
      </c>
      <c r="H70" t="str">
        <f>"19-19521"</f>
        <v>19-19521</v>
      </c>
    </row>
    <row r="71" spans="1:8" x14ac:dyDescent="0.25">
      <c r="A71" t="s">
        <v>15</v>
      </c>
      <c r="B71">
        <v>82292</v>
      </c>
      <c r="C71" s="2">
        <v>737.5</v>
      </c>
      <c r="D71" s="1">
        <v>43613</v>
      </c>
      <c r="E71" t="str">
        <f>"201905159290"</f>
        <v>201905159290</v>
      </c>
      <c r="F71" t="str">
        <f>"423-5732  01/14/19"</f>
        <v>423-5732  01/14/19</v>
      </c>
      <c r="G71" s="2">
        <v>345</v>
      </c>
      <c r="H71" t="str">
        <f>"423-5732  01/14/19"</f>
        <v>423-5732  01/14/19</v>
      </c>
    </row>
    <row r="72" spans="1:8" x14ac:dyDescent="0.25">
      <c r="E72" t="str">
        <f>"201905159292"</f>
        <v>201905159292</v>
      </c>
      <c r="F72" t="str">
        <f>"423-5828  01/14/19"</f>
        <v>423-5828  01/14/19</v>
      </c>
      <c r="G72" s="2">
        <v>67.5</v>
      </c>
      <c r="H72" t="str">
        <f>"423-5828  01/14/19"</f>
        <v>423-5828  01/14/19</v>
      </c>
    </row>
    <row r="73" spans="1:8" x14ac:dyDescent="0.25">
      <c r="E73" t="str">
        <f>"201905159293"</f>
        <v>201905159293</v>
      </c>
      <c r="F73" t="str">
        <f>"423-5282"</f>
        <v>423-5282</v>
      </c>
      <c r="G73" s="2">
        <v>325</v>
      </c>
      <c r="H73" t="str">
        <f>"423-5282"</f>
        <v>423-5282</v>
      </c>
    </row>
    <row r="74" spans="1:8" x14ac:dyDescent="0.25">
      <c r="A74" t="s">
        <v>16</v>
      </c>
      <c r="B74">
        <v>82055</v>
      </c>
      <c r="C74" s="2">
        <v>1047.5</v>
      </c>
      <c r="D74" s="1">
        <v>43598</v>
      </c>
      <c r="E74" t="str">
        <f>"201905079138"</f>
        <v>201905079138</v>
      </c>
      <c r="F74" t="str">
        <f>"14-16907"</f>
        <v>14-16907</v>
      </c>
      <c r="G74" s="2">
        <v>415</v>
      </c>
      <c r="H74" t="str">
        <f>"14-16907"</f>
        <v>14-16907</v>
      </c>
    </row>
    <row r="75" spans="1:8" x14ac:dyDescent="0.25">
      <c r="E75" t="str">
        <f>"201905079139"</f>
        <v>201905079139</v>
      </c>
      <c r="F75" t="str">
        <f>"18-19321"</f>
        <v>18-19321</v>
      </c>
      <c r="G75" s="2">
        <v>115</v>
      </c>
      <c r="H75" t="str">
        <f>"18-19321"</f>
        <v>18-19321</v>
      </c>
    </row>
    <row r="76" spans="1:8" x14ac:dyDescent="0.25">
      <c r="E76" t="str">
        <f>"201905079140"</f>
        <v>201905079140</v>
      </c>
      <c r="F76" t="str">
        <f>"18-19094"</f>
        <v>18-19094</v>
      </c>
      <c r="G76" s="2">
        <v>112.5</v>
      </c>
      <c r="H76" t="str">
        <f>"18-19094"</f>
        <v>18-19094</v>
      </c>
    </row>
    <row r="77" spans="1:8" x14ac:dyDescent="0.25">
      <c r="E77" t="str">
        <f>"201905079141"</f>
        <v>201905079141</v>
      </c>
      <c r="F77" t="str">
        <f>"17-18635"</f>
        <v>17-18635</v>
      </c>
      <c r="G77" s="2">
        <v>100</v>
      </c>
      <c r="H77" t="str">
        <f>"17-18635"</f>
        <v>17-18635</v>
      </c>
    </row>
    <row r="78" spans="1:8" x14ac:dyDescent="0.25">
      <c r="E78" t="str">
        <f>"201905079142"</f>
        <v>201905079142</v>
      </c>
      <c r="F78" t="str">
        <f>"18-19142"</f>
        <v>18-19142</v>
      </c>
      <c r="G78" s="2">
        <v>190</v>
      </c>
      <c r="H78" t="str">
        <f>"18-19142"</f>
        <v>18-19142</v>
      </c>
    </row>
    <row r="79" spans="1:8" x14ac:dyDescent="0.25">
      <c r="E79" t="str">
        <f>"201905079143"</f>
        <v>201905079143</v>
      </c>
      <c r="F79" t="str">
        <f>"16-17614"</f>
        <v>16-17614</v>
      </c>
      <c r="G79" s="2">
        <v>115</v>
      </c>
      <c r="H79" t="str">
        <f>"16-17614"</f>
        <v>16-17614</v>
      </c>
    </row>
    <row r="80" spans="1:8" x14ac:dyDescent="0.25">
      <c r="A80" t="s">
        <v>17</v>
      </c>
      <c r="B80">
        <v>82056</v>
      </c>
      <c r="C80" s="2">
        <v>950</v>
      </c>
      <c r="D80" s="1">
        <v>43598</v>
      </c>
      <c r="E80" t="str">
        <f>"201904248738"</f>
        <v>201904248738</v>
      </c>
      <c r="F80" t="str">
        <f>"16206"</f>
        <v>16206</v>
      </c>
      <c r="G80" s="2">
        <v>400</v>
      </c>
      <c r="H80" t="str">
        <f>"16206"</f>
        <v>16206</v>
      </c>
    </row>
    <row r="81" spans="1:8" x14ac:dyDescent="0.25">
      <c r="E81" t="str">
        <f>"201904248755"</f>
        <v>201904248755</v>
      </c>
      <c r="F81" t="str">
        <f>"16 736"</f>
        <v>16 736</v>
      </c>
      <c r="G81" s="2">
        <v>150</v>
      </c>
      <c r="H81" t="str">
        <f>"16 736"</f>
        <v>16 736</v>
      </c>
    </row>
    <row r="82" spans="1:8" x14ac:dyDescent="0.25">
      <c r="E82" t="str">
        <f>"201905018922"</f>
        <v>201905018922</v>
      </c>
      <c r="F82" t="str">
        <f>"SO#010633"</f>
        <v>SO#010633</v>
      </c>
      <c r="G82" s="2">
        <v>400</v>
      </c>
      <c r="H82" t="str">
        <f>"SO#010633"</f>
        <v>SO#010633</v>
      </c>
    </row>
    <row r="83" spans="1:8" x14ac:dyDescent="0.25">
      <c r="A83" t="s">
        <v>17</v>
      </c>
      <c r="B83">
        <v>82293</v>
      </c>
      <c r="C83" s="2">
        <v>600</v>
      </c>
      <c r="D83" s="1">
        <v>43613</v>
      </c>
      <c r="E83" t="str">
        <f>"201905159285"</f>
        <v>201905159285</v>
      </c>
      <c r="F83" t="str">
        <f>"16 223"</f>
        <v>16 223</v>
      </c>
      <c r="G83" s="2">
        <v>400</v>
      </c>
      <c r="H83" t="str">
        <f>"16 223"</f>
        <v>16 223</v>
      </c>
    </row>
    <row r="84" spans="1:8" x14ac:dyDescent="0.25">
      <c r="E84" t="str">
        <f>"201905169306"</f>
        <v>201905169306</v>
      </c>
      <c r="F84" t="str">
        <f>"423-6516"</f>
        <v>423-6516</v>
      </c>
      <c r="G84" s="2">
        <v>100</v>
      </c>
      <c r="H84" t="str">
        <f>"423-6516"</f>
        <v>423-6516</v>
      </c>
    </row>
    <row r="85" spans="1:8" x14ac:dyDescent="0.25">
      <c r="E85" t="str">
        <f>"201905209336"</f>
        <v>201905209336</v>
      </c>
      <c r="F85" t="str">
        <f>"1150-335"</f>
        <v>1150-335</v>
      </c>
      <c r="G85" s="2">
        <v>100</v>
      </c>
      <c r="H85" t="str">
        <f>"1150-335"</f>
        <v>1150-335</v>
      </c>
    </row>
    <row r="86" spans="1:8" x14ac:dyDescent="0.25">
      <c r="A86" t="s">
        <v>18</v>
      </c>
      <c r="B86">
        <v>753</v>
      </c>
      <c r="C86" s="2">
        <v>1118.78</v>
      </c>
      <c r="D86" s="1">
        <v>43599</v>
      </c>
      <c r="E86" t="str">
        <f>"201905069038"</f>
        <v>201905069038</v>
      </c>
      <c r="F86" t="str">
        <f>"REIMBURSE-TRAINING/MAIL/TRAVEL"</f>
        <v>REIMBURSE-TRAINING/MAIL/TRAVEL</v>
      </c>
      <c r="G86" s="2">
        <v>1118.78</v>
      </c>
      <c r="H86" t="str">
        <f>"REIMBURSE-TRAINING/MAIL/TRAVEL"</f>
        <v>REIMBURSE-TRAINING/MAIL/TRAVEL</v>
      </c>
    </row>
    <row r="87" spans="1:8" x14ac:dyDescent="0.25">
      <c r="A87" t="s">
        <v>18</v>
      </c>
      <c r="B87">
        <v>824</v>
      </c>
      <c r="C87" s="2">
        <v>359</v>
      </c>
      <c r="D87" s="1">
        <v>43614</v>
      </c>
      <c r="E87" t="str">
        <f>"201905209345"</f>
        <v>201905209345</v>
      </c>
      <c r="F87" t="str">
        <f>"REG-TEXAS RURAL CHALLENGE"</f>
        <v>REG-TEXAS RURAL CHALLENGE</v>
      </c>
      <c r="G87" s="2">
        <v>249</v>
      </c>
      <c r="H87" t="str">
        <f>"REG-TEXAS RURAL CHALLENGE"</f>
        <v>REG-TEXAS RURAL CHALLENGE</v>
      </c>
    </row>
    <row r="88" spans="1:8" x14ac:dyDescent="0.25">
      <c r="E88" t="str">
        <f>"201905209346"</f>
        <v>201905209346</v>
      </c>
      <c r="F88" t="str">
        <f>"MAIL CHIMP/PLAQUE REIMBURSEMEN"</f>
        <v>MAIL CHIMP/PLAQUE REIMBURSEMEN</v>
      </c>
      <c r="G88" s="2">
        <v>110</v>
      </c>
      <c r="H88" t="str">
        <f>"MAIL CHIMP/PLAQUE REIMBURSEMEN"</f>
        <v>MAIL CHIMP/PLAQUE REIMBURSEMEN</v>
      </c>
    </row>
    <row r="89" spans="1:8" x14ac:dyDescent="0.25">
      <c r="A89" t="s">
        <v>19</v>
      </c>
      <c r="B89">
        <v>82057</v>
      </c>
      <c r="C89" s="2">
        <v>2374.9699999999998</v>
      </c>
      <c r="D89" s="1">
        <v>43598</v>
      </c>
      <c r="E89" t="str">
        <f>"6551808"</f>
        <v>6551808</v>
      </c>
      <c r="F89" t="str">
        <f>"CUST#17295/PCT#3"</f>
        <v>CUST#17295/PCT#3</v>
      </c>
      <c r="G89" s="2">
        <v>1386.07</v>
      </c>
      <c r="H89" t="str">
        <f>"CUST#17295/PCT#3"</f>
        <v>CUST#17295/PCT#3</v>
      </c>
    </row>
    <row r="90" spans="1:8" x14ac:dyDescent="0.25">
      <c r="E90" t="str">
        <f>"6554817"</f>
        <v>6554817</v>
      </c>
      <c r="F90" t="str">
        <f>"CUST#17295/PARTS/PCT#3"</f>
        <v>CUST#17295/PARTS/PCT#3</v>
      </c>
      <c r="G90" s="2">
        <v>988.9</v>
      </c>
      <c r="H90" t="str">
        <f>"CUST#17295/PARTS/PCT#3"</f>
        <v>CUST#17295/PARTS/PCT#3</v>
      </c>
    </row>
    <row r="91" spans="1:8" x14ac:dyDescent="0.25">
      <c r="A91" t="s">
        <v>20</v>
      </c>
      <c r="B91">
        <v>790</v>
      </c>
      <c r="C91" s="2">
        <v>850</v>
      </c>
      <c r="D91" s="1">
        <v>43599</v>
      </c>
      <c r="E91" t="str">
        <f>"201904248739"</f>
        <v>201904248739</v>
      </c>
      <c r="F91" t="str">
        <f>"401198.4"</f>
        <v>401198.4</v>
      </c>
      <c r="G91" s="2">
        <v>400</v>
      </c>
      <c r="H91" t="str">
        <f>"401198.4"</f>
        <v>401198.4</v>
      </c>
    </row>
    <row r="92" spans="1:8" x14ac:dyDescent="0.25">
      <c r="E92" t="str">
        <f>"201904248849"</f>
        <v>201904248849</v>
      </c>
      <c r="F92" t="str">
        <f>"BC20180909E"</f>
        <v>BC20180909E</v>
      </c>
      <c r="G92" s="2">
        <v>250</v>
      </c>
      <c r="H92" t="str">
        <f>"BC20180909E"</f>
        <v>BC20180909E</v>
      </c>
    </row>
    <row r="93" spans="1:8" x14ac:dyDescent="0.25">
      <c r="E93" t="str">
        <f>"201905069028"</f>
        <v>201905069028</v>
      </c>
      <c r="F93" t="str">
        <f>"4236377"</f>
        <v>4236377</v>
      </c>
      <c r="G93" s="2">
        <v>100</v>
      </c>
      <c r="H93" t="str">
        <f>"4236377"</f>
        <v>4236377</v>
      </c>
    </row>
    <row r="94" spans="1:8" x14ac:dyDescent="0.25">
      <c r="E94" t="str">
        <f>"201905069029"</f>
        <v>201905069029</v>
      </c>
      <c r="F94" t="str">
        <f>"1116-21"</f>
        <v>1116-21</v>
      </c>
      <c r="G94" s="2">
        <v>100</v>
      </c>
      <c r="H94" t="str">
        <f>"1116-21"</f>
        <v>1116-21</v>
      </c>
    </row>
    <row r="95" spans="1:8" x14ac:dyDescent="0.25">
      <c r="A95" t="s">
        <v>20</v>
      </c>
      <c r="B95">
        <v>853</v>
      </c>
      <c r="C95" s="2">
        <v>250</v>
      </c>
      <c r="D95" s="1">
        <v>43614</v>
      </c>
      <c r="E95" t="str">
        <f>"201905219395"</f>
        <v>201905219395</v>
      </c>
      <c r="F95" t="str">
        <f>"BC20180909E"</f>
        <v>BC20180909E</v>
      </c>
      <c r="G95" s="2">
        <v>250</v>
      </c>
      <c r="H95" t="str">
        <f>"BC20180909E"</f>
        <v>BC20180909E</v>
      </c>
    </row>
    <row r="96" spans="1:8" x14ac:dyDescent="0.25">
      <c r="A96" t="s">
        <v>21</v>
      </c>
      <c r="B96">
        <v>829</v>
      </c>
      <c r="C96" s="2">
        <v>676.56</v>
      </c>
      <c r="D96" s="1">
        <v>43614</v>
      </c>
      <c r="E96" t="str">
        <f>"201905219348"</f>
        <v>201905219348</v>
      </c>
      <c r="F96" t="str">
        <f>"423-5874"</f>
        <v>423-5874</v>
      </c>
      <c r="G96" s="2">
        <v>219.14</v>
      </c>
      <c r="H96" t="str">
        <f>"423-5874"</f>
        <v>423-5874</v>
      </c>
    </row>
    <row r="97" spans="1:8" x14ac:dyDescent="0.25">
      <c r="E97" t="str">
        <f>"201905219422"</f>
        <v>201905219422</v>
      </c>
      <c r="F97" t="str">
        <f>"56 369  56 793"</f>
        <v>56 369  56 793</v>
      </c>
      <c r="G97" s="2">
        <v>338.28</v>
      </c>
      <c r="H97" t="str">
        <f>"56 369  56 793"</f>
        <v>56 369  56 793</v>
      </c>
    </row>
    <row r="98" spans="1:8" x14ac:dyDescent="0.25">
      <c r="E98" t="str">
        <f>"201905219423"</f>
        <v>201905219423</v>
      </c>
      <c r="F98" t="str">
        <f>"18-19221"</f>
        <v>18-19221</v>
      </c>
      <c r="G98" s="2">
        <v>119.14</v>
      </c>
      <c r="H98" t="str">
        <f>"18-19221"</f>
        <v>18-19221</v>
      </c>
    </row>
    <row r="99" spans="1:8" x14ac:dyDescent="0.25">
      <c r="A99" t="s">
        <v>21</v>
      </c>
      <c r="B99">
        <v>82058</v>
      </c>
      <c r="C99" s="2">
        <v>1353.12</v>
      </c>
      <c r="D99" s="1">
        <v>43598</v>
      </c>
      <c r="E99" t="str">
        <f>"201904248751"</f>
        <v>201904248751</v>
      </c>
      <c r="F99" t="str">
        <f>"DCPC-19.039"</f>
        <v>DCPC-19.039</v>
      </c>
      <c r="G99" s="2">
        <v>338.28</v>
      </c>
      <c r="H99" t="str">
        <f>"DCPC-19.039"</f>
        <v>DCPC-19.039</v>
      </c>
    </row>
    <row r="100" spans="1:8" x14ac:dyDescent="0.25">
      <c r="E100" t="str">
        <f>"201905079072"</f>
        <v>201905079072</v>
      </c>
      <c r="F100" t="str">
        <f>"05/02/19 CRIMINAL DOCKET"</f>
        <v>05/02/19 CRIMINAL DOCKET</v>
      </c>
      <c r="G100" s="2">
        <v>338.28</v>
      </c>
      <c r="H100" t="str">
        <f>"05/02/19 CRIMINAL DOCKET"</f>
        <v>05/02/19 CRIMINAL DOCKET</v>
      </c>
    </row>
    <row r="101" spans="1:8" x14ac:dyDescent="0.25">
      <c r="E101" t="str">
        <f>"201905079073"</f>
        <v>201905079073</v>
      </c>
      <c r="F101" t="str">
        <f>"04/22/19 CRIMINAL DOCKET"</f>
        <v>04/22/19 CRIMINAL DOCKET</v>
      </c>
      <c r="G101" s="2">
        <v>338.28</v>
      </c>
      <c r="H101" t="str">
        <f>"04/22/19 CRIMINAL DOCKET"</f>
        <v>04/22/19 CRIMINAL DOCKET</v>
      </c>
    </row>
    <row r="102" spans="1:8" x14ac:dyDescent="0.25">
      <c r="E102" t="str">
        <f>"201905079074"</f>
        <v>201905079074</v>
      </c>
      <c r="F102" t="str">
        <f>"56 411  56 834"</f>
        <v>56 411  56 834</v>
      </c>
      <c r="G102" s="2">
        <v>338.28</v>
      </c>
      <c r="H102" t="str">
        <f>"56 411  56 834"</f>
        <v>56 411  56 834</v>
      </c>
    </row>
    <row r="103" spans="1:8" x14ac:dyDescent="0.25">
      <c r="A103" t="s">
        <v>22</v>
      </c>
      <c r="B103">
        <v>82059</v>
      </c>
      <c r="C103" s="2">
        <v>474</v>
      </c>
      <c r="D103" s="1">
        <v>43598</v>
      </c>
      <c r="E103" t="str">
        <f>"36919"</f>
        <v>36919</v>
      </c>
      <c r="F103" t="str">
        <f>"RENTAL-601 COOL WATER"</f>
        <v>RENTAL-601 COOL WATER</v>
      </c>
      <c r="G103" s="2">
        <v>215</v>
      </c>
      <c r="H103" t="str">
        <f>"RENTAL-601 COOL WATER"</f>
        <v>RENTAL-601 COOL WATER</v>
      </c>
    </row>
    <row r="104" spans="1:8" x14ac:dyDescent="0.25">
      <c r="E104" t="str">
        <f>"36920"</f>
        <v>36920</v>
      </c>
      <c r="F104" t="str">
        <f>"RENTAL-375 RIVERSIDE LAUNCH"</f>
        <v>RENTAL-375 RIVERSIDE LAUNCH</v>
      </c>
      <c r="G104" s="2">
        <v>259</v>
      </c>
      <c r="H104" t="str">
        <f>"RENTAL-375 RIVERSIDE LAUNCH"</f>
        <v>RENTAL-375 RIVERSIDE LAUNCH</v>
      </c>
    </row>
    <row r="105" spans="1:8" x14ac:dyDescent="0.25">
      <c r="A105" t="s">
        <v>23</v>
      </c>
      <c r="B105">
        <v>82060</v>
      </c>
      <c r="C105" s="2">
        <v>400</v>
      </c>
      <c r="D105" s="1">
        <v>43598</v>
      </c>
      <c r="E105" t="str">
        <f>"201905018935"</f>
        <v>201905018935</v>
      </c>
      <c r="F105" t="str">
        <f>"REFUND PLAT APPLICATION FEE"</f>
        <v>REFUND PLAT APPLICATION FEE</v>
      </c>
      <c r="G105" s="2">
        <v>400</v>
      </c>
      <c r="H105" t="str">
        <f>"REFUND PLAT APPLICATION FEE"</f>
        <v>REFUND PLAT APPLICATION FEE</v>
      </c>
    </row>
    <row r="106" spans="1:8" x14ac:dyDescent="0.25">
      <c r="A106" t="s">
        <v>24</v>
      </c>
      <c r="B106">
        <v>768</v>
      </c>
      <c r="C106" s="2">
        <v>3507.87</v>
      </c>
      <c r="D106" s="1">
        <v>43599</v>
      </c>
      <c r="E106" t="str">
        <f>"1H6G-GWW3-4GPM"</f>
        <v>1H6G-GWW3-4GPM</v>
      </c>
      <c r="F106" t="str">
        <f>"Misc. items"</f>
        <v>Misc. items</v>
      </c>
      <c r="G106" s="2">
        <v>1163.53</v>
      </c>
      <c r="H106" t="str">
        <f>"ass. fuse set"</f>
        <v>ass. fuse set</v>
      </c>
    </row>
    <row r="107" spans="1:8" x14ac:dyDescent="0.25">
      <c r="E107" t="str">
        <f>""</f>
        <v/>
      </c>
      <c r="F107" t="str">
        <f>""</f>
        <v/>
      </c>
      <c r="H107" t="str">
        <f>"25 pack of 7.5 amp"</f>
        <v>25 pack of 7.5 amp</v>
      </c>
    </row>
    <row r="108" spans="1:8" x14ac:dyDescent="0.25">
      <c r="E108" t="str">
        <f>""</f>
        <v/>
      </c>
      <c r="F108" t="str">
        <f>""</f>
        <v/>
      </c>
      <c r="H108" t="str">
        <f>"3m 22494 red/white"</f>
        <v>3m 22494 red/white</v>
      </c>
    </row>
    <row r="109" spans="1:8" x14ac:dyDescent="0.25">
      <c r="E109" t="str">
        <f>""</f>
        <v/>
      </c>
      <c r="F109" t="str">
        <f>""</f>
        <v/>
      </c>
      <c r="H109" t="str">
        <f>"Chain Oil"</f>
        <v>Chain Oil</v>
      </c>
    </row>
    <row r="110" spans="1:8" x14ac:dyDescent="0.25">
      <c r="E110" t="str">
        <f>""</f>
        <v/>
      </c>
      <c r="F110" t="str">
        <f>""</f>
        <v/>
      </c>
      <c r="H110" t="str">
        <f>"Nikon Lens"</f>
        <v>Nikon Lens</v>
      </c>
    </row>
    <row r="111" spans="1:8" x14ac:dyDescent="0.25">
      <c r="E111" t="str">
        <f>""</f>
        <v/>
      </c>
      <c r="F111" t="str">
        <f>""</f>
        <v/>
      </c>
      <c r="H111" t="str">
        <f>"Nikon camera Package"</f>
        <v>Nikon camera Package</v>
      </c>
    </row>
    <row r="112" spans="1:8" x14ac:dyDescent="0.25">
      <c r="E112" t="str">
        <f>"1JWG-X4LK-37KK"</f>
        <v>1JWG-X4LK-37KK</v>
      </c>
      <c r="F112" t="str">
        <f>"Heavy-Duty Hose-End Foam"</f>
        <v>Heavy-Duty Hose-End Foam</v>
      </c>
      <c r="G112" s="2">
        <v>107.72</v>
      </c>
      <c r="H112" t="str">
        <f>"Heavy-Duty Hose-End Foam"</f>
        <v>Heavy-Duty Hose-End Foam</v>
      </c>
    </row>
    <row r="113" spans="1:8" x14ac:dyDescent="0.25">
      <c r="E113" t="str">
        <f>""</f>
        <v/>
      </c>
      <c r="F113" t="str">
        <f>""</f>
        <v/>
      </c>
      <c r="H113" t="str">
        <f>"shipping"</f>
        <v>shipping</v>
      </c>
    </row>
    <row r="114" spans="1:8" x14ac:dyDescent="0.25">
      <c r="E114" t="str">
        <f>"1MFT-9KX9-DW4F"</f>
        <v>1MFT-9KX9-DW4F</v>
      </c>
      <c r="F114" t="str">
        <f>"AMAZON CAPITAL SERVICES INC"</f>
        <v>AMAZON CAPITAL SERVICES INC</v>
      </c>
      <c r="G114" s="2">
        <v>188.49</v>
      </c>
      <c r="H114" t="str">
        <f>"Fault Locator"</f>
        <v>Fault Locator</v>
      </c>
    </row>
    <row r="115" spans="1:8" x14ac:dyDescent="0.25">
      <c r="E115" t="str">
        <f>"1PGC-CDFC-DXVH"</f>
        <v>1PGC-CDFC-DXVH</v>
      </c>
      <c r="F115" t="str">
        <f>"AMAZON CAPITAL SERVICES INC"</f>
        <v>AMAZON CAPITAL SERVICES INC</v>
      </c>
      <c r="G115" s="2">
        <v>222.4</v>
      </c>
      <c r="H115" t="str">
        <f>"Fiskars"</f>
        <v>Fiskars</v>
      </c>
    </row>
    <row r="116" spans="1:8" x14ac:dyDescent="0.25">
      <c r="E116" t="str">
        <f>"1WT1-C3KP-4YK4"</f>
        <v>1WT1-C3KP-4YK4</v>
      </c>
      <c r="F116" t="str">
        <f>"order for flash drives"</f>
        <v>order for flash drives</v>
      </c>
      <c r="G116" s="2">
        <v>1671.75</v>
      </c>
      <c r="H116" t="str">
        <f>"16GB"</f>
        <v>16GB</v>
      </c>
    </row>
    <row r="117" spans="1:8" x14ac:dyDescent="0.25">
      <c r="E117" t="str">
        <f>""</f>
        <v/>
      </c>
      <c r="F117" t="str">
        <f>""</f>
        <v/>
      </c>
      <c r="H117" t="str">
        <f>"8GB"</f>
        <v>8GB</v>
      </c>
    </row>
    <row r="118" spans="1:8" x14ac:dyDescent="0.25">
      <c r="E118" t="str">
        <f>"IYWQ-PMMM-HRTM"</f>
        <v>IYWQ-PMMM-HRTM</v>
      </c>
      <c r="F118" t="str">
        <f>"Uniform Shirts"</f>
        <v>Uniform Shirts</v>
      </c>
      <c r="G118" s="2">
        <v>153.97999999999999</v>
      </c>
      <c r="H118" t="str">
        <f>"wrangler XLT"</f>
        <v>wrangler XLT</v>
      </c>
    </row>
    <row r="119" spans="1:8" x14ac:dyDescent="0.25">
      <c r="E119" t="str">
        <f>""</f>
        <v/>
      </c>
      <c r="F119" t="str">
        <f>""</f>
        <v/>
      </c>
      <c r="H119" t="str">
        <f>"shipping"</f>
        <v>shipping</v>
      </c>
    </row>
    <row r="120" spans="1:8" x14ac:dyDescent="0.25">
      <c r="A120" t="s">
        <v>24</v>
      </c>
      <c r="B120">
        <v>836</v>
      </c>
      <c r="C120" s="2">
        <v>599.84</v>
      </c>
      <c r="D120" s="1">
        <v>43614</v>
      </c>
      <c r="E120" t="str">
        <f>"1KND-MTKD-1H34"</f>
        <v>1KND-MTKD-1H34</v>
      </c>
      <c r="F120" t="str">
        <f>"Flash Drives"</f>
        <v>Flash Drives</v>
      </c>
      <c r="G120" s="2">
        <v>331.47</v>
      </c>
      <c r="H120" t="str">
        <f>"Inv# 1KND-MTKD-1H34"</f>
        <v>Inv# 1KND-MTKD-1H34</v>
      </c>
    </row>
    <row r="121" spans="1:8" x14ac:dyDescent="0.25">
      <c r="E121" t="str">
        <f>"1LCT-X36F-PYDR"</f>
        <v>1LCT-X36F-PYDR</v>
      </c>
      <c r="F121" t="str">
        <f>"Spot Lights"</f>
        <v>Spot Lights</v>
      </c>
      <c r="G121" s="2">
        <v>239.39</v>
      </c>
      <c r="H121" t="str">
        <f>"Light"</f>
        <v>Light</v>
      </c>
    </row>
    <row r="122" spans="1:8" x14ac:dyDescent="0.25">
      <c r="E122" t="str">
        <f>""</f>
        <v/>
      </c>
      <c r="F122" t="str">
        <f>""</f>
        <v/>
      </c>
      <c r="H122" t="str">
        <f>"ONE day shipping"</f>
        <v>ONE day shipping</v>
      </c>
    </row>
    <row r="123" spans="1:8" x14ac:dyDescent="0.25">
      <c r="E123" t="str">
        <f>"201905179329"</f>
        <v>201905179329</v>
      </c>
      <c r="F123" t="str">
        <f>"Desk Organizer"</f>
        <v>Desk Organizer</v>
      </c>
      <c r="G123" s="2">
        <v>28.98</v>
      </c>
      <c r="H123" t="str">
        <f>"Desk Organizer"</f>
        <v>Desk Organizer</v>
      </c>
    </row>
    <row r="124" spans="1:8" x14ac:dyDescent="0.25">
      <c r="E124" t="str">
        <f>""</f>
        <v/>
      </c>
      <c r="F124" t="str">
        <f>""</f>
        <v/>
      </c>
      <c r="H124" t="str">
        <f>"Shipping"</f>
        <v>Shipping</v>
      </c>
    </row>
    <row r="125" spans="1:8" x14ac:dyDescent="0.25">
      <c r="A125" t="s">
        <v>25</v>
      </c>
      <c r="B125">
        <v>82294</v>
      </c>
      <c r="C125" s="2">
        <v>25.9</v>
      </c>
      <c r="D125" s="1">
        <v>43613</v>
      </c>
      <c r="E125" t="str">
        <f>"01-191142035"</f>
        <v>01-191142035</v>
      </c>
      <c r="F125" t="str">
        <f>"INV 01-191142035"</f>
        <v>INV 01-191142035</v>
      </c>
      <c r="G125" s="2">
        <v>25.9</v>
      </c>
      <c r="H125" t="str">
        <f>"INV 01-191142035"</f>
        <v>INV 01-191142035</v>
      </c>
    </row>
    <row r="126" spans="1:8" x14ac:dyDescent="0.25">
      <c r="A126" t="s">
        <v>26</v>
      </c>
      <c r="B126">
        <v>82061</v>
      </c>
      <c r="C126" s="2">
        <v>262.62</v>
      </c>
      <c r="D126" s="1">
        <v>43598</v>
      </c>
      <c r="E126" t="str">
        <f>"5345267"</f>
        <v>5345267</v>
      </c>
      <c r="F126" t="str">
        <f>"CUST ID:100074/ORD#1439133/P3"</f>
        <v>CUST ID:100074/ORD#1439133/P3</v>
      </c>
      <c r="G126" s="2">
        <v>262.62</v>
      </c>
      <c r="H126" t="str">
        <f>"CUST ID:100074/ORD#1439133/P3"</f>
        <v>CUST ID:100074/ORD#1439133/P3</v>
      </c>
    </row>
    <row r="127" spans="1:8" x14ac:dyDescent="0.25">
      <c r="A127" t="s">
        <v>27</v>
      </c>
      <c r="B127">
        <v>82062</v>
      </c>
      <c r="C127" s="2">
        <v>436.04</v>
      </c>
      <c r="D127" s="1">
        <v>43598</v>
      </c>
      <c r="E127" t="str">
        <f>"S121814406"</f>
        <v>S121814406</v>
      </c>
      <c r="F127" t="str">
        <f>"CUST#379865/PCT#2"</f>
        <v>CUST#379865/PCT#2</v>
      </c>
      <c r="G127" s="2">
        <v>436.04</v>
      </c>
      <c r="H127" t="str">
        <f>"CUST#379865/PCT#2"</f>
        <v>CUST#379865/PCT#2</v>
      </c>
    </row>
    <row r="128" spans="1:8" x14ac:dyDescent="0.25">
      <c r="A128" t="s">
        <v>28</v>
      </c>
      <c r="B128">
        <v>82295</v>
      </c>
      <c r="C128" s="2">
        <v>285.93</v>
      </c>
      <c r="D128" s="1">
        <v>43613</v>
      </c>
      <c r="E128" t="str">
        <f>"953761455"</f>
        <v>953761455</v>
      </c>
      <c r="F128" t="str">
        <f>"INV 953761455"</f>
        <v>INV 953761455</v>
      </c>
      <c r="G128" s="2">
        <v>285.93</v>
      </c>
      <c r="H128" t="str">
        <f>"INV 953761455"</f>
        <v>INV 953761455</v>
      </c>
    </row>
    <row r="129" spans="1:8" x14ac:dyDescent="0.25">
      <c r="A129" t="s">
        <v>29</v>
      </c>
      <c r="B129">
        <v>82063</v>
      </c>
      <c r="C129" s="2">
        <v>3886.24</v>
      </c>
      <c r="D129" s="1">
        <v>43598</v>
      </c>
      <c r="E129" t="str">
        <f>"110039"</f>
        <v>110039</v>
      </c>
      <c r="F129" t="str">
        <f>"2019 ED POSTCARDS/POSTAGE"</f>
        <v>2019 ED POSTCARDS/POSTAGE</v>
      </c>
      <c r="G129" s="2">
        <v>3244.91</v>
      </c>
      <c r="H129" t="str">
        <f>"2019 ED POSTCARDS/POSTAGE"</f>
        <v>2019 ED POSTCARDS/POSTAGE</v>
      </c>
    </row>
    <row r="130" spans="1:8" x14ac:dyDescent="0.25">
      <c r="E130" t="str">
        <f>"110108"</f>
        <v>110108</v>
      </c>
      <c r="F130" t="str">
        <f>"WINDOW/REGULAR ENVELOPES"</f>
        <v>WINDOW/REGULAR ENVELOPES</v>
      </c>
      <c r="G130" s="2">
        <v>641.33000000000004</v>
      </c>
      <c r="H130" t="str">
        <f>"WINDOW/REGULAR ENVELOPES"</f>
        <v>WINDOW/REGULAR ENVELOPES</v>
      </c>
    </row>
    <row r="131" spans="1:8" x14ac:dyDescent="0.25">
      <c r="A131" t="s">
        <v>30</v>
      </c>
      <c r="B131">
        <v>805</v>
      </c>
      <c r="C131" s="2">
        <v>4107.9399999999996</v>
      </c>
      <c r="D131" s="1">
        <v>43599</v>
      </c>
      <c r="E131" t="str">
        <f>"201904248740"</f>
        <v>201904248740</v>
      </c>
      <c r="F131" t="str">
        <f>"423-6313  1060-335"</f>
        <v>423-6313  1060-335</v>
      </c>
      <c r="G131" s="2">
        <v>200</v>
      </c>
      <c r="H131" t="str">
        <f>"423-6313  1060-335"</f>
        <v>423-6313  1060-335</v>
      </c>
    </row>
    <row r="132" spans="1:8" x14ac:dyDescent="0.25">
      <c r="E132" t="str">
        <f>"201904248741"</f>
        <v>201904248741</v>
      </c>
      <c r="F132" t="str">
        <f>"C18-0024"</f>
        <v>C18-0024</v>
      </c>
      <c r="G132" s="2">
        <v>400</v>
      </c>
      <c r="H132" t="str">
        <f>"C18-0024"</f>
        <v>C18-0024</v>
      </c>
    </row>
    <row r="133" spans="1:8" x14ac:dyDescent="0.25">
      <c r="E133" t="str">
        <f>"201904248742"</f>
        <v>201904248742</v>
      </c>
      <c r="F133" t="str">
        <f>"16 686  16.685"</f>
        <v>16 686  16.685</v>
      </c>
      <c r="G133" s="2">
        <v>600</v>
      </c>
      <c r="H133" t="str">
        <f>"16 686  16.685"</f>
        <v>16 686  16.685</v>
      </c>
    </row>
    <row r="134" spans="1:8" x14ac:dyDescent="0.25">
      <c r="E134" t="str">
        <f>"201904248780"</f>
        <v>201904248780</v>
      </c>
      <c r="F134" t="str">
        <f>"NO CAUSE # LISTED-JV CHILD"</f>
        <v>NO CAUSE # LISTED-JV CHILD</v>
      </c>
      <c r="G134" s="2">
        <v>100</v>
      </c>
      <c r="H134" t="str">
        <f>"NO CAUSE # LISTED-JV CHILD"</f>
        <v>NO CAUSE # LISTED-JV CHILD</v>
      </c>
    </row>
    <row r="135" spans="1:8" x14ac:dyDescent="0.25">
      <c r="E135" t="str">
        <f>"201904248813"</f>
        <v>201904248813</v>
      </c>
      <c r="F135" t="str">
        <f>"19-19566"</f>
        <v>19-19566</v>
      </c>
      <c r="G135" s="2">
        <v>100</v>
      </c>
      <c r="H135" t="str">
        <f>"19-19566"</f>
        <v>19-19566</v>
      </c>
    </row>
    <row r="136" spans="1:8" x14ac:dyDescent="0.25">
      <c r="E136" t="str">
        <f>"201904248814"</f>
        <v>201904248814</v>
      </c>
      <c r="F136" t="str">
        <f>"14-16896"</f>
        <v>14-16896</v>
      </c>
      <c r="G136" s="2">
        <v>752.64</v>
      </c>
      <c r="H136" t="str">
        <f>"14-16896"</f>
        <v>14-16896</v>
      </c>
    </row>
    <row r="137" spans="1:8" x14ac:dyDescent="0.25">
      <c r="E137" t="str">
        <f>"201904248815"</f>
        <v>201904248815</v>
      </c>
      <c r="F137" t="str">
        <f>"18-18966"</f>
        <v>18-18966</v>
      </c>
      <c r="G137" s="2">
        <v>265</v>
      </c>
      <c r="H137" t="str">
        <f>"18-18966"</f>
        <v>18-18966</v>
      </c>
    </row>
    <row r="138" spans="1:8" x14ac:dyDescent="0.25">
      <c r="E138" t="str">
        <f>"201904248816"</f>
        <v>201904248816</v>
      </c>
      <c r="F138" t="str">
        <f>"18-19142"</f>
        <v>18-19142</v>
      </c>
      <c r="G138" s="2">
        <v>137.5</v>
      </c>
      <c r="H138" t="str">
        <f>"18-19142"</f>
        <v>18-19142</v>
      </c>
    </row>
    <row r="139" spans="1:8" x14ac:dyDescent="0.25">
      <c r="E139" t="str">
        <f>"201904248817"</f>
        <v>201904248817</v>
      </c>
      <c r="F139" t="str">
        <f>"18-18876"</f>
        <v>18-18876</v>
      </c>
      <c r="G139" s="2">
        <v>727.8</v>
      </c>
      <c r="H139" t="str">
        <f>"18-18876"</f>
        <v>18-18876</v>
      </c>
    </row>
    <row r="140" spans="1:8" x14ac:dyDescent="0.25">
      <c r="E140" t="str">
        <f>"201904248851"</f>
        <v>201904248851</v>
      </c>
      <c r="F140" t="str">
        <f>"311172018D"</f>
        <v>311172018D</v>
      </c>
      <c r="G140" s="2">
        <v>125</v>
      </c>
      <c r="H140" t="str">
        <f>"311172018D"</f>
        <v>311172018D</v>
      </c>
    </row>
    <row r="141" spans="1:8" x14ac:dyDescent="0.25">
      <c r="E141" t="str">
        <f>"201904268870"</f>
        <v>201904268870</v>
      </c>
      <c r="F141" t="str">
        <f>"16 544  DCPC-18-107"</f>
        <v>16 544  DCPC-18-107</v>
      </c>
      <c r="G141" s="2">
        <v>600</v>
      </c>
      <c r="H141" t="str">
        <f>"16 544  DCPC-18-107"</f>
        <v>16 544  DCPC-18-107</v>
      </c>
    </row>
    <row r="142" spans="1:8" x14ac:dyDescent="0.25">
      <c r="E142" t="str">
        <f>"201905079146"</f>
        <v>201905079146</v>
      </c>
      <c r="F142" t="str">
        <f>"NO CAUSE # LISTED"</f>
        <v>NO CAUSE # LISTED</v>
      </c>
      <c r="G142" s="2">
        <v>100</v>
      </c>
      <c r="H142" t="str">
        <f>"NO CAUSE # LISTED"</f>
        <v>NO CAUSE # LISTED</v>
      </c>
    </row>
    <row r="143" spans="1:8" x14ac:dyDescent="0.25">
      <c r="A143" t="s">
        <v>30</v>
      </c>
      <c r="B143">
        <v>864</v>
      </c>
      <c r="C143" s="2">
        <v>3650</v>
      </c>
      <c r="D143" s="1">
        <v>43614</v>
      </c>
      <c r="E143" t="str">
        <f>"201905159280"</f>
        <v>201905159280</v>
      </c>
      <c r="F143" t="str">
        <f>"16 228"</f>
        <v>16 228</v>
      </c>
      <c r="G143" s="2">
        <v>400</v>
      </c>
      <c r="H143" t="str">
        <f>"16 228"</f>
        <v>16 228</v>
      </c>
    </row>
    <row r="144" spans="1:8" x14ac:dyDescent="0.25">
      <c r="E144" t="str">
        <f>"201905159281"</f>
        <v>201905159281</v>
      </c>
      <c r="F144" t="str">
        <f>"423-6501/1138-335/1135-21/1139"</f>
        <v>423-6501/1138-335/1135-21/1139</v>
      </c>
      <c r="G144" s="2">
        <v>400</v>
      </c>
      <c r="H144" t="str">
        <f>"423-6501/1138-335/1135-21/1139"</f>
        <v>423-6501/1138-335/1135-21/1139</v>
      </c>
    </row>
    <row r="145" spans="1:8" x14ac:dyDescent="0.25">
      <c r="E145" t="str">
        <f>"201905169307"</f>
        <v>201905169307</v>
      </c>
      <c r="F145" t="str">
        <f>"16 788"</f>
        <v>16 788</v>
      </c>
      <c r="G145" s="2">
        <v>400</v>
      </c>
      <c r="H145" t="str">
        <f>"16 788"</f>
        <v>16 788</v>
      </c>
    </row>
    <row r="146" spans="1:8" x14ac:dyDescent="0.25">
      <c r="E146" t="str">
        <f>"201905169308"</f>
        <v>201905169308</v>
      </c>
      <c r="F146" t="str">
        <f>"16 739"</f>
        <v>16 739</v>
      </c>
      <c r="G146" s="2">
        <v>600</v>
      </c>
      <c r="H146" t="str">
        <f>"16 739"</f>
        <v>16 739</v>
      </c>
    </row>
    <row r="147" spans="1:8" x14ac:dyDescent="0.25">
      <c r="E147" t="str">
        <f>"201905169309"</f>
        <v>201905169309</v>
      </c>
      <c r="F147" t="str">
        <f>"1141-21"</f>
        <v>1141-21</v>
      </c>
      <c r="G147" s="2">
        <v>200</v>
      </c>
      <c r="H147" t="str">
        <f>"1141-21"</f>
        <v>1141-21</v>
      </c>
    </row>
    <row r="148" spans="1:8" x14ac:dyDescent="0.25">
      <c r="E148" t="str">
        <f>"201905169310"</f>
        <v>201905169310</v>
      </c>
      <c r="F148" t="str">
        <f>"401018-1"</f>
        <v>401018-1</v>
      </c>
      <c r="G148" s="2">
        <v>200</v>
      </c>
      <c r="H148" t="str">
        <f>"401018-1"</f>
        <v>401018-1</v>
      </c>
    </row>
    <row r="149" spans="1:8" x14ac:dyDescent="0.25">
      <c r="E149" t="str">
        <f>"201905169311"</f>
        <v>201905169311</v>
      </c>
      <c r="F149" t="str">
        <f>"16 802  402069-3"</f>
        <v>16 802  402069-3</v>
      </c>
      <c r="G149" s="2">
        <v>600</v>
      </c>
      <c r="H149" t="str">
        <f>"16 802  402069-3"</f>
        <v>16 802  402069-3</v>
      </c>
    </row>
    <row r="150" spans="1:8" x14ac:dyDescent="0.25">
      <c r="E150" t="str">
        <f>"201905219396"</f>
        <v>201905219396</v>
      </c>
      <c r="F150" t="str">
        <f>"304272019H"</f>
        <v>304272019H</v>
      </c>
      <c r="G150" s="2">
        <v>100</v>
      </c>
      <c r="H150" t="str">
        <f>"304272019H"</f>
        <v>304272019H</v>
      </c>
    </row>
    <row r="151" spans="1:8" x14ac:dyDescent="0.25">
      <c r="E151" t="str">
        <f>"201905219405"</f>
        <v>201905219405</v>
      </c>
      <c r="F151" t="str">
        <f>"401017-3"</f>
        <v>401017-3</v>
      </c>
      <c r="G151" s="2">
        <v>250</v>
      </c>
      <c r="H151" t="str">
        <f>"401017-3"</f>
        <v>401017-3</v>
      </c>
    </row>
    <row r="152" spans="1:8" x14ac:dyDescent="0.25">
      <c r="E152" t="str">
        <f>"201905219407"</f>
        <v>201905219407</v>
      </c>
      <c r="F152" t="str">
        <f>"AC-2018-0319"</f>
        <v>AC-2018-0319</v>
      </c>
      <c r="G152" s="2">
        <v>250</v>
      </c>
      <c r="H152" t="str">
        <f>"AC-2018-0319"</f>
        <v>AC-2018-0319</v>
      </c>
    </row>
    <row r="153" spans="1:8" x14ac:dyDescent="0.25">
      <c r="E153" t="str">
        <f>"201905219424"</f>
        <v>201905219424</v>
      </c>
      <c r="F153" t="str">
        <f>"J-3169"</f>
        <v>J-3169</v>
      </c>
      <c r="G153" s="2">
        <v>250</v>
      </c>
      <c r="H153" t="str">
        <f>"J-3169"</f>
        <v>J-3169</v>
      </c>
    </row>
    <row r="154" spans="1:8" x14ac:dyDescent="0.25">
      <c r="A154" t="s">
        <v>31</v>
      </c>
      <c r="B154">
        <v>82064</v>
      </c>
      <c r="C154" s="2">
        <v>313.88</v>
      </c>
      <c r="D154" s="1">
        <v>43598</v>
      </c>
      <c r="E154" t="str">
        <f>"A47163"</f>
        <v>A47163</v>
      </c>
      <c r="F154" t="str">
        <f>"PUSH PULL CABLE/PCT#1"</f>
        <v>PUSH PULL CABLE/PCT#1</v>
      </c>
      <c r="G154" s="2">
        <v>313.88</v>
      </c>
      <c r="H154" t="str">
        <f>"PUSH PULL CABLE/PCT#1"</f>
        <v>PUSH PULL CABLE/PCT#1</v>
      </c>
    </row>
    <row r="155" spans="1:8" x14ac:dyDescent="0.25">
      <c r="A155" t="s">
        <v>32</v>
      </c>
      <c r="B155">
        <v>82065</v>
      </c>
      <c r="C155" s="2">
        <v>348.23</v>
      </c>
      <c r="D155" s="1">
        <v>43598</v>
      </c>
      <c r="E155" t="str">
        <f>"201905069035"</f>
        <v>201905069035</v>
      </c>
      <c r="F155" t="str">
        <f>"ACCT#3-3053/PCT#2"</f>
        <v>ACCT#3-3053/PCT#2</v>
      </c>
      <c r="G155" s="2">
        <v>348.23</v>
      </c>
      <c r="H155" t="str">
        <f>"ACCT#3-3053/PCT#2"</f>
        <v>ACCT#3-3053/PCT#2</v>
      </c>
    </row>
    <row r="156" spans="1:8" x14ac:dyDescent="0.25">
      <c r="A156" t="s">
        <v>33</v>
      </c>
      <c r="B156">
        <v>82066</v>
      </c>
      <c r="C156" s="2">
        <v>952.92</v>
      </c>
      <c r="D156" s="1">
        <v>43598</v>
      </c>
      <c r="E156" t="str">
        <f>"201905018926"</f>
        <v>201905018926</v>
      </c>
      <c r="F156" t="str">
        <f>"ACCT#010238/GENERAL SVCS"</f>
        <v>ACCT#010238/GENERAL SVCS</v>
      </c>
      <c r="G156" s="2">
        <v>117</v>
      </c>
      <c r="H156" t="str">
        <f>"ACCT#010238/GENERAL SVCS"</f>
        <v>ACCT#010238/GENERAL SVCS</v>
      </c>
    </row>
    <row r="157" spans="1:8" x14ac:dyDescent="0.25">
      <c r="E157" t="str">
        <f>"201905018927"</f>
        <v>201905018927</v>
      </c>
      <c r="F157" t="str">
        <f>"ACCT#011955/DISTRICT JUDGE"</f>
        <v>ACCT#011955/DISTRICT JUDGE</v>
      </c>
      <c r="G157" s="2">
        <v>33</v>
      </c>
      <c r="H157" t="str">
        <f>"ACCT#011955/DISTRICT JUDGE"</f>
        <v>ACCT#011955/DISTRICT JUDGE</v>
      </c>
    </row>
    <row r="158" spans="1:8" x14ac:dyDescent="0.25">
      <c r="E158" t="str">
        <f>"201905018928"</f>
        <v>201905018928</v>
      </c>
      <c r="F158" t="str">
        <f>"ACCT#012231/DIST JUDGE"</f>
        <v>ACCT#012231/DIST JUDGE</v>
      </c>
      <c r="G158" s="2">
        <v>10</v>
      </c>
      <c r="H158" t="str">
        <f>"ACCT#012231/DIST JUDGE"</f>
        <v>ACCT#012231/DIST JUDGE</v>
      </c>
    </row>
    <row r="159" spans="1:8" x14ac:dyDescent="0.25">
      <c r="E159" t="str">
        <f>"201905018929"</f>
        <v>201905018929</v>
      </c>
      <c r="F159" t="str">
        <f>"ACCT#015199/JP#1"</f>
        <v>ACCT#015199/JP#1</v>
      </c>
      <c r="G159" s="2">
        <v>19.489999999999998</v>
      </c>
      <c r="H159" t="str">
        <f>"ACCT#015199/JP#1"</f>
        <v>ACCT#015199/JP#1</v>
      </c>
    </row>
    <row r="160" spans="1:8" x14ac:dyDescent="0.25">
      <c r="E160" t="str">
        <f>"201905018930"</f>
        <v>201905018930</v>
      </c>
      <c r="F160" t="str">
        <f>"ACCT#015538/EMER COMM"</f>
        <v>ACCT#015538/EMER COMM</v>
      </c>
      <c r="G160" s="2">
        <v>188.98</v>
      </c>
      <c r="H160" t="str">
        <f>"ACCT#015538/EMER COMM"</f>
        <v>ACCT#015538/EMER COMM</v>
      </c>
    </row>
    <row r="161" spans="5:8" x14ac:dyDescent="0.25">
      <c r="E161" t="str">
        <f>"201905018931"</f>
        <v>201905018931</v>
      </c>
      <c r="F161" t="str">
        <f>"ACCT#011280/COUNTY CLERK"</f>
        <v>ACCT#011280/COUNTY CLERK</v>
      </c>
      <c r="G161" s="2">
        <v>46.5</v>
      </c>
      <c r="H161" t="str">
        <f>"ACCT#011280/COUNTY CLERK"</f>
        <v>ACCT#011280/COUNTY CLERK</v>
      </c>
    </row>
    <row r="162" spans="5:8" x14ac:dyDescent="0.25">
      <c r="E162" t="str">
        <f>"201905018932"</f>
        <v>201905018932</v>
      </c>
      <c r="F162" t="str">
        <f>"ACCT#010057/AUDITOR"</f>
        <v>ACCT#010057/AUDITOR</v>
      </c>
      <c r="G162" s="2">
        <v>61.5</v>
      </c>
      <c r="H162" t="str">
        <f>"ACCT#010057/AUDITOR"</f>
        <v>ACCT#010057/AUDITOR</v>
      </c>
    </row>
    <row r="163" spans="5:8" x14ac:dyDescent="0.25">
      <c r="E163" t="str">
        <f>"201905018933"</f>
        <v>201905018933</v>
      </c>
      <c r="F163" t="str">
        <f>"ACCT#014877/INDIGENT HEALTH"</f>
        <v>ACCT#014877/INDIGENT HEALTH</v>
      </c>
      <c r="G163" s="2">
        <v>41.99</v>
      </c>
      <c r="H163" t="str">
        <f>"ACCT#014877/INDIGENT HEALTH"</f>
        <v>ACCT#014877/INDIGENT HEALTH</v>
      </c>
    </row>
    <row r="164" spans="5:8" x14ac:dyDescent="0.25">
      <c r="E164" t="str">
        <f>"201905018937"</f>
        <v>201905018937</v>
      </c>
      <c r="F164" t="str">
        <f>"ACCT#012259/DISTRICT CLERK"</f>
        <v>ACCT#012259/DISTRICT CLERK</v>
      </c>
      <c r="G164" s="2">
        <v>69</v>
      </c>
      <c r="H164" t="str">
        <f>"ACCT#012259/DISTRICT CLERK"</f>
        <v>ACCT#012259/DISTRICT CLERK</v>
      </c>
    </row>
    <row r="165" spans="5:8" x14ac:dyDescent="0.25">
      <c r="E165" t="str">
        <f>"201905018938"</f>
        <v>201905018938</v>
      </c>
      <c r="F165" t="str">
        <f>"ACCT#011033/IT DEPT"</f>
        <v>ACCT#011033/IT DEPT</v>
      </c>
      <c r="G165" s="2">
        <v>52.5</v>
      </c>
      <c r="H165" t="str">
        <f>"ACCT#011033/IT DEPT"</f>
        <v>ACCT#011033/IT DEPT</v>
      </c>
    </row>
    <row r="166" spans="5:8" x14ac:dyDescent="0.25">
      <c r="E166" t="str">
        <f>"201905028939"</f>
        <v>201905028939</v>
      </c>
      <c r="F166" t="str">
        <f>"ACCT#010835/COMMISSIONERS PCT1"</f>
        <v>ACCT#010835/COMMISSIONERS PCT1</v>
      </c>
      <c r="G166" s="2">
        <v>38.99</v>
      </c>
      <c r="H166" t="str">
        <f>"ACCT#010835/COMMISSIONERS PCT1"</f>
        <v>ACCT#010835/COMMISSIONERS PCT1</v>
      </c>
    </row>
    <row r="167" spans="5:8" x14ac:dyDescent="0.25">
      <c r="E167" t="str">
        <f>"201905028950"</f>
        <v>201905028950</v>
      </c>
      <c r="F167" t="str">
        <f>"ACCT#012260/DA'S OFFICE"</f>
        <v>ACCT#012260/DA'S OFFICE</v>
      </c>
      <c r="G167" s="2">
        <v>52.5</v>
      </c>
      <c r="H167" t="str">
        <f>"ACCT#012260/DA'S OFFICE"</f>
        <v>ACCT#012260/DA'S OFFICE</v>
      </c>
    </row>
    <row r="168" spans="5:8" x14ac:dyDescent="0.25">
      <c r="E168" t="str">
        <f>"201905039023"</f>
        <v>201905039023</v>
      </c>
      <c r="F168" t="str">
        <f>"ACCT#010311/COUNTY CT AT LAW"</f>
        <v>ACCT#010311/COUNTY CT AT LAW</v>
      </c>
      <c r="G168" s="2">
        <v>9</v>
      </c>
      <c r="H168" t="str">
        <f>"ACCT#010311/COUNTY CT AT LAW"</f>
        <v>ACCT#010311/COUNTY CT AT LAW</v>
      </c>
    </row>
    <row r="169" spans="5:8" x14ac:dyDescent="0.25">
      <c r="E169" t="str">
        <f>"201905069039"</f>
        <v>201905069039</v>
      </c>
      <c r="F169" t="str">
        <f>"ACCT#010602/COMMISSIONER'S OFF"</f>
        <v>ACCT#010602/COMMISSIONER'S OFF</v>
      </c>
      <c r="G169" s="2">
        <v>46.5</v>
      </c>
      <c r="H169" t="str">
        <f>"ACCT#010602/COMMISSIONER'S OFF"</f>
        <v>ACCT#010602/COMMISSIONER'S OFF</v>
      </c>
    </row>
    <row r="170" spans="5:8" x14ac:dyDescent="0.25">
      <c r="E170" t="str">
        <f>"201905069048"</f>
        <v>201905069048</v>
      </c>
      <c r="F170" t="str">
        <f>"ACCT#012571/TREASURER"</f>
        <v>ACCT#012571/TREASURER</v>
      </c>
      <c r="G170" s="2">
        <v>24</v>
      </c>
      <c r="H170" t="str">
        <f>"ACCT#012571/TREASURER"</f>
        <v>ACCT#012571/TREASURER</v>
      </c>
    </row>
    <row r="171" spans="5:8" x14ac:dyDescent="0.25">
      <c r="E171" t="str">
        <f>"201905069049"</f>
        <v>201905069049</v>
      </c>
      <c r="F171" t="str">
        <f>"ACCT#012803/JUDGE"</f>
        <v>ACCT#012803/JUDGE</v>
      </c>
      <c r="G171" s="2">
        <v>9</v>
      </c>
      <c r="H171" t="str">
        <f>"ACCT#012803/JUDGE"</f>
        <v>ACCT#012803/JUDGE</v>
      </c>
    </row>
    <row r="172" spans="5:8" x14ac:dyDescent="0.25">
      <c r="E172" t="str">
        <f>"201905069052"</f>
        <v>201905069052</v>
      </c>
      <c r="F172" t="str">
        <f>"ACCT#011474/ELECTIONS"</f>
        <v>ACCT#011474/ELECTIONS</v>
      </c>
      <c r="G172" s="2">
        <v>32.5</v>
      </c>
      <c r="H172" t="str">
        <f>"ACCT#011474/ELECTIONS"</f>
        <v>ACCT#011474/ELECTIONS</v>
      </c>
    </row>
    <row r="173" spans="5:8" x14ac:dyDescent="0.25">
      <c r="E173" t="str">
        <f>"201905089180"</f>
        <v>201905089180</v>
      </c>
      <c r="F173" t="str">
        <f>"ACCT#015476/PURCHASING DEPT"</f>
        <v>ACCT#015476/PURCHASING DEPT</v>
      </c>
      <c r="G173" s="2">
        <v>10.49</v>
      </c>
      <c r="H173" t="str">
        <f>"ACCT#015476/PURCHASING DEPT"</f>
        <v>ACCT#015476/PURCHASING DEPT</v>
      </c>
    </row>
    <row r="174" spans="5:8" x14ac:dyDescent="0.25">
      <c r="E174" t="str">
        <f>"201905089181"</f>
        <v>201905089181</v>
      </c>
      <c r="F174" t="str">
        <f>"ACCT#013393/HUMAN RESOURCES"</f>
        <v>ACCT#013393/HUMAN RESOURCES</v>
      </c>
      <c r="G174" s="2">
        <v>25</v>
      </c>
      <c r="H174" t="str">
        <f>"ACCT#013393/HUMAN RESOURCES"</f>
        <v>ACCT#013393/HUMAN RESOURCES</v>
      </c>
    </row>
    <row r="175" spans="5:8" x14ac:dyDescent="0.25">
      <c r="E175" t="str">
        <f>"201905089182"</f>
        <v>201905089182</v>
      </c>
      <c r="F175" t="str">
        <f>"ACCT#014737/ANIMAL SERVICE"</f>
        <v>ACCT#014737/ANIMAL SERVICE</v>
      </c>
      <c r="G175" s="2">
        <v>23.49</v>
      </c>
      <c r="H175" t="str">
        <f>"ACCT#014737/ANIMAL SERVICE"</f>
        <v>ACCT#014737/ANIMAL SERVICE</v>
      </c>
    </row>
    <row r="176" spans="5:8" x14ac:dyDescent="0.25">
      <c r="E176" t="str">
        <f>"201905089209"</f>
        <v>201905089209</v>
      </c>
      <c r="F176" t="str">
        <f>"ACCT#010149/AGRI LIFE EXT"</f>
        <v>ACCT#010149/AGRI LIFE EXT</v>
      </c>
      <c r="G176" s="2">
        <v>41.49</v>
      </c>
      <c r="H176" t="str">
        <f>"ACCT#010149/AGRI LIFE EXT"</f>
        <v>ACCT#010149/AGRI LIFE EXT</v>
      </c>
    </row>
    <row r="177" spans="1:8" x14ac:dyDescent="0.25">
      <c r="A177" t="s">
        <v>34</v>
      </c>
      <c r="B177">
        <v>82038</v>
      </c>
      <c r="C177" s="2">
        <v>1382.29</v>
      </c>
      <c r="D177" s="1">
        <v>43586</v>
      </c>
      <c r="E177" t="str">
        <f>"201904308895"</f>
        <v>201904308895</v>
      </c>
      <c r="F177" t="str">
        <f>"ACCT#0102120801 / 05012019"</f>
        <v>ACCT#0102120801 / 05012019</v>
      </c>
      <c r="G177" s="2">
        <v>137.72999999999999</v>
      </c>
      <c r="H177" t="str">
        <f>"ACCT#0102120801 / 05012019"</f>
        <v>ACCT#0102120801 / 05012019</v>
      </c>
    </row>
    <row r="178" spans="1:8" x14ac:dyDescent="0.25">
      <c r="E178" t="str">
        <f>"201904308896"</f>
        <v>201904308896</v>
      </c>
      <c r="F178" t="str">
        <f>"ACCT#0201855301 / 05012019"</f>
        <v>ACCT#0201855301 / 05012019</v>
      </c>
      <c r="G178" s="2">
        <v>36.11</v>
      </c>
      <c r="H178" t="str">
        <f>"ACCT#0201855301 / 05012019"</f>
        <v>ACCT#0201855301 / 05012019</v>
      </c>
    </row>
    <row r="179" spans="1:8" x14ac:dyDescent="0.25">
      <c r="E179" t="str">
        <f>"201904308897"</f>
        <v>201904308897</v>
      </c>
      <c r="F179" t="str">
        <f>"ACCT#0201891401 / 05012019"</f>
        <v>ACCT#0201891401 / 05012019</v>
      </c>
      <c r="G179" s="2">
        <v>174.12</v>
      </c>
      <c r="H179" t="str">
        <f>"ACCT#0201891401 / 05012019"</f>
        <v>ACCT#0201891401 / 05012019</v>
      </c>
    </row>
    <row r="180" spans="1:8" x14ac:dyDescent="0.25">
      <c r="E180" t="str">
        <f>"201904308898"</f>
        <v>201904308898</v>
      </c>
      <c r="F180" t="str">
        <f>"ACCT#0400785803 / 05012019"</f>
        <v>ACCT#0400785803 / 05012019</v>
      </c>
      <c r="G180" s="2">
        <v>291.20999999999998</v>
      </c>
      <c r="H180" t="str">
        <f>"ACCT#0400785803 / 05012019"</f>
        <v>ACCT#0400785803 / 05012019</v>
      </c>
    </row>
    <row r="181" spans="1:8" x14ac:dyDescent="0.25">
      <c r="E181" t="str">
        <f>"201904308899"</f>
        <v>201904308899</v>
      </c>
      <c r="F181" t="str">
        <f>"ACCT#0401408501 / 05012019"</f>
        <v>ACCT#0401408501 / 05012019</v>
      </c>
      <c r="G181" s="2">
        <v>701.98</v>
      </c>
      <c r="H181" t="str">
        <f>"ACCT#0401408501 / 05012019"</f>
        <v>ACCT#0401408501 / 05012019</v>
      </c>
    </row>
    <row r="182" spans="1:8" x14ac:dyDescent="0.25">
      <c r="E182" t="str">
        <f>"201904308900"</f>
        <v>201904308900</v>
      </c>
      <c r="F182" t="str">
        <f>"ACCT#0800042801 / 05012019"</f>
        <v>ACCT#0800042801 / 05012019</v>
      </c>
      <c r="G182" s="2">
        <v>41.14</v>
      </c>
      <c r="H182" t="str">
        <f>"ACCT#0800042801 / 05012019"</f>
        <v>ACCT#0800042801 / 05012019</v>
      </c>
    </row>
    <row r="183" spans="1:8" x14ac:dyDescent="0.25">
      <c r="A183" t="s">
        <v>34</v>
      </c>
      <c r="B183">
        <v>82067</v>
      </c>
      <c r="C183" s="2">
        <v>153.22999999999999</v>
      </c>
      <c r="D183" s="1">
        <v>43598</v>
      </c>
      <c r="E183" t="str">
        <f>"201905079057"</f>
        <v>201905079057</v>
      </c>
      <c r="F183" t="str">
        <f>"ACCT#7700010019/METER#83799902"</f>
        <v>ACCT#7700010019/METER#83799902</v>
      </c>
      <c r="G183" s="2">
        <v>153.22999999999999</v>
      </c>
      <c r="H183" t="str">
        <f>"ACCT#7700010019/METER#83799902"</f>
        <v>ACCT#7700010019/METER#83799902</v>
      </c>
    </row>
    <row r="184" spans="1:8" x14ac:dyDescent="0.25">
      <c r="A184" t="s">
        <v>34</v>
      </c>
      <c r="B184">
        <v>82288</v>
      </c>
      <c r="C184" s="2">
        <v>1113.27</v>
      </c>
      <c r="D184" s="1">
        <v>43607</v>
      </c>
      <c r="E184" t="str">
        <f>"201905229481"</f>
        <v>201905229481</v>
      </c>
      <c r="F184" t="str">
        <f>"ACCT#0400785803 / 06012019"</f>
        <v>ACCT#0400785803 / 06012019</v>
      </c>
      <c r="G184" s="2">
        <v>290.93</v>
      </c>
      <c r="H184" t="str">
        <f>"ACCT#0400785803 / 06012019"</f>
        <v>ACCT#0400785803 / 06012019</v>
      </c>
    </row>
    <row r="185" spans="1:8" x14ac:dyDescent="0.25">
      <c r="E185" t="str">
        <f>"201905229482"</f>
        <v>201905229482</v>
      </c>
      <c r="F185" t="str">
        <f>"ACCT#0401408501 / 06012019"</f>
        <v>ACCT#0401408501 / 06012019</v>
      </c>
      <c r="G185" s="2">
        <v>721.87</v>
      </c>
      <c r="H185" t="str">
        <f>"ACCT#0401408501 / 06012019"</f>
        <v>ACCT#0401408501 / 06012019</v>
      </c>
    </row>
    <row r="186" spans="1:8" x14ac:dyDescent="0.25">
      <c r="E186" t="str">
        <f>"201905229483"</f>
        <v>201905229483</v>
      </c>
      <c r="F186" t="str">
        <f>"ACCT#0800042801 / 06012019"</f>
        <v>ACCT#0800042801 / 06012019</v>
      </c>
      <c r="G186" s="2">
        <v>43.85</v>
      </c>
      <c r="H186" t="str">
        <f>"ACCT#0800042801 / 06012019"</f>
        <v>ACCT#0800042801 / 06012019</v>
      </c>
    </row>
    <row r="187" spans="1:8" x14ac:dyDescent="0.25">
      <c r="E187" t="str">
        <f>"201905229484"</f>
        <v>201905229484</v>
      </c>
      <c r="F187" t="str">
        <f>"ACCT#0102120801 / 06012019"</f>
        <v>ACCT#0102120801 / 06012019</v>
      </c>
      <c r="G187" s="2">
        <v>56.62</v>
      </c>
      <c r="H187" t="str">
        <f>"ACCT#0102120801 / 06012019"</f>
        <v>ACCT#0102120801 / 06012019</v>
      </c>
    </row>
    <row r="188" spans="1:8" x14ac:dyDescent="0.25">
      <c r="A188" t="s">
        <v>34</v>
      </c>
      <c r="B188">
        <v>82296</v>
      </c>
      <c r="C188" s="2">
        <v>80.56</v>
      </c>
      <c r="D188" s="1">
        <v>43613</v>
      </c>
      <c r="E188" t="str">
        <f>"201905159277"</f>
        <v>201905159277</v>
      </c>
      <c r="F188" t="str">
        <f>"ACCT#7700010025/16 000 GAL/P2"</f>
        <v>ACCT#7700010025/16 000 GAL/P2</v>
      </c>
      <c r="G188" s="2">
        <v>80.56</v>
      </c>
      <c r="H188" t="str">
        <f>"ACCT#7700010025/16 000 GAL/P2"</f>
        <v>ACCT#7700010025/16 000 GAL/P2</v>
      </c>
    </row>
    <row r="189" spans="1:8" x14ac:dyDescent="0.25">
      <c r="A189" t="s">
        <v>34</v>
      </c>
      <c r="B189">
        <v>82438</v>
      </c>
      <c r="C189" s="2">
        <v>55.97</v>
      </c>
      <c r="D189" s="1">
        <v>43616</v>
      </c>
      <c r="E189" t="str">
        <f>"201905319528"</f>
        <v>201905319528</v>
      </c>
      <c r="F189" t="str">
        <f>"ACCT#0201855301 / 06052019"</f>
        <v>ACCT#0201855301 / 06052019</v>
      </c>
      <c r="G189" s="2">
        <v>30.69</v>
      </c>
      <c r="H189" t="str">
        <f>"ACCT#0201855301 / 06052019"</f>
        <v>ACCT#0201855301 / 06052019</v>
      </c>
    </row>
    <row r="190" spans="1:8" x14ac:dyDescent="0.25">
      <c r="E190" t="str">
        <f>"201905319529"</f>
        <v>201905319529</v>
      </c>
      <c r="F190" t="str">
        <f>"ACCT#0201891401 / 06052019"</f>
        <v>ACCT#0201891401 / 06052019</v>
      </c>
      <c r="G190" s="2">
        <v>25.28</v>
      </c>
      <c r="H190" t="str">
        <f>"ACCT#0201891401 / 06052019"</f>
        <v>ACCT#0201891401 / 06052019</v>
      </c>
    </row>
    <row r="191" spans="1:8" x14ac:dyDescent="0.25">
      <c r="A191" t="s">
        <v>35</v>
      </c>
      <c r="B191">
        <v>82297</v>
      </c>
      <c r="C191" s="2">
        <v>275</v>
      </c>
      <c r="D191" s="1">
        <v>43613</v>
      </c>
      <c r="E191" t="str">
        <f>"2019-5902"</f>
        <v>2019-5902</v>
      </c>
      <c r="F191" t="str">
        <f>"ANNUAL CONF-MARK MEUTH"</f>
        <v>ANNUAL CONF-MARK MEUTH</v>
      </c>
      <c r="G191" s="2">
        <v>275</v>
      </c>
      <c r="H191" t="str">
        <f>"ANNUAL CONF-MARK MEUTH"</f>
        <v>ANNUAL CONF-MARK MEUTH</v>
      </c>
    </row>
    <row r="192" spans="1:8" x14ac:dyDescent="0.25">
      <c r="A192" t="s">
        <v>36</v>
      </c>
      <c r="B192">
        <v>757</v>
      </c>
      <c r="C192" s="2">
        <v>25477.47</v>
      </c>
      <c r="D192" s="1">
        <v>43599</v>
      </c>
      <c r="E192" t="str">
        <f>"14856"</f>
        <v>14856</v>
      </c>
      <c r="F192" t="str">
        <f>"BC APRIL ADV"</f>
        <v>BC APRIL ADV</v>
      </c>
      <c r="G192" s="2">
        <v>19777.47</v>
      </c>
      <c r="H192" t="str">
        <f>"BC APRIL ADV"</f>
        <v>BC APRIL ADV</v>
      </c>
    </row>
    <row r="193" spans="1:8" x14ac:dyDescent="0.25">
      <c r="E193" t="str">
        <f>"14857"</f>
        <v>14857</v>
      </c>
      <c r="F193" t="str">
        <f>"PROJ NAME:BC APRIL PRO SERV"</f>
        <v>PROJ NAME:BC APRIL PRO SERV</v>
      </c>
      <c r="G193" s="2">
        <v>5700</v>
      </c>
      <c r="H193" t="str">
        <f>"PROJ NAME:BC APRIL PRO SERV"</f>
        <v>PROJ NAME:BC APRIL PRO SERV</v>
      </c>
    </row>
    <row r="194" spans="1:8" x14ac:dyDescent="0.25">
      <c r="A194" t="s">
        <v>37</v>
      </c>
      <c r="B194">
        <v>82298</v>
      </c>
      <c r="C194" s="2">
        <v>62.95</v>
      </c>
      <c r="D194" s="1">
        <v>43613</v>
      </c>
      <c r="E194" t="str">
        <f>"PSO076551-2"</f>
        <v>PSO076551-2</v>
      </c>
      <c r="F194" t="str">
        <f>"CUST#BP0014528/PCT#4"</f>
        <v>CUST#BP0014528/PCT#4</v>
      </c>
      <c r="G194" s="2">
        <v>-11.3</v>
      </c>
      <c r="H194" t="str">
        <f>"CUST#BP0014528/PCT#4"</f>
        <v>CUST#BP0014528/PCT#4</v>
      </c>
    </row>
    <row r="195" spans="1:8" x14ac:dyDescent="0.25">
      <c r="E195" t="str">
        <f>"PSO076551-1"</f>
        <v>PSO076551-1</v>
      </c>
      <c r="F195" t="str">
        <f>"CUST#BP0014528/PCT#4"</f>
        <v>CUST#BP0014528/PCT#4</v>
      </c>
      <c r="G195" s="2">
        <v>74.25</v>
      </c>
      <c r="H195" t="str">
        <f>"CUST#BP0014528/PCT#4"</f>
        <v>CUST#BP0014528/PCT#4</v>
      </c>
    </row>
    <row r="196" spans="1:8" x14ac:dyDescent="0.25">
      <c r="A196" t="s">
        <v>38</v>
      </c>
      <c r="B196">
        <v>82068</v>
      </c>
      <c r="C196" s="2">
        <v>178</v>
      </c>
      <c r="D196" s="1">
        <v>43598</v>
      </c>
      <c r="E196" t="str">
        <f>"201905089212"</f>
        <v>201905089212</v>
      </c>
      <c r="F196" t="str">
        <f>"REIMBURSE-CAR WASH"</f>
        <v>REIMBURSE-CAR WASH</v>
      </c>
      <c r="G196" s="2">
        <v>10</v>
      </c>
      <c r="H196" t="str">
        <f>"REIMBURSE-CAR WASH"</f>
        <v>REIMBURSE-CAR WASH</v>
      </c>
    </row>
    <row r="197" spans="1:8" x14ac:dyDescent="0.25">
      <c r="E197" t="str">
        <f>"201905089213"</f>
        <v>201905089213</v>
      </c>
      <c r="F197" t="str">
        <f>"REIMBURSE PER DIEM/GAS"</f>
        <v>REIMBURSE PER DIEM/GAS</v>
      </c>
      <c r="G197" s="2">
        <v>168</v>
      </c>
      <c r="H197" t="str">
        <f>"REIMBURSE PER DIEM/GAS"</f>
        <v>REIMBURSE PER DIEM/GAS</v>
      </c>
    </row>
    <row r="198" spans="1:8" x14ac:dyDescent="0.25">
      <c r="E198" t="str">
        <f>""</f>
        <v/>
      </c>
      <c r="F198" t="str">
        <f>""</f>
        <v/>
      </c>
      <c r="H198" t="str">
        <f>"REIMBURSE PER DIEM/GAS"</f>
        <v>REIMBURSE PER DIEM/GAS</v>
      </c>
    </row>
    <row r="199" spans="1:8" x14ac:dyDescent="0.25">
      <c r="A199" t="s">
        <v>39</v>
      </c>
      <c r="B199">
        <v>82069</v>
      </c>
      <c r="C199" s="2">
        <v>5450.06</v>
      </c>
      <c r="D199" s="1">
        <v>43598</v>
      </c>
      <c r="E199" t="str">
        <f>"201904298884"</f>
        <v>201904298884</v>
      </c>
      <c r="F199" t="str">
        <f>"ACCT#512A49-0048 193 3"</f>
        <v>ACCT#512A49-0048 193 3</v>
      </c>
      <c r="G199" s="2">
        <v>5450.06</v>
      </c>
      <c r="H199" t="str">
        <f>"ACCT#512A49-0048 193 3"</f>
        <v>ACCT#512A49-0048 193 3</v>
      </c>
    </row>
    <row r="200" spans="1:8" x14ac:dyDescent="0.25">
      <c r="E200" t="str">
        <f>""</f>
        <v/>
      </c>
      <c r="F200" t="str">
        <f>""</f>
        <v/>
      </c>
      <c r="H200" t="str">
        <f>"ACCT#512A49-0048 193 3"</f>
        <v>ACCT#512A49-0048 193 3</v>
      </c>
    </row>
    <row r="201" spans="1:8" x14ac:dyDescent="0.25">
      <c r="E201" t="str">
        <f>""</f>
        <v/>
      </c>
      <c r="F201" t="str">
        <f>""</f>
        <v/>
      </c>
      <c r="H201" t="str">
        <f>"ACCT#512A49-0048 193 3"</f>
        <v>ACCT#512A49-0048 193 3</v>
      </c>
    </row>
    <row r="202" spans="1:8" x14ac:dyDescent="0.25">
      <c r="E202" t="str">
        <f>""</f>
        <v/>
      </c>
      <c r="F202" t="str">
        <f>""</f>
        <v/>
      </c>
      <c r="H202" t="str">
        <f>"ACCT#512A49-0048 193 3"</f>
        <v>ACCT#512A49-0048 193 3</v>
      </c>
    </row>
    <row r="203" spans="1:8" x14ac:dyDescent="0.25">
      <c r="A203" t="s">
        <v>39</v>
      </c>
      <c r="B203">
        <v>82299</v>
      </c>
      <c r="C203" s="2">
        <v>1800.29</v>
      </c>
      <c r="D203" s="1">
        <v>43613</v>
      </c>
      <c r="E203" t="str">
        <f>"201905219464"</f>
        <v>201905219464</v>
      </c>
      <c r="F203" t="str">
        <f>"512 303 1080 238 5"</f>
        <v>512 303 1080 238 5</v>
      </c>
      <c r="G203" s="2">
        <v>1800.29</v>
      </c>
      <c r="H203" t="str">
        <f>"512 303 1080 (LE)"</f>
        <v>512 303 1080 (LE)</v>
      </c>
    </row>
    <row r="204" spans="1:8" x14ac:dyDescent="0.25">
      <c r="E204" t="str">
        <f>""</f>
        <v/>
      </c>
      <c r="F204" t="str">
        <f>""</f>
        <v/>
      </c>
      <c r="H204" t="str">
        <f>"512 303 1080 (JAIL)"</f>
        <v>512 303 1080 (JAIL)</v>
      </c>
    </row>
    <row r="205" spans="1:8" x14ac:dyDescent="0.25">
      <c r="A205" t="s">
        <v>40</v>
      </c>
      <c r="B205">
        <v>82070</v>
      </c>
      <c r="C205" s="2">
        <v>4559.32</v>
      </c>
      <c r="D205" s="1">
        <v>43598</v>
      </c>
      <c r="E205" t="str">
        <f>"0642528402"</f>
        <v>0642528402</v>
      </c>
      <c r="F205" t="str">
        <f>"ACCT#831-000-7919 623"</f>
        <v>ACCT#831-000-7919 623</v>
      </c>
      <c r="G205" s="2">
        <v>2000.38</v>
      </c>
      <c r="H205" t="str">
        <f>"ACCT#831-000-7919 623"</f>
        <v>ACCT#831-000-7919 623</v>
      </c>
    </row>
    <row r="206" spans="1:8" x14ac:dyDescent="0.25">
      <c r="E206" t="str">
        <f>"4984507405"</f>
        <v>4984507405</v>
      </c>
      <c r="F206" t="str">
        <f>"ACCT#831-000-6084-095"</f>
        <v>ACCT#831-000-6084-095</v>
      </c>
      <c r="G206" s="2">
        <v>1684.69</v>
      </c>
      <c r="H206" t="str">
        <f>"ACCT#831-000-6084-095"</f>
        <v>ACCT#831-000-6084-095</v>
      </c>
    </row>
    <row r="207" spans="1:8" x14ac:dyDescent="0.25">
      <c r="E207" t="str">
        <f>"7348927409"</f>
        <v>7348927409</v>
      </c>
      <c r="F207" t="str">
        <f>"ACCT#831-000-7218 923"</f>
        <v>ACCT#831-000-7218 923</v>
      </c>
      <c r="G207" s="2">
        <v>874.25</v>
      </c>
      <c r="H207" t="str">
        <f>"ACCT#831-000-7218 923"</f>
        <v>ACCT#831-000-7218 923</v>
      </c>
    </row>
    <row r="208" spans="1:8" x14ac:dyDescent="0.25">
      <c r="A208" t="s">
        <v>40</v>
      </c>
      <c r="B208">
        <v>82071</v>
      </c>
      <c r="C208" s="2">
        <v>1800.14</v>
      </c>
      <c r="D208" s="1">
        <v>43598</v>
      </c>
      <c r="E208" t="str">
        <f>"201905089198"</f>
        <v>201905089198</v>
      </c>
      <c r="F208" t="str">
        <f>"512 303-1080 238 5"</f>
        <v>512 303-1080 238 5</v>
      </c>
      <c r="G208" s="2">
        <v>1800.14</v>
      </c>
      <c r="H208" t="str">
        <f>"512 303-1080 (LE)"</f>
        <v>512 303-1080 (LE)</v>
      </c>
    </row>
    <row r="209" spans="1:8" x14ac:dyDescent="0.25">
      <c r="E209" t="str">
        <f>""</f>
        <v/>
      </c>
      <c r="F209" t="str">
        <f>""</f>
        <v/>
      </c>
      <c r="H209" t="str">
        <f>"512 303-1080 (JAIL)"</f>
        <v>512 303-1080 (JAIL)</v>
      </c>
    </row>
    <row r="210" spans="1:8" x14ac:dyDescent="0.25">
      <c r="A210" t="s">
        <v>41</v>
      </c>
      <c r="B210">
        <v>82072</v>
      </c>
      <c r="C210" s="2">
        <v>9.01</v>
      </c>
      <c r="D210" s="1">
        <v>43598</v>
      </c>
      <c r="E210" t="str">
        <f>"201905089193"</f>
        <v>201905089193</v>
      </c>
      <c r="F210" t="str">
        <f>"INV 287280903541X04202019"</f>
        <v>INV 287280903541X04202019</v>
      </c>
      <c r="G210" s="2">
        <v>9.01</v>
      </c>
      <c r="H210" t="str">
        <f>"INV 287280903541X04202019"</f>
        <v>INV 287280903541X04202019</v>
      </c>
    </row>
    <row r="211" spans="1:8" x14ac:dyDescent="0.25">
      <c r="A211" t="s">
        <v>41</v>
      </c>
      <c r="B211">
        <v>82300</v>
      </c>
      <c r="C211" s="2">
        <v>1609.22</v>
      </c>
      <c r="D211" s="1">
        <v>43613</v>
      </c>
      <c r="E211" t="str">
        <f>"201905219463"</f>
        <v>201905219463</v>
      </c>
      <c r="F211" t="str">
        <f>"287280903541X02202019"</f>
        <v>287280903541X02202019</v>
      </c>
      <c r="G211" s="2">
        <v>226.35</v>
      </c>
      <c r="H211" t="str">
        <f>"287280903541X02202019"</f>
        <v>287280903541X02202019</v>
      </c>
    </row>
    <row r="212" spans="1:8" x14ac:dyDescent="0.25">
      <c r="E212" t="str">
        <f>"28726329164X052019"</f>
        <v>28726329164X052019</v>
      </c>
      <c r="F212" t="str">
        <f>"ACCT#287263291654"</f>
        <v>ACCT#287263291654</v>
      </c>
      <c r="G212" s="2">
        <v>1382.87</v>
      </c>
      <c r="H212" t="str">
        <f t="shared" ref="H212:H227" si="2">"ACCT#287263291654"</f>
        <v>ACCT#287263291654</v>
      </c>
    </row>
    <row r="213" spans="1:8" x14ac:dyDescent="0.25">
      <c r="E213" t="str">
        <f>""</f>
        <v/>
      </c>
      <c r="F213" t="str">
        <f>""</f>
        <v/>
      </c>
      <c r="H213" t="str">
        <f t="shared" si="2"/>
        <v>ACCT#287263291654</v>
      </c>
    </row>
    <row r="214" spans="1:8" x14ac:dyDescent="0.25">
      <c r="E214" t="str">
        <f>""</f>
        <v/>
      </c>
      <c r="F214" t="str">
        <f>""</f>
        <v/>
      </c>
      <c r="H214" t="str">
        <f t="shared" si="2"/>
        <v>ACCT#287263291654</v>
      </c>
    </row>
    <row r="215" spans="1:8" x14ac:dyDescent="0.25">
      <c r="E215" t="str">
        <f>""</f>
        <v/>
      </c>
      <c r="F215" t="str">
        <f>""</f>
        <v/>
      </c>
      <c r="H215" t="str">
        <f t="shared" si="2"/>
        <v>ACCT#287263291654</v>
      </c>
    </row>
    <row r="216" spans="1:8" x14ac:dyDescent="0.25">
      <c r="E216" t="str">
        <f>""</f>
        <v/>
      </c>
      <c r="F216" t="str">
        <f>""</f>
        <v/>
      </c>
      <c r="H216" t="str">
        <f t="shared" si="2"/>
        <v>ACCT#287263291654</v>
      </c>
    </row>
    <row r="217" spans="1:8" x14ac:dyDescent="0.25">
      <c r="E217" t="str">
        <f>""</f>
        <v/>
      </c>
      <c r="F217" t="str">
        <f>""</f>
        <v/>
      </c>
      <c r="H217" t="str">
        <f t="shared" si="2"/>
        <v>ACCT#287263291654</v>
      </c>
    </row>
    <row r="218" spans="1:8" x14ac:dyDescent="0.25">
      <c r="E218" t="str">
        <f>""</f>
        <v/>
      </c>
      <c r="F218" t="str">
        <f>""</f>
        <v/>
      </c>
      <c r="H218" t="str">
        <f t="shared" si="2"/>
        <v>ACCT#287263291654</v>
      </c>
    </row>
    <row r="219" spans="1:8" x14ac:dyDescent="0.25">
      <c r="E219" t="str">
        <f>""</f>
        <v/>
      </c>
      <c r="F219" t="str">
        <f>""</f>
        <v/>
      </c>
      <c r="H219" t="str">
        <f t="shared" si="2"/>
        <v>ACCT#287263291654</v>
      </c>
    </row>
    <row r="220" spans="1:8" x14ac:dyDescent="0.25">
      <c r="E220" t="str">
        <f>""</f>
        <v/>
      </c>
      <c r="F220" t="str">
        <f>""</f>
        <v/>
      </c>
      <c r="H220" t="str">
        <f t="shared" si="2"/>
        <v>ACCT#287263291654</v>
      </c>
    </row>
    <row r="221" spans="1:8" x14ac:dyDescent="0.25">
      <c r="E221" t="str">
        <f>""</f>
        <v/>
      </c>
      <c r="F221" t="str">
        <f>""</f>
        <v/>
      </c>
      <c r="H221" t="str">
        <f t="shared" si="2"/>
        <v>ACCT#287263291654</v>
      </c>
    </row>
    <row r="222" spans="1:8" x14ac:dyDescent="0.25">
      <c r="E222" t="str">
        <f>""</f>
        <v/>
      </c>
      <c r="F222" t="str">
        <f>""</f>
        <v/>
      </c>
      <c r="H222" t="str">
        <f t="shared" si="2"/>
        <v>ACCT#287263291654</v>
      </c>
    </row>
    <row r="223" spans="1:8" x14ac:dyDescent="0.25">
      <c r="E223" t="str">
        <f>""</f>
        <v/>
      </c>
      <c r="F223" t="str">
        <f>""</f>
        <v/>
      </c>
      <c r="H223" t="str">
        <f t="shared" si="2"/>
        <v>ACCT#287263291654</v>
      </c>
    </row>
    <row r="224" spans="1:8" x14ac:dyDescent="0.25">
      <c r="E224" t="str">
        <f>""</f>
        <v/>
      </c>
      <c r="F224" t="str">
        <f>""</f>
        <v/>
      </c>
      <c r="H224" t="str">
        <f t="shared" si="2"/>
        <v>ACCT#287263291654</v>
      </c>
    </row>
    <row r="225" spans="1:8" x14ac:dyDescent="0.25">
      <c r="E225" t="str">
        <f>""</f>
        <v/>
      </c>
      <c r="F225" t="str">
        <f>""</f>
        <v/>
      </c>
      <c r="H225" t="str">
        <f t="shared" si="2"/>
        <v>ACCT#287263291654</v>
      </c>
    </row>
    <row r="226" spans="1:8" x14ac:dyDescent="0.25">
      <c r="E226" t="str">
        <f>""</f>
        <v/>
      </c>
      <c r="F226" t="str">
        <f>""</f>
        <v/>
      </c>
      <c r="H226" t="str">
        <f t="shared" si="2"/>
        <v>ACCT#287263291654</v>
      </c>
    </row>
    <row r="227" spans="1:8" x14ac:dyDescent="0.25">
      <c r="E227" t="str">
        <f>""</f>
        <v/>
      </c>
      <c r="F227" t="str">
        <f>""</f>
        <v/>
      </c>
      <c r="H227" t="str">
        <f t="shared" si="2"/>
        <v>ACCT#287263291654</v>
      </c>
    </row>
    <row r="228" spans="1:8" x14ac:dyDescent="0.25">
      <c r="A228" t="s">
        <v>42</v>
      </c>
      <c r="B228">
        <v>82073</v>
      </c>
      <c r="C228" s="2">
        <v>115.33</v>
      </c>
      <c r="D228" s="1">
        <v>43598</v>
      </c>
      <c r="E228" t="str">
        <f>"201905018924"</f>
        <v>201905018924</v>
      </c>
      <c r="F228" t="str">
        <f>"ACCT#826392401/DPS"</f>
        <v>ACCT#826392401/DPS</v>
      </c>
      <c r="G228" s="2">
        <v>115.33</v>
      </c>
      <c r="H228" t="str">
        <f>"ACCT#826392401/DPS"</f>
        <v>ACCT#826392401/DPS</v>
      </c>
    </row>
    <row r="229" spans="1:8" x14ac:dyDescent="0.25">
      <c r="A229" t="s">
        <v>43</v>
      </c>
      <c r="B229">
        <v>842</v>
      </c>
      <c r="C229" s="2">
        <v>3435</v>
      </c>
      <c r="D229" s="1">
        <v>43614</v>
      </c>
      <c r="E229" t="str">
        <f>"525776"</f>
        <v>525776</v>
      </c>
      <c r="F229" t="str">
        <f>"Motorola Parts"</f>
        <v>Motorola Parts</v>
      </c>
      <c r="G229" s="2">
        <v>3435</v>
      </c>
      <c r="H229" t="str">
        <f>"DSR.B04.LC"</f>
        <v>DSR.B04.LC</v>
      </c>
    </row>
    <row r="230" spans="1:8" x14ac:dyDescent="0.25">
      <c r="E230" t="str">
        <f>""</f>
        <v/>
      </c>
      <c r="F230" t="str">
        <f>""</f>
        <v/>
      </c>
      <c r="H230" t="str">
        <f>"DSR.B23.LC"</f>
        <v>DSR.B23.LC</v>
      </c>
    </row>
    <row r="231" spans="1:8" x14ac:dyDescent="0.25">
      <c r="E231" t="str">
        <f>""</f>
        <v/>
      </c>
      <c r="F231" t="str">
        <f>""</f>
        <v/>
      </c>
      <c r="H231" t="str">
        <f>"PAT.XCY.5C"</f>
        <v>PAT.XCY.5C</v>
      </c>
    </row>
    <row r="232" spans="1:8" x14ac:dyDescent="0.25">
      <c r="E232" t="str">
        <f>""</f>
        <v/>
      </c>
      <c r="F232" t="str">
        <f>""</f>
        <v/>
      </c>
      <c r="H232" t="str">
        <f>"PTT.WDD.5C"</f>
        <v>PTT.WDD.5C</v>
      </c>
    </row>
    <row r="233" spans="1:8" x14ac:dyDescent="0.25">
      <c r="E233" t="str">
        <f>""</f>
        <v/>
      </c>
      <c r="F233" t="str">
        <f>""</f>
        <v/>
      </c>
      <c r="H233" t="str">
        <f>"sHIPPING"</f>
        <v>sHIPPING</v>
      </c>
    </row>
    <row r="234" spans="1:8" x14ac:dyDescent="0.25">
      <c r="A234" t="s">
        <v>44</v>
      </c>
      <c r="B234">
        <v>82074</v>
      </c>
      <c r="C234" s="2">
        <v>934.34</v>
      </c>
      <c r="D234" s="1">
        <v>43598</v>
      </c>
      <c r="E234" t="str">
        <f>"5063206"</f>
        <v>5063206</v>
      </c>
      <c r="F234" t="str">
        <f>"CUST ID:16378/GEN SVC"</f>
        <v>CUST ID:16378/GEN SVC</v>
      </c>
      <c r="G234" s="2">
        <v>934.34</v>
      </c>
      <c r="H234" t="str">
        <f>"CUST ID:16378/GEN SVC"</f>
        <v>CUST ID:16378/GEN SVC</v>
      </c>
    </row>
    <row r="235" spans="1:8" x14ac:dyDescent="0.25">
      <c r="A235" t="s">
        <v>45</v>
      </c>
      <c r="B235">
        <v>82075</v>
      </c>
      <c r="C235" s="2">
        <v>42.41</v>
      </c>
      <c r="D235" s="1">
        <v>43598</v>
      </c>
      <c r="E235" t="str">
        <f>"200189"</f>
        <v>200189</v>
      </c>
      <c r="F235" t="str">
        <f>"INV 200189"</f>
        <v>INV 200189</v>
      </c>
      <c r="G235" s="2">
        <v>42.41</v>
      </c>
      <c r="H235" t="str">
        <f>"INV 200189"</f>
        <v>INV 200189</v>
      </c>
    </row>
    <row r="236" spans="1:8" x14ac:dyDescent="0.25">
      <c r="A236" t="s">
        <v>46</v>
      </c>
      <c r="B236">
        <v>82076</v>
      </c>
      <c r="C236" s="2">
        <v>137.91999999999999</v>
      </c>
      <c r="D236" s="1">
        <v>43598</v>
      </c>
      <c r="E236" t="str">
        <f>"475360"</f>
        <v>475360</v>
      </c>
      <c r="F236" t="str">
        <f>"Ad# 475360"</f>
        <v>Ad# 475360</v>
      </c>
      <c r="G236" s="2">
        <v>137.91999999999999</v>
      </c>
      <c r="H236" t="str">
        <f>"price"</f>
        <v>price</v>
      </c>
    </row>
    <row r="237" spans="1:8" x14ac:dyDescent="0.25">
      <c r="A237" t="s">
        <v>47</v>
      </c>
      <c r="B237">
        <v>82301</v>
      </c>
      <c r="C237" s="2">
        <v>356.12</v>
      </c>
      <c r="D237" s="1">
        <v>43613</v>
      </c>
      <c r="E237" t="str">
        <f>"201905219368"</f>
        <v>201905219368</v>
      </c>
      <c r="F237" t="str">
        <f>"INDIGENT HEALTH"</f>
        <v>INDIGENT HEALTH</v>
      </c>
      <c r="G237" s="2">
        <v>356.12</v>
      </c>
      <c r="H237" t="str">
        <f>"INDIGENT HEALTH"</f>
        <v>INDIGENT HEALTH</v>
      </c>
    </row>
    <row r="238" spans="1:8" x14ac:dyDescent="0.25">
      <c r="A238" t="s">
        <v>48</v>
      </c>
      <c r="B238">
        <v>82077</v>
      </c>
      <c r="C238" s="2">
        <v>900</v>
      </c>
      <c r="D238" s="1">
        <v>43598</v>
      </c>
      <c r="E238" t="str">
        <f>"0415191"</f>
        <v>0415191</v>
      </c>
      <c r="F238" t="str">
        <f>"MOLD ASSESSMENT/SAMPLE/GEN SVC"</f>
        <v>MOLD ASSESSMENT/SAMPLE/GEN SVC</v>
      </c>
      <c r="G238" s="2">
        <v>900</v>
      </c>
      <c r="H238" t="str">
        <f>"MOLD ASSESSMENT/SAMPLE/GEN SVC"</f>
        <v>MOLD ASSESSMENT/SAMPLE/GEN SVC</v>
      </c>
    </row>
    <row r="239" spans="1:8" x14ac:dyDescent="0.25">
      <c r="A239" t="s">
        <v>49</v>
      </c>
      <c r="B239">
        <v>82302</v>
      </c>
      <c r="C239" s="2">
        <v>861.78</v>
      </c>
      <c r="D239" s="1">
        <v>43613</v>
      </c>
      <c r="E239" t="str">
        <f>"201905219369"</f>
        <v>201905219369</v>
      </c>
      <c r="F239" t="str">
        <f>"INDIGENT HEALTH"</f>
        <v>INDIGENT HEALTH</v>
      </c>
      <c r="G239" s="2">
        <v>792.28</v>
      </c>
      <c r="H239" t="str">
        <f>"INDIGENT HEALTH"</f>
        <v>INDIGENT HEALTH</v>
      </c>
    </row>
    <row r="240" spans="1:8" x14ac:dyDescent="0.25">
      <c r="E240" t="str">
        <f>""</f>
        <v/>
      </c>
      <c r="F240" t="str">
        <f>""</f>
        <v/>
      </c>
      <c r="H240" t="str">
        <f>"INDIGENT HEALTH"</f>
        <v>INDIGENT HEALTH</v>
      </c>
    </row>
    <row r="241" spans="1:8" x14ac:dyDescent="0.25">
      <c r="E241" t="str">
        <f>"4521*98039*2"</f>
        <v>4521*98039*2</v>
      </c>
      <c r="F241" t="str">
        <f>"JAIL MEDICAL"</f>
        <v>JAIL MEDICAL</v>
      </c>
      <c r="G241" s="2">
        <v>69.5</v>
      </c>
      <c r="H241" t="str">
        <f>"JAIL MEDICAL"</f>
        <v>JAIL MEDICAL</v>
      </c>
    </row>
    <row r="242" spans="1:8" x14ac:dyDescent="0.25">
      <c r="A242" t="s">
        <v>50</v>
      </c>
      <c r="B242">
        <v>82078</v>
      </c>
      <c r="C242" s="2">
        <v>59.4</v>
      </c>
      <c r="D242" s="1">
        <v>43598</v>
      </c>
      <c r="E242" t="str">
        <f>"149603"</f>
        <v>149603</v>
      </c>
      <c r="F242" t="str">
        <f>"PARTS/PCT#3"</f>
        <v>PARTS/PCT#3</v>
      </c>
      <c r="G242" s="2">
        <v>59.4</v>
      </c>
      <c r="H242" t="str">
        <f>"PARTS/PCT#3"</f>
        <v>PARTS/PCT#3</v>
      </c>
    </row>
    <row r="243" spans="1:8" x14ac:dyDescent="0.25">
      <c r="A243" t="s">
        <v>51</v>
      </c>
      <c r="B243">
        <v>82079</v>
      </c>
      <c r="C243" s="2">
        <v>2400</v>
      </c>
      <c r="D243" s="1">
        <v>43598</v>
      </c>
      <c r="E243" t="str">
        <f>"2120"</f>
        <v>2120</v>
      </c>
      <c r="F243" t="str">
        <f>"MEUTH/ROBERTS HEARING"</f>
        <v>MEUTH/ROBERTS HEARING</v>
      </c>
      <c r="G243" s="2">
        <v>400</v>
      </c>
      <c r="H243" t="str">
        <f>"MEUTH/ROBERTS HEARING"</f>
        <v>MEUTH/ROBERTS HEARING</v>
      </c>
    </row>
    <row r="244" spans="1:8" x14ac:dyDescent="0.25">
      <c r="E244" t="str">
        <f>"2120 #2"</f>
        <v>2120 #2</v>
      </c>
      <c r="F244" t="str">
        <f>"MEUTH/ROBERTS HEARING"</f>
        <v>MEUTH/ROBERTS HEARING</v>
      </c>
      <c r="G244" s="2">
        <v>2000</v>
      </c>
      <c r="H244" t="str">
        <f>"MEUTH/ROBERTS HEARING"</f>
        <v>MEUTH/ROBERTS HEARING</v>
      </c>
    </row>
    <row r="245" spans="1:8" x14ac:dyDescent="0.25">
      <c r="A245" t="s">
        <v>52</v>
      </c>
      <c r="B245">
        <v>82303</v>
      </c>
      <c r="C245" s="2">
        <v>65.42</v>
      </c>
      <c r="D245" s="1">
        <v>43613</v>
      </c>
      <c r="E245" t="str">
        <f>"056352"</f>
        <v>056352</v>
      </c>
      <c r="F245" t="str">
        <f>"INV 056352"</f>
        <v>INV 056352</v>
      </c>
      <c r="G245" s="2">
        <v>40.520000000000003</v>
      </c>
      <c r="H245" t="str">
        <f>"INV 056352"</f>
        <v>INV 056352</v>
      </c>
    </row>
    <row r="246" spans="1:8" x14ac:dyDescent="0.25">
      <c r="E246" t="str">
        <f>"060138"</f>
        <v>060138</v>
      </c>
      <c r="F246" t="str">
        <f>"INV 060138"</f>
        <v>INV 060138</v>
      </c>
      <c r="G246" s="2">
        <v>24.9</v>
      </c>
      <c r="H246" t="str">
        <f>"INV 060138"</f>
        <v>INV 060138</v>
      </c>
    </row>
    <row r="247" spans="1:8" x14ac:dyDescent="0.25">
      <c r="A247" t="s">
        <v>53</v>
      </c>
      <c r="B247">
        <v>772</v>
      </c>
      <c r="C247" s="2">
        <v>8239.64</v>
      </c>
      <c r="D247" s="1">
        <v>43599</v>
      </c>
      <c r="E247" t="str">
        <f>"670"</f>
        <v>670</v>
      </c>
      <c r="F247" t="str">
        <f>"B-GREENER INDUSTRIAL CLEANERS"</f>
        <v>B-GREENER INDUSTRIAL CLEANERS</v>
      </c>
      <c r="G247" s="2">
        <v>6995</v>
      </c>
      <c r="H247" t="str">
        <f>"B-Solved"</f>
        <v>B-Solved</v>
      </c>
    </row>
    <row r="248" spans="1:8" x14ac:dyDescent="0.25">
      <c r="E248" t="str">
        <f>""</f>
        <v/>
      </c>
      <c r="F248" t="str">
        <f>""</f>
        <v/>
      </c>
      <c r="H248" t="str">
        <f>"NO-B Deg"</f>
        <v>NO-B Deg</v>
      </c>
    </row>
    <row r="249" spans="1:8" x14ac:dyDescent="0.25">
      <c r="E249" t="str">
        <f>""</f>
        <v/>
      </c>
      <c r="F249" t="str">
        <f>""</f>
        <v/>
      </c>
      <c r="H249" t="str">
        <f>"BFF Deg"</f>
        <v>BFF Deg</v>
      </c>
    </row>
    <row r="250" spans="1:8" x14ac:dyDescent="0.25">
      <c r="E250" t="str">
        <f>""</f>
        <v/>
      </c>
      <c r="F250" t="str">
        <f>""</f>
        <v/>
      </c>
      <c r="H250" t="str">
        <f>"Shipping"</f>
        <v>Shipping</v>
      </c>
    </row>
    <row r="251" spans="1:8" x14ac:dyDescent="0.25">
      <c r="E251" t="str">
        <f>""</f>
        <v/>
      </c>
      <c r="F251" t="str">
        <f>""</f>
        <v/>
      </c>
      <c r="H251" t="str">
        <f>"Consultation"</f>
        <v>Consultation</v>
      </c>
    </row>
    <row r="252" spans="1:8" x14ac:dyDescent="0.25">
      <c r="E252" t="str">
        <f>"673"</f>
        <v>673</v>
      </c>
      <c r="F252" t="str">
        <f>"B-SOLVED DRUM/FREIGHT/PCT#1"</f>
        <v>B-SOLVED DRUM/FREIGHT/PCT#1</v>
      </c>
      <c r="G252" s="2">
        <v>1244.6400000000001</v>
      </c>
      <c r="H252" t="str">
        <f>"B-SOLVED DRUM/FREIGHT/PCT#1"</f>
        <v>B-SOLVED DRUM/FREIGHT/PCT#1</v>
      </c>
    </row>
    <row r="253" spans="1:8" x14ac:dyDescent="0.25">
      <c r="A253" t="s">
        <v>54</v>
      </c>
      <c r="B253">
        <v>776</v>
      </c>
      <c r="C253" s="2">
        <v>624.49</v>
      </c>
      <c r="D253" s="1">
        <v>43599</v>
      </c>
      <c r="E253" t="str">
        <f>"201905069043"</f>
        <v>201905069043</v>
      </c>
      <c r="F253" t="str">
        <f>"CUST#0010/PCT#2"</f>
        <v>CUST#0010/PCT#2</v>
      </c>
      <c r="G253" s="2">
        <v>445</v>
      </c>
      <c r="H253" t="str">
        <f>"CUST#0010/PCT#2"</f>
        <v>CUST#0010/PCT#2</v>
      </c>
    </row>
    <row r="254" spans="1:8" x14ac:dyDescent="0.25">
      <c r="E254" t="str">
        <f>"360356"</f>
        <v>360356</v>
      </c>
      <c r="F254" t="str">
        <f>"CUST ID:0017/ANIMAL CONTROL"</f>
        <v>CUST ID:0017/ANIMAL CONTROL</v>
      </c>
      <c r="G254" s="2">
        <v>179.49</v>
      </c>
      <c r="H254" t="str">
        <f>"CUST ID:0017/ANIMAL CONTROL"</f>
        <v>CUST ID:0017/ANIMAL CONTROL</v>
      </c>
    </row>
    <row r="255" spans="1:8" x14ac:dyDescent="0.25">
      <c r="A255" t="s">
        <v>55</v>
      </c>
      <c r="B255">
        <v>744</v>
      </c>
      <c r="C255" s="2">
        <v>1950</v>
      </c>
      <c r="D255" s="1">
        <v>43599</v>
      </c>
      <c r="E255" t="str">
        <f>"1538"</f>
        <v>1538</v>
      </c>
      <c r="F255" t="str">
        <f>"TREE REMOVAL/PCT#1"</f>
        <v>TREE REMOVAL/PCT#1</v>
      </c>
      <c r="G255" s="2">
        <v>1950</v>
      </c>
      <c r="H255" t="str">
        <f>"TREE REMOVAL/PCT#1"</f>
        <v>TREE REMOVAL/PCT#1</v>
      </c>
    </row>
    <row r="256" spans="1:8" x14ac:dyDescent="0.25">
      <c r="A256" t="s">
        <v>56</v>
      </c>
      <c r="B256">
        <v>82080</v>
      </c>
      <c r="C256" s="2">
        <v>4118</v>
      </c>
      <c r="D256" s="1">
        <v>43598</v>
      </c>
      <c r="E256" t="str">
        <f>"10383  03/13/19"</f>
        <v>10383  03/13/19</v>
      </c>
      <c r="F256" t="str">
        <f>"SERVICE"</f>
        <v>SERVICE</v>
      </c>
      <c r="G256" s="2">
        <v>118</v>
      </c>
      <c r="H256" t="str">
        <f>"SERVICE"</f>
        <v>SERVICE</v>
      </c>
    </row>
    <row r="257" spans="1:8" x14ac:dyDescent="0.25">
      <c r="E257" t="str">
        <f>"12205  02/20/19"</f>
        <v>12205  02/20/19</v>
      </c>
      <c r="F257" t="str">
        <f>"SERVICE"</f>
        <v>SERVICE</v>
      </c>
      <c r="G257" s="2">
        <v>100</v>
      </c>
      <c r="H257" t="str">
        <f>"SERVICE"</f>
        <v>SERVICE</v>
      </c>
    </row>
    <row r="258" spans="1:8" x14ac:dyDescent="0.25">
      <c r="E258" t="str">
        <f>"12291"</f>
        <v>12291</v>
      </c>
      <c r="F258" t="str">
        <f>"SERVICE"</f>
        <v>SERVICE</v>
      </c>
      <c r="G258" s="2">
        <v>375</v>
      </c>
      <c r="H258" t="str">
        <f>"SERVICE"</f>
        <v>SERVICE</v>
      </c>
    </row>
    <row r="259" spans="1:8" x14ac:dyDescent="0.25">
      <c r="E259" t="str">
        <f>"12533"</f>
        <v>12533</v>
      </c>
      <c r="F259" t="str">
        <f>"SERVICE"</f>
        <v>SERVICE</v>
      </c>
      <c r="G259" s="2">
        <v>475</v>
      </c>
      <c r="H259" t="str">
        <f>"SERVICE"</f>
        <v>SERVICE</v>
      </c>
    </row>
    <row r="260" spans="1:8" x14ac:dyDescent="0.25">
      <c r="E260" t="str">
        <f>"12641"</f>
        <v>12641</v>
      </c>
      <c r="F260" t="str">
        <f>"SERVICE  02/20/19"</f>
        <v>SERVICE  02/20/19</v>
      </c>
      <c r="G260" s="2">
        <v>550</v>
      </c>
      <c r="H260" t="str">
        <f>"SERVICE  02/20/19"</f>
        <v>SERVICE  02/20/19</v>
      </c>
    </row>
    <row r="261" spans="1:8" x14ac:dyDescent="0.25">
      <c r="E261" t="str">
        <f>"12723"</f>
        <v>12723</v>
      </c>
      <c r="F261" t="str">
        <f>"SERVICE  03/01/19"</f>
        <v>SERVICE  03/01/19</v>
      </c>
      <c r="G261" s="2">
        <v>825</v>
      </c>
      <c r="H261" t="str">
        <f>"SERVICE  03/01/19"</f>
        <v>SERVICE  03/01/19</v>
      </c>
    </row>
    <row r="262" spans="1:8" x14ac:dyDescent="0.25">
      <c r="E262" t="str">
        <f>"12766"</f>
        <v>12766</v>
      </c>
      <c r="F262" t="str">
        <f>"SERVICE"</f>
        <v>SERVICE</v>
      </c>
      <c r="G262" s="2">
        <v>75</v>
      </c>
      <c r="H262" t="str">
        <f>"SERVICE"</f>
        <v>SERVICE</v>
      </c>
    </row>
    <row r="263" spans="1:8" x14ac:dyDescent="0.25">
      <c r="E263" t="str">
        <f>"12777   03/04/19"</f>
        <v>12777   03/04/19</v>
      </c>
      <c r="F263" t="str">
        <f>"SERVICE"</f>
        <v>SERVICE</v>
      </c>
      <c r="G263" s="2">
        <v>75</v>
      </c>
      <c r="H263" t="str">
        <f>"SERVICE"</f>
        <v>SERVICE</v>
      </c>
    </row>
    <row r="264" spans="1:8" x14ac:dyDescent="0.25">
      <c r="E264" t="str">
        <f>"12844"</f>
        <v>12844</v>
      </c>
      <c r="F264" t="str">
        <f>"SERVICE  02/26/19"</f>
        <v>SERVICE  02/26/19</v>
      </c>
      <c r="G264" s="2">
        <v>325</v>
      </c>
      <c r="H264" t="str">
        <f>"SERVICE  02/26/19"</f>
        <v>SERVICE  02/26/19</v>
      </c>
    </row>
    <row r="265" spans="1:8" x14ac:dyDescent="0.25">
      <c r="E265" t="str">
        <f>"13117"</f>
        <v>13117</v>
      </c>
      <c r="F265" t="str">
        <f>"SERVICE"</f>
        <v>SERVICE</v>
      </c>
      <c r="G265" s="2">
        <v>225</v>
      </c>
      <c r="H265" t="str">
        <f>"SERVICE"</f>
        <v>SERVICE</v>
      </c>
    </row>
    <row r="266" spans="1:8" x14ac:dyDescent="0.25">
      <c r="E266" t="str">
        <f>"13130"</f>
        <v>13130</v>
      </c>
      <c r="F266" t="str">
        <f>"SERVICE  02/20/19"</f>
        <v>SERVICE  02/20/19</v>
      </c>
      <c r="G266" s="2">
        <v>75</v>
      </c>
      <c r="H266" t="str">
        <f>"SERVICE  02/20/19"</f>
        <v>SERVICE  02/20/19</v>
      </c>
    </row>
    <row r="267" spans="1:8" x14ac:dyDescent="0.25">
      <c r="E267" t="str">
        <f>"13143"</f>
        <v>13143</v>
      </c>
      <c r="F267" t="str">
        <f>"SERVICE"</f>
        <v>SERVICE</v>
      </c>
      <c r="G267" s="2">
        <v>75</v>
      </c>
      <c r="H267" t="str">
        <f>"SERVICE"</f>
        <v>SERVICE</v>
      </c>
    </row>
    <row r="268" spans="1:8" x14ac:dyDescent="0.25">
      <c r="E268" t="str">
        <f>"13158"</f>
        <v>13158</v>
      </c>
      <c r="F268" t="str">
        <f>"SERVICE"</f>
        <v>SERVICE</v>
      </c>
      <c r="G268" s="2">
        <v>150</v>
      </c>
      <c r="H268" t="str">
        <f>"SERVICE"</f>
        <v>SERVICE</v>
      </c>
    </row>
    <row r="269" spans="1:8" x14ac:dyDescent="0.25">
      <c r="E269" t="str">
        <f>"13161"</f>
        <v>13161</v>
      </c>
      <c r="F269" t="str">
        <f>"SERVICE  03/01/19"</f>
        <v>SERVICE  03/01/19</v>
      </c>
      <c r="G269" s="2">
        <v>300</v>
      </c>
      <c r="H269" t="str">
        <f>"SERVICE  03/01/19"</f>
        <v>SERVICE  03/01/19</v>
      </c>
    </row>
    <row r="270" spans="1:8" x14ac:dyDescent="0.25">
      <c r="E270" t="str">
        <f>"13165"</f>
        <v>13165</v>
      </c>
      <c r="F270" t="str">
        <f>"SERVICE"</f>
        <v>SERVICE</v>
      </c>
      <c r="G270" s="2">
        <v>75</v>
      </c>
      <c r="H270" t="str">
        <f>"SERVICE"</f>
        <v>SERVICE</v>
      </c>
    </row>
    <row r="271" spans="1:8" x14ac:dyDescent="0.25">
      <c r="E271" t="str">
        <f>"13179"</f>
        <v>13179</v>
      </c>
      <c r="F271" t="str">
        <f>"SERVICE"</f>
        <v>SERVICE</v>
      </c>
      <c r="G271" s="2">
        <v>300</v>
      </c>
      <c r="H271" t="str">
        <f>"SERVICE"</f>
        <v>SERVICE</v>
      </c>
    </row>
    <row r="272" spans="1:8" x14ac:dyDescent="0.25">
      <c r="A272" t="s">
        <v>57</v>
      </c>
      <c r="B272">
        <v>82304</v>
      </c>
      <c r="C272" s="2">
        <v>672.17</v>
      </c>
      <c r="D272" s="1">
        <v>43613</v>
      </c>
      <c r="E272" t="str">
        <f>"201905159274"</f>
        <v>201905159274</v>
      </c>
      <c r="F272" t="str">
        <f>"ACCT#BC01"</f>
        <v>ACCT#BC01</v>
      </c>
      <c r="G272" s="2">
        <v>672.17</v>
      </c>
      <c r="H272" t="str">
        <f>"ACCT#BC01"</f>
        <v>ACCT#BC01</v>
      </c>
    </row>
    <row r="273" spans="1:8" x14ac:dyDescent="0.25">
      <c r="E273" t="str">
        <f>""</f>
        <v/>
      </c>
      <c r="F273" t="str">
        <f>""</f>
        <v/>
      </c>
      <c r="H273" t="str">
        <f>"ACCT#BC01"</f>
        <v>ACCT#BC01</v>
      </c>
    </row>
    <row r="274" spans="1:8" x14ac:dyDescent="0.25">
      <c r="E274" t="str">
        <f>""</f>
        <v/>
      </c>
      <c r="F274" t="str">
        <f>""</f>
        <v/>
      </c>
      <c r="H274" t="str">
        <f>"ACCT#BC01"</f>
        <v>ACCT#BC01</v>
      </c>
    </row>
    <row r="275" spans="1:8" x14ac:dyDescent="0.25">
      <c r="E275" t="str">
        <f>""</f>
        <v/>
      </c>
      <c r="F275" t="str">
        <f>""</f>
        <v/>
      </c>
      <c r="H275" t="str">
        <f>"ACCT#BC01"</f>
        <v>ACCT#BC01</v>
      </c>
    </row>
    <row r="276" spans="1:8" x14ac:dyDescent="0.25">
      <c r="A276" t="s">
        <v>58</v>
      </c>
      <c r="B276">
        <v>837</v>
      </c>
      <c r="C276" s="2">
        <v>21430.94</v>
      </c>
      <c r="D276" s="1">
        <v>43614</v>
      </c>
      <c r="E276" t="str">
        <f>"201905159271"</f>
        <v>201905159271</v>
      </c>
      <c r="F276" t="str">
        <f>"GRANT REIMBURSEMENT"</f>
        <v>GRANT REIMBURSEMENT</v>
      </c>
      <c r="G276" s="2">
        <v>10913.13</v>
      </c>
      <c r="H276" t="str">
        <f>"GRANT REIMBURSEMENT"</f>
        <v>GRANT REIMBURSEMENT</v>
      </c>
    </row>
    <row r="277" spans="1:8" x14ac:dyDescent="0.25">
      <c r="E277" t="str">
        <f>"201905159272"</f>
        <v>201905159272</v>
      </c>
      <c r="F277" t="str">
        <f>"GRANT REIMBURSEMENT"</f>
        <v>GRANT REIMBURSEMENT</v>
      </c>
      <c r="G277" s="2">
        <v>10517.81</v>
      </c>
      <c r="H277" t="str">
        <f>"GRANT REIMBURSEMENT"</f>
        <v>GRANT REIMBURSEMENT</v>
      </c>
    </row>
    <row r="278" spans="1:8" x14ac:dyDescent="0.25">
      <c r="A278" t="s">
        <v>59</v>
      </c>
      <c r="B278">
        <v>82081</v>
      </c>
      <c r="C278" s="2">
        <v>82017</v>
      </c>
      <c r="D278" s="1">
        <v>43598</v>
      </c>
      <c r="E278" t="str">
        <f>"2ND QTR 2019"</f>
        <v>2ND QTR 2019</v>
      </c>
      <c r="F278" t="str">
        <f>"REVENUE BASTROP"</f>
        <v>REVENUE BASTROP</v>
      </c>
      <c r="G278" s="2">
        <v>82017</v>
      </c>
      <c r="H278" t="str">
        <f>"REVENUE BASTROP"</f>
        <v>REVENUE BASTROP</v>
      </c>
    </row>
    <row r="279" spans="1:8" x14ac:dyDescent="0.25">
      <c r="A279" t="s">
        <v>60</v>
      </c>
      <c r="B279">
        <v>859</v>
      </c>
      <c r="C279" s="2">
        <v>46.73</v>
      </c>
      <c r="D279" s="1">
        <v>43614</v>
      </c>
      <c r="E279" t="str">
        <f>"201905219370"</f>
        <v>201905219370</v>
      </c>
      <c r="F279" t="str">
        <f>"INDIGENT HEALTH"</f>
        <v>INDIGENT HEALTH</v>
      </c>
      <c r="G279" s="2">
        <v>46.73</v>
      </c>
      <c r="H279" t="str">
        <f>"INDIGENT HEALTH"</f>
        <v>INDIGENT HEALTH</v>
      </c>
    </row>
    <row r="280" spans="1:8" x14ac:dyDescent="0.25">
      <c r="A280" t="s">
        <v>61</v>
      </c>
      <c r="B280">
        <v>743</v>
      </c>
      <c r="C280" s="2">
        <v>3170</v>
      </c>
      <c r="D280" s="1">
        <v>43599</v>
      </c>
      <c r="E280" t="str">
        <f>"2019-051"</f>
        <v>2019-051</v>
      </c>
      <c r="F280" t="str">
        <f>"TRANSPORT-G. SCHNEIDER"</f>
        <v>TRANSPORT-G. SCHNEIDER</v>
      </c>
      <c r="G280" s="2">
        <v>695</v>
      </c>
      <c r="H280" t="str">
        <f>"TRANSPORT-G. SCHNEIDER"</f>
        <v>TRANSPORT-G. SCHNEIDER</v>
      </c>
    </row>
    <row r="281" spans="1:8" x14ac:dyDescent="0.25">
      <c r="E281" t="str">
        <f>"2019044"</f>
        <v>2019044</v>
      </c>
      <c r="F281" t="str">
        <f>"TRANSPORT-G. RODRIGUEZ II"</f>
        <v>TRANSPORT-G. RODRIGUEZ II</v>
      </c>
      <c r="G281" s="2">
        <v>495</v>
      </c>
      <c r="H281" t="str">
        <f>"TRANSPORT-G. RODRIGUEZ II"</f>
        <v>TRANSPORT-G. RODRIGUEZ II</v>
      </c>
    </row>
    <row r="282" spans="1:8" x14ac:dyDescent="0.25">
      <c r="E282" t="str">
        <f>"2019046"</f>
        <v>2019046</v>
      </c>
      <c r="F282" t="str">
        <f>"TRANSPORT-A. WILLIS"</f>
        <v>TRANSPORT-A. WILLIS</v>
      </c>
      <c r="G282" s="2">
        <v>495</v>
      </c>
      <c r="H282" t="str">
        <f>"TRANSPORT-A. WILLIS"</f>
        <v>TRANSPORT-A. WILLIS</v>
      </c>
    </row>
    <row r="283" spans="1:8" x14ac:dyDescent="0.25">
      <c r="E283" t="str">
        <f>"2019047"</f>
        <v>2019047</v>
      </c>
      <c r="F283" t="str">
        <f>"TRANSPORT-M. FOWLER"</f>
        <v>TRANSPORT-M. FOWLER</v>
      </c>
      <c r="G283" s="2">
        <v>495</v>
      </c>
      <c r="H283" t="str">
        <f>"TRANSPORT-M. FOWLER"</f>
        <v>TRANSPORT-M. FOWLER</v>
      </c>
    </row>
    <row r="284" spans="1:8" x14ac:dyDescent="0.25">
      <c r="E284" t="str">
        <f>"2019048"</f>
        <v>2019048</v>
      </c>
      <c r="F284" t="str">
        <f>"TRANSPORT-R.A. NORDSTROM"</f>
        <v>TRANSPORT-R.A. NORDSTROM</v>
      </c>
      <c r="G284" s="2">
        <v>495</v>
      </c>
      <c r="H284" t="str">
        <f>"TRANSPORT-R.A. NORDSTROM"</f>
        <v>TRANSPORT-R.A. NORDSTROM</v>
      </c>
    </row>
    <row r="285" spans="1:8" x14ac:dyDescent="0.25">
      <c r="E285" t="str">
        <f>"2019049"</f>
        <v>2019049</v>
      </c>
      <c r="F285" t="str">
        <f>"TRANSPORT-C. PHILLIPS"</f>
        <v>TRANSPORT-C. PHILLIPS</v>
      </c>
      <c r="G285" s="2">
        <v>495</v>
      </c>
      <c r="H285" t="str">
        <f>"TRANSPORT-C. PHILLIPS"</f>
        <v>TRANSPORT-C. PHILLIPS</v>
      </c>
    </row>
    <row r="286" spans="1:8" x14ac:dyDescent="0.25">
      <c r="A286" t="s">
        <v>62</v>
      </c>
      <c r="B286">
        <v>738</v>
      </c>
      <c r="C286" s="2">
        <v>1356.28</v>
      </c>
      <c r="D286" s="1">
        <v>43599</v>
      </c>
      <c r="E286" t="str">
        <f>"201905039026"</f>
        <v>201905039026</v>
      </c>
      <c r="F286" t="str">
        <f>"INVESTIGATIVE SVCS-APRIL 2019"</f>
        <v>INVESTIGATIVE SVCS-APRIL 2019</v>
      </c>
      <c r="G286" s="2">
        <v>175</v>
      </c>
      <c r="H286" t="str">
        <f>"INVESTIGATIVE SVCS-APRIL 2019"</f>
        <v>INVESTIGATIVE SVCS-APRIL 2019</v>
      </c>
    </row>
    <row r="287" spans="1:8" x14ac:dyDescent="0.25">
      <c r="E287" t="str">
        <f>"201905089195"</f>
        <v>201905089195</v>
      </c>
      <c r="F287" t="str">
        <f>"APRIL SERVICES"</f>
        <v>APRIL SERVICES</v>
      </c>
      <c r="G287" s="2">
        <v>1181.28</v>
      </c>
      <c r="H287" t="str">
        <f>"APRIL SERVICES - LE"</f>
        <v>APRIL SERVICES - LE</v>
      </c>
    </row>
    <row r="288" spans="1:8" x14ac:dyDescent="0.25">
      <c r="E288" t="str">
        <f>""</f>
        <v/>
      </c>
      <c r="F288" t="str">
        <f>""</f>
        <v/>
      </c>
      <c r="H288" t="str">
        <f>"APRIL SERVICES - JAI"</f>
        <v>APRIL SERVICES - JAI</v>
      </c>
    </row>
    <row r="289" spans="1:8" x14ac:dyDescent="0.25">
      <c r="A289" t="s">
        <v>63</v>
      </c>
      <c r="B289">
        <v>82082</v>
      </c>
      <c r="C289" s="2">
        <v>2216.9299999999998</v>
      </c>
      <c r="D289" s="1">
        <v>43598</v>
      </c>
      <c r="E289" t="str">
        <f>"75056325 75064577"</f>
        <v>75056325 75064577</v>
      </c>
      <c r="F289" t="str">
        <f>"INV 75056325"</f>
        <v>INV 75056325</v>
      </c>
      <c r="G289" s="2">
        <v>2216.9299999999998</v>
      </c>
      <c r="H289" t="str">
        <f>"INV 75056325"</f>
        <v>INV 75056325</v>
      </c>
    </row>
    <row r="290" spans="1:8" x14ac:dyDescent="0.25">
      <c r="E290" t="str">
        <f>""</f>
        <v/>
      </c>
      <c r="F290" t="str">
        <f>""</f>
        <v/>
      </c>
      <c r="H290" t="str">
        <f>"INV 75064577"</f>
        <v>INV 75064577</v>
      </c>
    </row>
    <row r="291" spans="1:8" x14ac:dyDescent="0.25">
      <c r="E291" t="str">
        <f>""</f>
        <v/>
      </c>
      <c r="F291" t="str">
        <f>""</f>
        <v/>
      </c>
      <c r="H291" t="str">
        <f>"INV 75073031"</f>
        <v>INV 75073031</v>
      </c>
    </row>
    <row r="292" spans="1:8" x14ac:dyDescent="0.25">
      <c r="A292" t="s">
        <v>63</v>
      </c>
      <c r="B292">
        <v>82305</v>
      </c>
      <c r="C292" s="2">
        <v>1454.92</v>
      </c>
      <c r="D292" s="1">
        <v>43613</v>
      </c>
      <c r="E292" t="str">
        <f>"75081609 75089951"</f>
        <v>75081609 75089951</v>
      </c>
      <c r="F292" t="str">
        <f>"INV 75081609"</f>
        <v>INV 75081609</v>
      </c>
      <c r="G292" s="2">
        <v>1454.92</v>
      </c>
      <c r="H292" t="str">
        <f>"INV 75081609"</f>
        <v>INV 75081609</v>
      </c>
    </row>
    <row r="293" spans="1:8" x14ac:dyDescent="0.25">
      <c r="E293" t="str">
        <f>""</f>
        <v/>
      </c>
      <c r="F293" t="str">
        <f>""</f>
        <v/>
      </c>
      <c r="H293" t="str">
        <f>"INV 75089951"</f>
        <v>INV 75089951</v>
      </c>
    </row>
    <row r="294" spans="1:8" x14ac:dyDescent="0.25">
      <c r="A294" t="s">
        <v>64</v>
      </c>
      <c r="B294">
        <v>780</v>
      </c>
      <c r="C294" s="2">
        <v>325</v>
      </c>
      <c r="D294" s="1">
        <v>43599</v>
      </c>
      <c r="E294" t="str">
        <f>"201905039022"</f>
        <v>201905039022</v>
      </c>
      <c r="F294" t="str">
        <f>"REIMBURSEMENT-STATE BAR FEES"</f>
        <v>REIMBURSEMENT-STATE BAR FEES</v>
      </c>
      <c r="G294" s="2">
        <v>325</v>
      </c>
      <c r="H294" t="str">
        <f>"REIMBURSEMENT-STATE BAR FEES"</f>
        <v>REIMBURSEMENT-STATE BAR FEES</v>
      </c>
    </row>
    <row r="295" spans="1:8" x14ac:dyDescent="0.25">
      <c r="A295" t="s">
        <v>65</v>
      </c>
      <c r="B295">
        <v>82083</v>
      </c>
      <c r="C295" s="2">
        <v>671.96</v>
      </c>
      <c r="D295" s="1">
        <v>43598</v>
      </c>
      <c r="E295" t="str">
        <f>"3810892"</f>
        <v>3810892</v>
      </c>
      <c r="F295" t="str">
        <f>"inv# 3810892"</f>
        <v>inv# 3810892</v>
      </c>
      <c r="G295" s="2">
        <v>671.96</v>
      </c>
      <c r="H295" t="str">
        <f>"Inv# 3810892"</f>
        <v>Inv# 3810892</v>
      </c>
    </row>
    <row r="296" spans="1:8" x14ac:dyDescent="0.25">
      <c r="A296" t="s">
        <v>65</v>
      </c>
      <c r="B296">
        <v>82306</v>
      </c>
      <c r="C296" s="2">
        <v>119.95</v>
      </c>
      <c r="D296" s="1">
        <v>43613</v>
      </c>
      <c r="E296" t="str">
        <f>"3828400"</f>
        <v>3828400</v>
      </c>
      <c r="F296" t="str">
        <f>"Inv# 3828400"</f>
        <v>Inv# 3828400</v>
      </c>
      <c r="G296" s="2">
        <v>119.95</v>
      </c>
      <c r="H296" t="str">
        <f>"Inv# 3828400"</f>
        <v>Inv# 3828400</v>
      </c>
    </row>
    <row r="297" spans="1:8" x14ac:dyDescent="0.25">
      <c r="A297" t="s">
        <v>66</v>
      </c>
      <c r="B297">
        <v>82307</v>
      </c>
      <c r="C297" s="2">
        <v>2022.56</v>
      </c>
      <c r="D297" s="1">
        <v>43613</v>
      </c>
      <c r="E297" t="str">
        <f>"24234"</f>
        <v>24234</v>
      </c>
      <c r="F297" t="str">
        <f>"INV 24234"</f>
        <v>INV 24234</v>
      </c>
      <c r="G297" s="2">
        <v>2022.56</v>
      </c>
      <c r="H297" t="str">
        <f>"INV 24234"</f>
        <v>INV 24234</v>
      </c>
    </row>
    <row r="298" spans="1:8" x14ac:dyDescent="0.25">
      <c r="A298" t="s">
        <v>67</v>
      </c>
      <c r="B298">
        <v>82308</v>
      </c>
      <c r="C298" s="2">
        <v>735.14</v>
      </c>
      <c r="D298" s="1">
        <v>43613</v>
      </c>
      <c r="E298" t="str">
        <f>"633509"</f>
        <v>633509</v>
      </c>
      <c r="F298" t="str">
        <f>"CUST#BAST58/ORD#230790"</f>
        <v>CUST#BAST58/ORD#230790</v>
      </c>
      <c r="G298" s="2">
        <v>735.14</v>
      </c>
      <c r="H298" t="str">
        <f>"CUST#BAST58/ORD#230790"</f>
        <v>CUST#BAST58/ORD#230790</v>
      </c>
    </row>
    <row r="299" spans="1:8" x14ac:dyDescent="0.25">
      <c r="A299" t="s">
        <v>68</v>
      </c>
      <c r="B299">
        <v>813</v>
      </c>
      <c r="C299" s="2">
        <v>233.06</v>
      </c>
      <c r="D299" s="1">
        <v>43614</v>
      </c>
      <c r="E299" t="str">
        <f>"201905219421"</f>
        <v>201905219421</v>
      </c>
      <c r="F299" t="str">
        <f>"MORNING DOCKET"</f>
        <v>MORNING DOCKET</v>
      </c>
      <c r="G299" s="2">
        <v>233.06</v>
      </c>
      <c r="H299" t="str">
        <f>"MORNING DOCKET"</f>
        <v>MORNING DOCKET</v>
      </c>
    </row>
    <row r="300" spans="1:8" x14ac:dyDescent="0.25">
      <c r="A300" t="s">
        <v>69</v>
      </c>
      <c r="B300">
        <v>82084</v>
      </c>
      <c r="C300" s="2">
        <v>827.32</v>
      </c>
      <c r="D300" s="1">
        <v>43598</v>
      </c>
      <c r="E300" t="str">
        <f>"84078901275/350/44"</f>
        <v>84078901275/350/44</v>
      </c>
      <c r="F300" t="str">
        <f>"INV 84078901275"</f>
        <v>INV 84078901275</v>
      </c>
      <c r="G300" s="2">
        <v>827.32</v>
      </c>
      <c r="H300" t="str">
        <f>"INV 84078901275"</f>
        <v>INV 84078901275</v>
      </c>
    </row>
    <row r="301" spans="1:8" x14ac:dyDescent="0.25">
      <c r="E301" t="str">
        <f>""</f>
        <v/>
      </c>
      <c r="F301" t="str">
        <f>""</f>
        <v/>
      </c>
      <c r="H301" t="str">
        <f>"INV 84078901350"</f>
        <v>INV 84078901350</v>
      </c>
    </row>
    <row r="302" spans="1:8" x14ac:dyDescent="0.25">
      <c r="E302" t="str">
        <f>""</f>
        <v/>
      </c>
      <c r="F302" t="str">
        <f>""</f>
        <v/>
      </c>
      <c r="H302" t="str">
        <f>"INV 84078901440"</f>
        <v>INV 84078901440</v>
      </c>
    </row>
    <row r="303" spans="1:8" x14ac:dyDescent="0.25">
      <c r="A303" t="s">
        <v>69</v>
      </c>
      <c r="B303">
        <v>82309</v>
      </c>
      <c r="C303" s="2">
        <v>569.74</v>
      </c>
      <c r="D303" s="1">
        <v>43613</v>
      </c>
      <c r="E303" t="str">
        <f>"84078901521 1616"</f>
        <v>84078901521 1616</v>
      </c>
      <c r="F303" t="str">
        <f>"INV 84078901521"</f>
        <v>INV 84078901521</v>
      </c>
      <c r="G303" s="2">
        <v>569.74</v>
      </c>
      <c r="H303" t="str">
        <f>"INV 84078901521"</f>
        <v>INV 84078901521</v>
      </c>
    </row>
    <row r="304" spans="1:8" x14ac:dyDescent="0.25">
      <c r="E304" t="str">
        <f>""</f>
        <v/>
      </c>
      <c r="F304" t="str">
        <f>""</f>
        <v/>
      </c>
      <c r="H304" t="str">
        <f>"INV 84078901616"</f>
        <v>INV 84078901616</v>
      </c>
    </row>
    <row r="305" spans="1:8" x14ac:dyDescent="0.25">
      <c r="A305" t="s">
        <v>70</v>
      </c>
      <c r="B305">
        <v>774</v>
      </c>
      <c r="C305" s="2">
        <v>450.5</v>
      </c>
      <c r="D305" s="1">
        <v>43599</v>
      </c>
      <c r="E305" t="str">
        <f>"0DDF4D62-0001"</f>
        <v>0DDF4D62-0001</v>
      </c>
      <c r="F305" t="str">
        <f>"INV 0DDF4D62-0001"</f>
        <v>INV 0DDF4D62-0001</v>
      </c>
      <c r="G305" s="2">
        <v>450.5</v>
      </c>
      <c r="H305" t="str">
        <f>"INV 0DDF4D62-0001"</f>
        <v>INV 0DDF4D62-0001</v>
      </c>
    </row>
    <row r="306" spans="1:8" x14ac:dyDescent="0.25">
      <c r="A306" t="s">
        <v>71</v>
      </c>
      <c r="B306">
        <v>759</v>
      </c>
      <c r="C306" s="2">
        <v>2158.56</v>
      </c>
      <c r="D306" s="1">
        <v>43599</v>
      </c>
      <c r="E306" t="str">
        <f>"201904248788"</f>
        <v>201904248788</v>
      </c>
      <c r="F306" t="str">
        <f>"56 615  56 616  2019-0409/A"</f>
        <v>56 615  56 616  2019-0409/A</v>
      </c>
      <c r="G306" s="2">
        <v>625</v>
      </c>
      <c r="H306" t="str">
        <f>"56 615  56 616  2019-0409/A"</f>
        <v>56 615  56 616  2019-0409/A</v>
      </c>
    </row>
    <row r="307" spans="1:8" x14ac:dyDescent="0.25">
      <c r="E307" t="str">
        <f>"201904248809"</f>
        <v>201904248809</v>
      </c>
      <c r="F307" t="str">
        <f>"18-19166"</f>
        <v>18-19166</v>
      </c>
      <c r="G307" s="2">
        <v>183.56</v>
      </c>
      <c r="H307" t="str">
        <f>"18-19166"</f>
        <v>18-19166</v>
      </c>
    </row>
    <row r="308" spans="1:8" x14ac:dyDescent="0.25">
      <c r="E308" t="str">
        <f>"201904248823"</f>
        <v>201904248823</v>
      </c>
      <c r="F308" t="str">
        <f>"DETENTION HEARING"</f>
        <v>DETENTION HEARING</v>
      </c>
      <c r="G308" s="2">
        <v>100</v>
      </c>
      <c r="H308" t="str">
        <f>"DETENTION HEARING"</f>
        <v>DETENTION HEARING</v>
      </c>
    </row>
    <row r="309" spans="1:8" x14ac:dyDescent="0.25">
      <c r="E309" t="str">
        <f>"201904248824"</f>
        <v>201904248824</v>
      </c>
      <c r="F309" t="str">
        <f>"DETENTION HEARING"</f>
        <v>DETENTION HEARING</v>
      </c>
      <c r="G309" s="2">
        <v>100</v>
      </c>
      <c r="H309" t="str">
        <f>"DETENTION HEARING"</f>
        <v>DETENTION HEARING</v>
      </c>
    </row>
    <row r="310" spans="1:8" x14ac:dyDescent="0.25">
      <c r="E310" t="str">
        <f>"201904248847"</f>
        <v>201904248847</v>
      </c>
      <c r="F310" t="str">
        <f>"309192018B 929-350-6210 A001"</f>
        <v>309192018B 929-350-6210 A001</v>
      </c>
      <c r="G310" s="2">
        <v>250</v>
      </c>
      <c r="H310" t="str">
        <f>"309192018B 929-350-6210 A001"</f>
        <v>309192018B 929-350-6210 A001</v>
      </c>
    </row>
    <row r="311" spans="1:8" x14ac:dyDescent="0.25">
      <c r="E311" t="str">
        <f>"201905079080"</f>
        <v>201905079080</v>
      </c>
      <c r="F311" t="str">
        <f>"56 352"</f>
        <v>56 352</v>
      </c>
      <c r="G311" s="2">
        <v>250</v>
      </c>
      <c r="H311" t="str">
        <f>"56 352"</f>
        <v>56 352</v>
      </c>
    </row>
    <row r="312" spans="1:8" x14ac:dyDescent="0.25">
      <c r="E312" t="str">
        <f>"201905079103"</f>
        <v>201905079103</v>
      </c>
      <c r="F312" t="str">
        <f>"AC-2018-1006 925-350-790XA001"</f>
        <v>AC-2018-1006 925-350-790XA001</v>
      </c>
      <c r="G312" s="2">
        <v>250</v>
      </c>
      <c r="H312" t="str">
        <f>"AC-2018-1006 925-350-790XA001"</f>
        <v>AC-2018-1006 925-350-790XA001</v>
      </c>
    </row>
    <row r="313" spans="1:8" x14ac:dyDescent="0.25">
      <c r="E313" t="str">
        <f>"201905079105"</f>
        <v>201905079105</v>
      </c>
      <c r="F313" t="str">
        <f>"18-18997"</f>
        <v>18-18997</v>
      </c>
      <c r="G313" s="2">
        <v>100</v>
      </c>
      <c r="H313" t="str">
        <f>"18-18997"</f>
        <v>18-18997</v>
      </c>
    </row>
    <row r="314" spans="1:8" x14ac:dyDescent="0.25">
      <c r="E314" t="str">
        <f>"201905079106"</f>
        <v>201905079106</v>
      </c>
      <c r="F314" t="str">
        <f>"18-19050"</f>
        <v>18-19050</v>
      </c>
      <c r="G314" s="2">
        <v>100</v>
      </c>
      <c r="H314" t="str">
        <f>"18-19050"</f>
        <v>18-19050</v>
      </c>
    </row>
    <row r="315" spans="1:8" x14ac:dyDescent="0.25">
      <c r="E315" t="str">
        <f>"201905079107"</f>
        <v>201905079107</v>
      </c>
      <c r="F315" t="str">
        <f>"18-18961"</f>
        <v>18-18961</v>
      </c>
      <c r="G315" s="2">
        <v>100</v>
      </c>
      <c r="H315" t="str">
        <f>"18-18961"</f>
        <v>18-18961</v>
      </c>
    </row>
    <row r="316" spans="1:8" x14ac:dyDescent="0.25">
      <c r="E316" t="str">
        <f>"201905079119"</f>
        <v>201905079119</v>
      </c>
      <c r="F316" t="str">
        <f>"18-19336"</f>
        <v>18-19336</v>
      </c>
      <c r="G316" s="2">
        <v>100</v>
      </c>
      <c r="H316" t="str">
        <f>"18-19336"</f>
        <v>18-19336</v>
      </c>
    </row>
    <row r="317" spans="1:8" x14ac:dyDescent="0.25">
      <c r="A317" t="s">
        <v>71</v>
      </c>
      <c r="B317">
        <v>828</v>
      </c>
      <c r="C317" s="2">
        <v>675</v>
      </c>
      <c r="D317" s="1">
        <v>43614</v>
      </c>
      <c r="E317" t="str">
        <f>"201905219406"</f>
        <v>201905219406</v>
      </c>
      <c r="F317" t="str">
        <f>"56 854  56 364"</f>
        <v>56 854  56 364</v>
      </c>
      <c r="G317" s="2">
        <v>375</v>
      </c>
      <c r="H317" t="str">
        <f>"56 854  56 364"</f>
        <v>56 854  56 364</v>
      </c>
    </row>
    <row r="318" spans="1:8" x14ac:dyDescent="0.25">
      <c r="E318" t="str">
        <f>"201905219433"</f>
        <v>201905219433</v>
      </c>
      <c r="F318" t="str">
        <f>"19-19526"</f>
        <v>19-19526</v>
      </c>
      <c r="G318" s="2">
        <v>100</v>
      </c>
      <c r="H318" t="str">
        <f>"19-19526"</f>
        <v>19-19526</v>
      </c>
    </row>
    <row r="319" spans="1:8" x14ac:dyDescent="0.25">
      <c r="E319" t="str">
        <f>"201905219439"</f>
        <v>201905219439</v>
      </c>
      <c r="F319" t="str">
        <f>"JUVENILE"</f>
        <v>JUVENILE</v>
      </c>
      <c r="G319" s="2">
        <v>100</v>
      </c>
      <c r="H319" t="str">
        <f>"JUVENILE"</f>
        <v>JUVENILE</v>
      </c>
    </row>
    <row r="320" spans="1:8" x14ac:dyDescent="0.25">
      <c r="E320" t="str">
        <f>"201905219445"</f>
        <v>201905219445</v>
      </c>
      <c r="F320" t="str">
        <f>"18-19166"</f>
        <v>18-19166</v>
      </c>
      <c r="G320" s="2">
        <v>100</v>
      </c>
      <c r="H320" t="str">
        <f>"18-19166"</f>
        <v>18-19166</v>
      </c>
    </row>
    <row r="321" spans="1:9" x14ac:dyDescent="0.25">
      <c r="A321" t="s">
        <v>72</v>
      </c>
      <c r="B321">
        <v>82085</v>
      </c>
      <c r="C321" s="2">
        <v>225</v>
      </c>
      <c r="D321" s="1">
        <v>43598</v>
      </c>
      <c r="E321" t="str">
        <f>"201905089201"</f>
        <v>201905089201</v>
      </c>
      <c r="F321" t="str">
        <f>"ORDER #1548 - F. DELGADO"</f>
        <v>ORDER #1548 - F. DELGADO</v>
      </c>
      <c r="G321" s="2">
        <v>225</v>
      </c>
      <c r="H321" t="str">
        <f>"ORDER #1548 - F. DELGADO"</f>
        <v>ORDER #1548 - F. DELGADO</v>
      </c>
    </row>
    <row r="322" spans="1:9" x14ac:dyDescent="0.25">
      <c r="A322" t="s">
        <v>73</v>
      </c>
      <c r="B322">
        <v>82310</v>
      </c>
      <c r="C322" s="2">
        <v>347.17</v>
      </c>
      <c r="D322" s="1">
        <v>43613</v>
      </c>
      <c r="E322" t="str">
        <f>"201905169303"</f>
        <v>201905169303</v>
      </c>
      <c r="F322" t="str">
        <f>"CRIME STOPPERS FEES-APRIL 2019"</f>
        <v>CRIME STOPPERS FEES-APRIL 2019</v>
      </c>
      <c r="G322" s="2">
        <v>347.17</v>
      </c>
      <c r="H322" t="str">
        <f>"CRIME STOPPERS FEES-APRIL 2019"</f>
        <v>CRIME STOPPERS FEES-APRIL 2019</v>
      </c>
    </row>
    <row r="323" spans="1:9" x14ac:dyDescent="0.25">
      <c r="A323" t="s">
        <v>74</v>
      </c>
      <c r="B323">
        <v>82086</v>
      </c>
      <c r="C323" s="2">
        <v>50</v>
      </c>
      <c r="D323" s="1">
        <v>43598</v>
      </c>
      <c r="E323" t="s">
        <v>75</v>
      </c>
      <c r="F323" t="s">
        <v>76</v>
      </c>
      <c r="G323" s="2" t="str">
        <f>"RESTITUTION-MARSHALL SELF"</f>
        <v>RESTITUTION-MARSHALL SELF</v>
      </c>
      <c r="H323" t="str">
        <f>"210-0000"</f>
        <v>210-0000</v>
      </c>
      <c r="I323" t="str">
        <f>""</f>
        <v/>
      </c>
    </row>
    <row r="324" spans="1:9" x14ac:dyDescent="0.25">
      <c r="A324" t="s">
        <v>77</v>
      </c>
      <c r="B324">
        <v>82286</v>
      </c>
      <c r="C324" s="2">
        <v>2673.43</v>
      </c>
      <c r="D324" s="1">
        <v>43601</v>
      </c>
      <c r="E324" t="str">
        <f>"201905169305"</f>
        <v>201905169305</v>
      </c>
      <c r="F324" t="str">
        <f>"ACCT#5000057374 / 05052019"</f>
        <v>ACCT#5000057374 / 05052019</v>
      </c>
      <c r="G324" s="2">
        <v>2673.43</v>
      </c>
      <c r="H324" t="str">
        <f>"ACCT#5000057374 / 05052019"</f>
        <v>ACCT#5000057374 / 05052019</v>
      </c>
    </row>
    <row r="325" spans="1:9" x14ac:dyDescent="0.25">
      <c r="E325" t="str">
        <f>""</f>
        <v/>
      </c>
      <c r="F325" t="str">
        <f>""</f>
        <v/>
      </c>
      <c r="H325" t="str">
        <f>"ACCT#5000057374 / 05052019"</f>
        <v>ACCT#5000057374 / 05052019</v>
      </c>
    </row>
    <row r="326" spans="1:9" x14ac:dyDescent="0.25">
      <c r="E326" t="str">
        <f>""</f>
        <v/>
      </c>
      <c r="F326" t="str">
        <f>""</f>
        <v/>
      </c>
      <c r="H326" t="str">
        <f>"ACCT#5000057374 / 05052019"</f>
        <v>ACCT#5000057374 / 05052019</v>
      </c>
    </row>
    <row r="327" spans="1:9" x14ac:dyDescent="0.25">
      <c r="E327" t="str">
        <f>""</f>
        <v/>
      </c>
      <c r="F327" t="str">
        <f>""</f>
        <v/>
      </c>
      <c r="H327" t="str">
        <f>"ACCT#5000057374 / 05052019"</f>
        <v>ACCT#5000057374 / 05052019</v>
      </c>
    </row>
    <row r="328" spans="1:9" x14ac:dyDescent="0.25">
      <c r="A328" t="s">
        <v>78</v>
      </c>
      <c r="B328">
        <v>802</v>
      </c>
      <c r="C328" s="2">
        <v>1250</v>
      </c>
      <c r="D328" s="1">
        <v>43599</v>
      </c>
      <c r="E328" t="str">
        <f>"25042019"</f>
        <v>25042019</v>
      </c>
      <c r="F328" t="str">
        <f>"INV 25042019"</f>
        <v>INV 25042019</v>
      </c>
      <c r="G328" s="2">
        <v>1250</v>
      </c>
      <c r="H328" t="str">
        <f>"INV 25042019"</f>
        <v>INV 25042019</v>
      </c>
    </row>
    <row r="329" spans="1:9" x14ac:dyDescent="0.25">
      <c r="A329" t="s">
        <v>78</v>
      </c>
      <c r="B329">
        <v>862</v>
      </c>
      <c r="C329" s="2">
        <v>16002.49</v>
      </c>
      <c r="D329" s="1">
        <v>43614</v>
      </c>
      <c r="E329" t="str">
        <f>"201905159269"</f>
        <v>201905159269</v>
      </c>
      <c r="F329" t="str">
        <f>"GRANT REIMBURSEMENT"</f>
        <v>GRANT REIMBURSEMENT</v>
      </c>
      <c r="G329" s="2">
        <v>16002.49</v>
      </c>
      <c r="H329" t="str">
        <f>"GRANT REIMBURSEMENT"</f>
        <v>GRANT REIMBURSEMENT</v>
      </c>
    </row>
    <row r="330" spans="1:9" x14ac:dyDescent="0.25">
      <c r="A330" t="s">
        <v>79</v>
      </c>
      <c r="B330">
        <v>82087</v>
      </c>
      <c r="C330" s="2">
        <v>22.5</v>
      </c>
      <c r="D330" s="1">
        <v>43598</v>
      </c>
      <c r="E330" t="str">
        <f>"UT1000490109"</f>
        <v>UT1000490109</v>
      </c>
      <c r="F330" t="str">
        <f>"INV UT1000490109"</f>
        <v>INV UT1000490109</v>
      </c>
      <c r="G330" s="2">
        <v>22.5</v>
      </c>
      <c r="H330" t="str">
        <f>"INV UT1000490109"</f>
        <v>INV UT1000490109</v>
      </c>
    </row>
    <row r="331" spans="1:9" x14ac:dyDescent="0.25">
      <c r="E331" t="str">
        <f>""</f>
        <v/>
      </c>
      <c r="F331" t="str">
        <f>""</f>
        <v/>
      </c>
      <c r="H331" t="str">
        <f>"CM UT1.493710"</f>
        <v>CM UT1.493710</v>
      </c>
    </row>
    <row r="332" spans="1:9" x14ac:dyDescent="0.25">
      <c r="A332" t="s">
        <v>80</v>
      </c>
      <c r="B332">
        <v>82088</v>
      </c>
      <c r="C332" s="2">
        <v>15475</v>
      </c>
      <c r="D332" s="1">
        <v>43598</v>
      </c>
      <c r="E332" t="str">
        <f>"0057540-IN"</f>
        <v>0057540-IN</v>
      </c>
      <c r="F332" t="str">
        <f>"BOWIE INTERNATIONAL  LLC"</f>
        <v>BOWIE INTERNATIONAL  LLC</v>
      </c>
      <c r="G332" s="2">
        <v>15475</v>
      </c>
      <c r="H332" t="str">
        <f>"Truck Kennel"</f>
        <v>Truck Kennel</v>
      </c>
    </row>
    <row r="333" spans="1:9" x14ac:dyDescent="0.25">
      <c r="A333" t="s">
        <v>81</v>
      </c>
      <c r="B333">
        <v>82089</v>
      </c>
      <c r="C333" s="2">
        <v>69105.62</v>
      </c>
      <c r="D333" s="1">
        <v>43598</v>
      </c>
      <c r="E333" t="str">
        <f>"100836"</f>
        <v>100836</v>
      </c>
      <c r="F333" t="str">
        <f t="shared" ref="F333:F339" si="3">"ACCT#1268/PCT#3"</f>
        <v>ACCT#1268/PCT#3</v>
      </c>
      <c r="G333" s="2">
        <v>58226.15</v>
      </c>
      <c r="H333" t="str">
        <f t="shared" ref="H333:H339" si="4">"ACCT#1268/PCT#3"</f>
        <v>ACCT#1268/PCT#3</v>
      </c>
    </row>
    <row r="334" spans="1:9" x14ac:dyDescent="0.25">
      <c r="E334" t="str">
        <f>"100837"</f>
        <v>100837</v>
      </c>
      <c r="F334" t="str">
        <f t="shared" si="3"/>
        <v>ACCT#1268/PCT#3</v>
      </c>
      <c r="G334" s="2">
        <v>2206.0500000000002</v>
      </c>
      <c r="H334" t="str">
        <f t="shared" si="4"/>
        <v>ACCT#1268/PCT#3</v>
      </c>
    </row>
    <row r="335" spans="1:9" x14ac:dyDescent="0.25">
      <c r="E335" t="str">
        <f>"101007"</f>
        <v>101007</v>
      </c>
      <c r="F335" t="str">
        <f t="shared" si="3"/>
        <v>ACCT#1268/PCT#3</v>
      </c>
      <c r="G335" s="2">
        <v>5175.0200000000004</v>
      </c>
      <c r="H335" t="str">
        <f t="shared" si="4"/>
        <v>ACCT#1268/PCT#3</v>
      </c>
    </row>
    <row r="336" spans="1:9" x14ac:dyDescent="0.25">
      <c r="E336" t="str">
        <f>"101008"</f>
        <v>101008</v>
      </c>
      <c r="F336" t="str">
        <f t="shared" si="3"/>
        <v>ACCT#1268/PCT#3</v>
      </c>
      <c r="G336" s="2">
        <v>766.51</v>
      </c>
      <c r="H336" t="str">
        <f t="shared" si="4"/>
        <v>ACCT#1268/PCT#3</v>
      </c>
    </row>
    <row r="337" spans="1:8" x14ac:dyDescent="0.25">
      <c r="E337" t="str">
        <f>"101180"</f>
        <v>101180</v>
      </c>
      <c r="F337" t="str">
        <f t="shared" si="3"/>
        <v>ACCT#1268/PCT#3</v>
      </c>
      <c r="G337" s="2">
        <v>2731.89</v>
      </c>
      <c r="H337" t="str">
        <f t="shared" si="4"/>
        <v>ACCT#1268/PCT#3</v>
      </c>
    </row>
    <row r="338" spans="1:8" x14ac:dyDescent="0.25">
      <c r="A338" t="s">
        <v>81</v>
      </c>
      <c r="B338">
        <v>82311</v>
      </c>
      <c r="C338" s="2">
        <v>5181.09</v>
      </c>
      <c r="D338" s="1">
        <v>43613</v>
      </c>
      <c r="E338" t="str">
        <f>"101344"</f>
        <v>101344</v>
      </c>
      <c r="F338" t="str">
        <f t="shared" si="3"/>
        <v>ACCT#1268/PCT#3</v>
      </c>
      <c r="G338" s="2">
        <v>2506.65</v>
      </c>
      <c r="H338" t="str">
        <f t="shared" si="4"/>
        <v>ACCT#1268/PCT#3</v>
      </c>
    </row>
    <row r="339" spans="1:8" x14ac:dyDescent="0.25">
      <c r="E339" t="str">
        <f>"101506"</f>
        <v>101506</v>
      </c>
      <c r="F339" t="str">
        <f t="shared" si="3"/>
        <v>ACCT#1268/PCT#3</v>
      </c>
      <c r="G339" s="2">
        <v>2674.44</v>
      </c>
      <c r="H339" t="str">
        <f t="shared" si="4"/>
        <v>ACCT#1268/PCT#3</v>
      </c>
    </row>
    <row r="340" spans="1:8" x14ac:dyDescent="0.25">
      <c r="A340" t="s">
        <v>82</v>
      </c>
      <c r="B340">
        <v>82090</v>
      </c>
      <c r="C340" s="2">
        <v>1000</v>
      </c>
      <c r="D340" s="1">
        <v>43598</v>
      </c>
      <c r="E340" t="str">
        <f>"201904248848"</f>
        <v>201904248848</v>
      </c>
      <c r="F340" t="str">
        <f>"4102581  925-350-958914001"</f>
        <v>4102581  925-350-958914001</v>
      </c>
      <c r="G340" s="2">
        <v>250</v>
      </c>
      <c r="H340" t="str">
        <f>"4102581  925-350-958914001"</f>
        <v>4102581  925-350-958914001</v>
      </c>
    </row>
    <row r="341" spans="1:8" x14ac:dyDescent="0.25">
      <c r="E341" t="str">
        <f>"201905079095"</f>
        <v>201905079095</v>
      </c>
      <c r="F341" t="str">
        <f>"101202019A"</f>
        <v>101202019A</v>
      </c>
      <c r="G341" s="2">
        <v>250</v>
      </c>
      <c r="H341" t="str">
        <f>"101202019A"</f>
        <v>101202019A</v>
      </c>
    </row>
    <row r="342" spans="1:8" x14ac:dyDescent="0.25">
      <c r="E342" t="str">
        <f>"201905079096"</f>
        <v>201905079096</v>
      </c>
      <c r="F342" t="str">
        <f>"102112019-B"</f>
        <v>102112019-B</v>
      </c>
      <c r="G342" s="2">
        <v>250</v>
      </c>
      <c r="H342" t="str">
        <f>"102112019-B"</f>
        <v>102112019-B</v>
      </c>
    </row>
    <row r="343" spans="1:8" x14ac:dyDescent="0.25">
      <c r="E343" t="str">
        <f>"201905079097"</f>
        <v>201905079097</v>
      </c>
      <c r="F343" t="str">
        <f>"56 539"</f>
        <v>56 539</v>
      </c>
      <c r="G343" s="2">
        <v>250</v>
      </c>
      <c r="H343" t="str">
        <f>"56 539"</f>
        <v>56 539</v>
      </c>
    </row>
    <row r="344" spans="1:8" x14ac:dyDescent="0.25">
      <c r="A344" t="s">
        <v>83</v>
      </c>
      <c r="B344">
        <v>82091</v>
      </c>
      <c r="C344" s="2">
        <v>90</v>
      </c>
      <c r="D344" s="1">
        <v>43598</v>
      </c>
      <c r="E344" t="str">
        <f>"19-19592"</f>
        <v>19-19592</v>
      </c>
      <c r="F344" t="str">
        <f>"CENTRAL ADOPTION REGISTRY FUND"</f>
        <v>CENTRAL ADOPTION REGISTRY FUND</v>
      </c>
      <c r="G344" s="2">
        <v>15</v>
      </c>
      <c r="H344" t="str">
        <f>"CENTRAL ADOPTION REGISTRY FUND"</f>
        <v>CENTRAL ADOPTION REGISTRY FUND</v>
      </c>
    </row>
    <row r="345" spans="1:8" x14ac:dyDescent="0.25">
      <c r="E345" t="str">
        <f>"19-19607"</f>
        <v>19-19607</v>
      </c>
      <c r="F345" t="str">
        <f>"CENTRAL ADOPTION REGISTRY FUND"</f>
        <v>CENTRAL ADOPTION REGISTRY FUND</v>
      </c>
      <c r="G345" s="2">
        <v>15</v>
      </c>
      <c r="H345" t="str">
        <f>"CENTRAL ADOPTION REGISTRY FUND"</f>
        <v>CENTRAL ADOPTION REGISTRY FUND</v>
      </c>
    </row>
    <row r="346" spans="1:8" x14ac:dyDescent="0.25">
      <c r="E346" t="str">
        <f>"19-19620"</f>
        <v>19-19620</v>
      </c>
      <c r="F346" t="str">
        <f>"CAR FUND"</f>
        <v>CAR FUND</v>
      </c>
      <c r="G346" s="2">
        <v>15</v>
      </c>
      <c r="H346" t="str">
        <f>"CAR FUND"</f>
        <v>CAR FUND</v>
      </c>
    </row>
    <row r="347" spans="1:8" x14ac:dyDescent="0.25">
      <c r="E347" t="str">
        <f>"19-19621"</f>
        <v>19-19621</v>
      </c>
      <c r="F347" t="str">
        <f>"CAR FUND"</f>
        <v>CAR FUND</v>
      </c>
      <c r="G347" s="2">
        <v>15</v>
      </c>
      <c r="H347" t="str">
        <f>"CAR FUND"</f>
        <v>CAR FUND</v>
      </c>
    </row>
    <row r="348" spans="1:8" x14ac:dyDescent="0.25">
      <c r="E348" t="str">
        <f>"423-6445"</f>
        <v>423-6445</v>
      </c>
      <c r="F348" t="str">
        <f>"CENTRAL ADOPTION REGISTRY FUND"</f>
        <v>CENTRAL ADOPTION REGISTRY FUND</v>
      </c>
      <c r="G348" s="2">
        <v>15</v>
      </c>
      <c r="H348" t="str">
        <f>"CENTRAL ADOPTION REGISTRY FUND"</f>
        <v>CENTRAL ADOPTION REGISTRY FUND</v>
      </c>
    </row>
    <row r="349" spans="1:8" x14ac:dyDescent="0.25">
      <c r="E349" t="str">
        <f>"423-6474"</f>
        <v>423-6474</v>
      </c>
      <c r="F349" t="str">
        <f>"CENTRAL ADOPTION REGISTRY FUND"</f>
        <v>CENTRAL ADOPTION REGISTRY FUND</v>
      </c>
      <c r="G349" s="2">
        <v>15</v>
      </c>
      <c r="H349" t="str">
        <f>"CENTRAL ADOPTION REGISTRY FUND"</f>
        <v>CENTRAL ADOPTION REGISTRY FUND</v>
      </c>
    </row>
    <row r="350" spans="1:8" x14ac:dyDescent="0.25">
      <c r="A350" t="s">
        <v>84</v>
      </c>
      <c r="B350">
        <v>82092</v>
      </c>
      <c r="C350" s="2">
        <v>210</v>
      </c>
      <c r="D350" s="1">
        <v>43598</v>
      </c>
      <c r="E350" t="str">
        <f>"201905089225"</f>
        <v>201905089225</v>
      </c>
      <c r="F350" t="str">
        <f>"FERAL HOGS"</f>
        <v>FERAL HOGS</v>
      </c>
      <c r="G350" s="2">
        <v>155</v>
      </c>
      <c r="H350" t="str">
        <f>"FERAL HOGS"</f>
        <v>FERAL HOGS</v>
      </c>
    </row>
    <row r="351" spans="1:8" x14ac:dyDescent="0.25">
      <c r="E351" t="str">
        <f>"201905089226"</f>
        <v>201905089226</v>
      </c>
      <c r="F351" t="str">
        <f>"FERAL HOGS"</f>
        <v>FERAL HOGS</v>
      </c>
      <c r="G351" s="2">
        <v>55</v>
      </c>
      <c r="H351" t="str">
        <f>"FERAL HOGS"</f>
        <v>FERAL HOGS</v>
      </c>
    </row>
    <row r="352" spans="1:8" x14ac:dyDescent="0.25">
      <c r="A352" t="s">
        <v>85</v>
      </c>
      <c r="B352">
        <v>82093</v>
      </c>
      <c r="C352" s="2">
        <v>80</v>
      </c>
      <c r="D352" s="1">
        <v>43598</v>
      </c>
      <c r="E352" t="str">
        <f>"12641"</f>
        <v>12641</v>
      </c>
      <c r="F352" t="str">
        <f>"SERVICE  02/20/19"</f>
        <v>SERVICE  02/20/19</v>
      </c>
      <c r="G352" s="2">
        <v>80</v>
      </c>
      <c r="H352" t="str">
        <f>"SERVICE  02/20/19"</f>
        <v>SERVICE  02/20/19</v>
      </c>
    </row>
    <row r="353" spans="1:8" x14ac:dyDescent="0.25">
      <c r="A353" t="s">
        <v>86</v>
      </c>
      <c r="B353">
        <v>82094</v>
      </c>
      <c r="C353" s="2">
        <v>95</v>
      </c>
      <c r="D353" s="1">
        <v>43598</v>
      </c>
      <c r="E353" t="str">
        <f>"2019RTA 909"</f>
        <v>2019RTA 909</v>
      </c>
      <c r="F353" t="str">
        <f>"INV 2019RTA 909"</f>
        <v>INV 2019RTA 909</v>
      </c>
      <c r="G353" s="2">
        <v>95</v>
      </c>
      <c r="H353" t="str">
        <f>"INV 2019RTA 909"</f>
        <v>INV 2019RTA 909</v>
      </c>
    </row>
    <row r="354" spans="1:8" x14ac:dyDescent="0.25">
      <c r="A354" t="s">
        <v>87</v>
      </c>
      <c r="B354">
        <v>82095</v>
      </c>
      <c r="C354" s="2">
        <v>270</v>
      </c>
      <c r="D354" s="1">
        <v>43598</v>
      </c>
      <c r="E354" t="str">
        <f>"REICHOW D"</f>
        <v>REICHOW D</v>
      </c>
      <c r="F354" t="str">
        <f>"TRANSPORT-D REICHOW"</f>
        <v>TRANSPORT-D REICHOW</v>
      </c>
      <c r="G354" s="2">
        <v>270</v>
      </c>
      <c r="H354" t="str">
        <f>"TRANSPORT-D REICHOW"</f>
        <v>TRANSPORT-D REICHOW</v>
      </c>
    </row>
    <row r="355" spans="1:8" x14ac:dyDescent="0.25">
      <c r="A355" t="s">
        <v>87</v>
      </c>
      <c r="B355">
        <v>82312</v>
      </c>
      <c r="C355" s="2">
        <v>365</v>
      </c>
      <c r="D355" s="1">
        <v>43613</v>
      </c>
      <c r="E355" t="str">
        <f>"201905159273"</f>
        <v>201905159273</v>
      </c>
      <c r="F355" t="str">
        <f>"TRANSPORT-J THETFORD-STACY"</f>
        <v>TRANSPORT-J THETFORD-STACY</v>
      </c>
      <c r="G355" s="2">
        <v>365</v>
      </c>
      <c r="H355" t="str">
        <f>"TRANSPORT-J THETFORD-STACY"</f>
        <v>TRANSPORT-J THETFORD-STACY</v>
      </c>
    </row>
    <row r="356" spans="1:8" x14ac:dyDescent="0.25">
      <c r="A356" t="s">
        <v>88</v>
      </c>
      <c r="B356">
        <v>82096</v>
      </c>
      <c r="C356" s="2">
        <v>721.07</v>
      </c>
      <c r="D356" s="1">
        <v>43598</v>
      </c>
      <c r="E356" t="str">
        <f>"1630843"</f>
        <v>1630843</v>
      </c>
      <c r="F356" t="str">
        <f>"ACCT#000690/ORD#01384968/PCT#4"</f>
        <v>ACCT#000690/ORD#01384968/PCT#4</v>
      </c>
      <c r="G356" s="2">
        <v>5.67</v>
      </c>
      <c r="H356" t="str">
        <f>"ACCT#000690/ORD#01384968/PCT#4"</f>
        <v>ACCT#000690/ORD#01384968/PCT#4</v>
      </c>
    </row>
    <row r="357" spans="1:8" x14ac:dyDescent="0.25">
      <c r="E357" t="str">
        <f>"440098"</f>
        <v>440098</v>
      </c>
      <c r="F357" t="str">
        <f>"ACCT#000690/ORD#00420097/PCT#4"</f>
        <v>ACCT#000690/ORD#00420097/PCT#4</v>
      </c>
      <c r="G357" s="2">
        <v>715.4</v>
      </c>
      <c r="H357" t="str">
        <f>"ACCT#000690/ORD#00420097/PCT#4"</f>
        <v>ACCT#000690/ORD#00420097/PCT#4</v>
      </c>
    </row>
    <row r="358" spans="1:8" x14ac:dyDescent="0.25">
      <c r="A358" t="s">
        <v>89</v>
      </c>
      <c r="B358">
        <v>126</v>
      </c>
      <c r="C358" s="2">
        <v>6210.67</v>
      </c>
      <c r="D358" s="1">
        <v>43598</v>
      </c>
      <c r="E358" t="str">
        <f>"201905089245"</f>
        <v>201905089245</v>
      </c>
      <c r="F358" t="str">
        <f>"Acct# 0058"</f>
        <v>Acct# 0058</v>
      </c>
      <c r="G358" s="2">
        <v>6210.67</v>
      </c>
      <c r="H358" t="str">
        <f>"Hotel"</f>
        <v>Hotel</v>
      </c>
    </row>
    <row r="359" spans="1:8" x14ac:dyDescent="0.25">
      <c r="E359" t="str">
        <f>""</f>
        <v/>
      </c>
      <c r="F359" t="str">
        <f>""</f>
        <v/>
      </c>
      <c r="H359" t="str">
        <f>"Hotel"</f>
        <v>Hotel</v>
      </c>
    </row>
    <row r="360" spans="1:8" x14ac:dyDescent="0.25">
      <c r="E360" t="str">
        <f>""</f>
        <v/>
      </c>
      <c r="F360" t="str">
        <f>""</f>
        <v/>
      </c>
      <c r="H360" t="str">
        <f>"HOtel"</f>
        <v>HOtel</v>
      </c>
    </row>
    <row r="361" spans="1:8" x14ac:dyDescent="0.25">
      <c r="E361" t="str">
        <f>""</f>
        <v/>
      </c>
      <c r="F361" t="str">
        <f>""</f>
        <v/>
      </c>
      <c r="H361" t="str">
        <f>"UT"</f>
        <v>UT</v>
      </c>
    </row>
    <row r="362" spans="1:8" x14ac:dyDescent="0.25">
      <c r="E362" t="str">
        <f>""</f>
        <v/>
      </c>
      <c r="F362" t="str">
        <f>""</f>
        <v/>
      </c>
      <c r="H362" t="str">
        <f>"UT"</f>
        <v>UT</v>
      </c>
    </row>
    <row r="363" spans="1:8" x14ac:dyDescent="0.25">
      <c r="E363" t="str">
        <f>""</f>
        <v/>
      </c>
      <c r="F363" t="str">
        <f>""</f>
        <v/>
      </c>
      <c r="H363" t="str">
        <f>"Hotel"</f>
        <v>Hotel</v>
      </c>
    </row>
    <row r="364" spans="1:8" x14ac:dyDescent="0.25">
      <c r="E364" t="str">
        <f>""</f>
        <v/>
      </c>
      <c r="F364" t="str">
        <f>""</f>
        <v/>
      </c>
      <c r="H364" t="str">
        <f>"Google"</f>
        <v>Google</v>
      </c>
    </row>
    <row r="365" spans="1:8" x14ac:dyDescent="0.25">
      <c r="E365" t="str">
        <f>""</f>
        <v/>
      </c>
      <c r="F365" t="str">
        <f>""</f>
        <v/>
      </c>
      <c r="H365" t="str">
        <f>"Go Daddy"</f>
        <v>Go Daddy</v>
      </c>
    </row>
    <row r="366" spans="1:8" x14ac:dyDescent="0.25">
      <c r="E366" t="str">
        <f>""</f>
        <v/>
      </c>
      <c r="F366" t="str">
        <f>""</f>
        <v/>
      </c>
      <c r="H366" t="str">
        <f>"Web Ex"</f>
        <v>Web Ex</v>
      </c>
    </row>
    <row r="367" spans="1:8" x14ac:dyDescent="0.25">
      <c r="E367" t="str">
        <f>""</f>
        <v/>
      </c>
      <c r="F367" t="str">
        <f>""</f>
        <v/>
      </c>
      <c r="H367" t="str">
        <f>"TxTag"</f>
        <v>TxTag</v>
      </c>
    </row>
    <row r="368" spans="1:8" x14ac:dyDescent="0.25">
      <c r="E368" t="str">
        <f>""</f>
        <v/>
      </c>
      <c r="F368" t="str">
        <f>""</f>
        <v/>
      </c>
      <c r="H368" t="str">
        <f>"State Approved"</f>
        <v>State Approved</v>
      </c>
    </row>
    <row r="369" spans="5:8" x14ac:dyDescent="0.25">
      <c r="E369" t="str">
        <f>""</f>
        <v/>
      </c>
      <c r="F369" t="str">
        <f>""</f>
        <v/>
      </c>
      <c r="H369" t="str">
        <f>"HEB"</f>
        <v>HEB</v>
      </c>
    </row>
    <row r="370" spans="5:8" x14ac:dyDescent="0.25">
      <c r="E370" t="str">
        <f>""</f>
        <v/>
      </c>
      <c r="F370" t="str">
        <f>""</f>
        <v/>
      </c>
      <c r="H370" t="str">
        <f>"Tex Dept"</f>
        <v>Tex Dept</v>
      </c>
    </row>
    <row r="371" spans="5:8" x14ac:dyDescent="0.25">
      <c r="E371" t="str">
        <f>""</f>
        <v/>
      </c>
      <c r="F371" t="str">
        <f>""</f>
        <v/>
      </c>
      <c r="H371" t="str">
        <f>"TxTag"</f>
        <v>TxTag</v>
      </c>
    </row>
    <row r="372" spans="5:8" x14ac:dyDescent="0.25">
      <c r="E372" t="str">
        <f>""</f>
        <v/>
      </c>
      <c r="F372" t="str">
        <f>""</f>
        <v/>
      </c>
      <c r="H372" t="str">
        <f>"Hotel"</f>
        <v>Hotel</v>
      </c>
    </row>
    <row r="373" spans="5:8" x14ac:dyDescent="0.25">
      <c r="E373" t="str">
        <f>""</f>
        <v/>
      </c>
      <c r="F373" t="str">
        <f>""</f>
        <v/>
      </c>
      <c r="H373" t="str">
        <f>"Charles Adame"</f>
        <v>Charles Adame</v>
      </c>
    </row>
    <row r="374" spans="5:8" x14ac:dyDescent="0.25">
      <c r="E374" t="str">
        <f>""</f>
        <v/>
      </c>
      <c r="F374" t="str">
        <f>""</f>
        <v/>
      </c>
      <c r="H374" t="str">
        <f>"Erika"</f>
        <v>Erika</v>
      </c>
    </row>
    <row r="375" spans="5:8" x14ac:dyDescent="0.25">
      <c r="E375" t="str">
        <f>""</f>
        <v/>
      </c>
      <c r="F375" t="str">
        <f>""</f>
        <v/>
      </c>
      <c r="H375" t="str">
        <f>"Rosanna"</f>
        <v>Rosanna</v>
      </c>
    </row>
    <row r="376" spans="5:8" x14ac:dyDescent="0.25">
      <c r="E376" t="str">
        <f>""</f>
        <v/>
      </c>
      <c r="F376" t="str">
        <f>""</f>
        <v/>
      </c>
      <c r="H376" t="str">
        <f>"Robert"</f>
        <v>Robert</v>
      </c>
    </row>
    <row r="377" spans="5:8" x14ac:dyDescent="0.25">
      <c r="E377" t="str">
        <f>""</f>
        <v/>
      </c>
      <c r="F377" t="str">
        <f>""</f>
        <v/>
      </c>
      <c r="H377" t="str">
        <f>"Annette"</f>
        <v>Annette</v>
      </c>
    </row>
    <row r="378" spans="5:8" x14ac:dyDescent="0.25">
      <c r="E378" t="str">
        <f>""</f>
        <v/>
      </c>
      <c r="F378" t="str">
        <f>""</f>
        <v/>
      </c>
      <c r="H378" t="str">
        <f>"Kenneth Leatherwood"</f>
        <v>Kenneth Leatherwood</v>
      </c>
    </row>
    <row r="379" spans="5:8" x14ac:dyDescent="0.25">
      <c r="E379" t="str">
        <f>""</f>
        <v/>
      </c>
      <c r="F379" t="str">
        <f>""</f>
        <v/>
      </c>
      <c r="H379" t="str">
        <f>"Hotel"</f>
        <v>Hotel</v>
      </c>
    </row>
    <row r="380" spans="5:8" x14ac:dyDescent="0.25">
      <c r="E380" t="str">
        <f>""</f>
        <v/>
      </c>
      <c r="F380" t="str">
        <f>""</f>
        <v/>
      </c>
      <c r="H380" t="str">
        <f>"Hotel"</f>
        <v>Hotel</v>
      </c>
    </row>
    <row r="381" spans="5:8" x14ac:dyDescent="0.25">
      <c r="E381" t="str">
        <f>""</f>
        <v/>
      </c>
      <c r="F381" t="str">
        <f>""</f>
        <v/>
      </c>
      <c r="H381" t="str">
        <f>"TxTag"</f>
        <v>TxTag</v>
      </c>
    </row>
    <row r="382" spans="5:8" x14ac:dyDescent="0.25">
      <c r="E382" t="str">
        <f>""</f>
        <v/>
      </c>
      <c r="F382" t="str">
        <f>""</f>
        <v/>
      </c>
      <c r="H382" t="str">
        <f>"Hotel"</f>
        <v>Hotel</v>
      </c>
    </row>
    <row r="383" spans="5:8" x14ac:dyDescent="0.25">
      <c r="E383" t="str">
        <f>""</f>
        <v/>
      </c>
      <c r="F383" t="str">
        <f>""</f>
        <v/>
      </c>
      <c r="H383" t="str">
        <f>"Texas Trailer"</f>
        <v>Texas Trailer</v>
      </c>
    </row>
    <row r="384" spans="5:8" x14ac:dyDescent="0.25">
      <c r="E384" t="str">
        <f>""</f>
        <v/>
      </c>
      <c r="F384" t="str">
        <f>""</f>
        <v/>
      </c>
      <c r="H384" t="str">
        <f>"TS Distributors"</f>
        <v>TS Distributors</v>
      </c>
    </row>
    <row r="385" spans="1:8" x14ac:dyDescent="0.25">
      <c r="E385" t="str">
        <f>""</f>
        <v/>
      </c>
      <c r="F385" t="str">
        <f>""</f>
        <v/>
      </c>
      <c r="H385" t="str">
        <f>"TxTag"</f>
        <v>TxTag</v>
      </c>
    </row>
    <row r="386" spans="1:8" x14ac:dyDescent="0.25">
      <c r="E386" t="str">
        <f>""</f>
        <v/>
      </c>
      <c r="F386" t="str">
        <f>""</f>
        <v/>
      </c>
      <c r="H386" t="str">
        <f>"Walmart"</f>
        <v>Walmart</v>
      </c>
    </row>
    <row r="387" spans="1:8" x14ac:dyDescent="0.25">
      <c r="E387" t="str">
        <f>""</f>
        <v/>
      </c>
      <c r="F387" t="str">
        <f>""</f>
        <v/>
      </c>
      <c r="H387" t="str">
        <f>"TxTag"</f>
        <v>TxTag</v>
      </c>
    </row>
    <row r="388" spans="1:8" x14ac:dyDescent="0.25">
      <c r="E388" t="str">
        <f>""</f>
        <v/>
      </c>
      <c r="F388" t="str">
        <f>""</f>
        <v/>
      </c>
      <c r="H388" t="str">
        <f>"TxTag"</f>
        <v>TxTag</v>
      </c>
    </row>
    <row r="389" spans="1:8" x14ac:dyDescent="0.25">
      <c r="E389" t="str">
        <f>""</f>
        <v/>
      </c>
      <c r="F389" t="str">
        <f>""</f>
        <v/>
      </c>
      <c r="H389" t="str">
        <f>"Hotel"</f>
        <v>Hotel</v>
      </c>
    </row>
    <row r="390" spans="1:8" x14ac:dyDescent="0.25">
      <c r="E390" t="str">
        <f>""</f>
        <v/>
      </c>
      <c r="F390" t="str">
        <f>""</f>
        <v/>
      </c>
      <c r="H390" t="str">
        <f>"Hotel"</f>
        <v>Hotel</v>
      </c>
    </row>
    <row r="391" spans="1:8" x14ac:dyDescent="0.25">
      <c r="A391" t="s">
        <v>89</v>
      </c>
      <c r="B391">
        <v>127</v>
      </c>
      <c r="C391" s="2">
        <v>2585.83</v>
      </c>
      <c r="D391" s="1">
        <v>43598</v>
      </c>
      <c r="E391" t="str">
        <f>"201905089233"</f>
        <v>201905089233</v>
      </c>
      <c r="F391" t="str">
        <f>"STATEMENT 0574"</f>
        <v>STATEMENT 0574</v>
      </c>
      <c r="G391" s="2">
        <v>1642.45</v>
      </c>
      <c r="H391" t="str">
        <f>"HOME DEPOT"</f>
        <v>HOME DEPOT</v>
      </c>
    </row>
    <row r="392" spans="1:8" x14ac:dyDescent="0.25">
      <c r="E392" t="str">
        <f>""</f>
        <v/>
      </c>
      <c r="F392" t="str">
        <f>""</f>
        <v/>
      </c>
      <c r="H392" t="str">
        <f>"HOME DEOPOT"</f>
        <v>HOME DEOPOT</v>
      </c>
    </row>
    <row r="393" spans="1:8" x14ac:dyDescent="0.25">
      <c r="E393" t="str">
        <f>""</f>
        <v/>
      </c>
      <c r="F393" t="str">
        <f>""</f>
        <v/>
      </c>
      <c r="H393" t="str">
        <f>"FBI RETAIL / MCX"</f>
        <v>FBI RETAIL / MCX</v>
      </c>
    </row>
    <row r="394" spans="1:8" x14ac:dyDescent="0.25">
      <c r="E394" t="str">
        <f>""</f>
        <v/>
      </c>
      <c r="F394" t="str">
        <f>""</f>
        <v/>
      </c>
      <c r="H394" t="str">
        <f>"DURY PLAZA - BRIMHAL"</f>
        <v>DURY PLAZA - BRIMHAL</v>
      </c>
    </row>
    <row r="395" spans="1:8" x14ac:dyDescent="0.25">
      <c r="E395" t="str">
        <f>""</f>
        <v/>
      </c>
      <c r="F395" t="str">
        <f>""</f>
        <v/>
      </c>
      <c r="H395" t="str">
        <f>"DRURY PLAZA - LEMOND"</f>
        <v>DRURY PLAZA - LEMOND</v>
      </c>
    </row>
    <row r="396" spans="1:8" x14ac:dyDescent="0.25">
      <c r="E396" t="str">
        <f>""</f>
        <v/>
      </c>
      <c r="F396" t="str">
        <f>""</f>
        <v/>
      </c>
      <c r="H396" t="str">
        <f>"INTREST"</f>
        <v>INTREST</v>
      </c>
    </row>
    <row r="397" spans="1:8" x14ac:dyDescent="0.25">
      <c r="E397" t="str">
        <f>""</f>
        <v/>
      </c>
      <c r="F397" t="str">
        <f>""</f>
        <v/>
      </c>
      <c r="H397" t="str">
        <f>"BASTROP COPIER"</f>
        <v>BASTROP COPIER</v>
      </c>
    </row>
    <row r="398" spans="1:8" x14ac:dyDescent="0.25">
      <c r="E398" t="str">
        <f>"201905089236"</f>
        <v>201905089236</v>
      </c>
      <c r="F398" t="str">
        <f>"STATEMENT FOR CARD 0574"</f>
        <v>STATEMENT FOR CARD 0574</v>
      </c>
      <c r="G398" s="2">
        <v>943.38</v>
      </c>
      <c r="H398" t="str">
        <f>"ACADEMY SPORTS"</f>
        <v>ACADEMY SPORTS</v>
      </c>
    </row>
    <row r="399" spans="1:8" x14ac:dyDescent="0.25">
      <c r="E399" t="str">
        <f>""</f>
        <v/>
      </c>
      <c r="F399" t="str">
        <f>""</f>
        <v/>
      </c>
      <c r="H399" t="str">
        <f>"HOBBY LOBBY"</f>
        <v>HOBBY LOBBY</v>
      </c>
    </row>
    <row r="400" spans="1:8" x14ac:dyDescent="0.25">
      <c r="E400" t="str">
        <f>""</f>
        <v/>
      </c>
      <c r="F400" t="str">
        <f>""</f>
        <v/>
      </c>
      <c r="H400" t="str">
        <f>"DOUBLETREE AUSTIN"</f>
        <v>DOUBLETREE AUSTIN</v>
      </c>
    </row>
    <row r="401" spans="1:8" x14ac:dyDescent="0.25">
      <c r="E401" t="str">
        <f>""</f>
        <v/>
      </c>
      <c r="F401" t="str">
        <f>""</f>
        <v/>
      </c>
      <c r="H401" t="str">
        <f>"DOUBLETREE AUSTIN"</f>
        <v>DOUBLETREE AUSTIN</v>
      </c>
    </row>
    <row r="402" spans="1:8" x14ac:dyDescent="0.25">
      <c r="E402" t="str">
        <f>""</f>
        <v/>
      </c>
      <c r="F402" t="str">
        <f>""</f>
        <v/>
      </c>
      <c r="H402" t="str">
        <f>"DOUBLETREE AUSTIN"</f>
        <v>DOUBLETREE AUSTIN</v>
      </c>
    </row>
    <row r="403" spans="1:8" x14ac:dyDescent="0.25">
      <c r="E403" t="str">
        <f>""</f>
        <v/>
      </c>
      <c r="F403" t="str">
        <f>""</f>
        <v/>
      </c>
      <c r="H403" t="str">
        <f>"DOUBLETREE AUSTIN"</f>
        <v>DOUBLETREE AUSTIN</v>
      </c>
    </row>
    <row r="404" spans="1:8" x14ac:dyDescent="0.25">
      <c r="E404" t="str">
        <f>""</f>
        <v/>
      </c>
      <c r="F404" t="str">
        <f>""</f>
        <v/>
      </c>
      <c r="H404" t="str">
        <f>"LOST PINES TOYOTA"</f>
        <v>LOST PINES TOYOTA</v>
      </c>
    </row>
    <row r="405" spans="1:8" x14ac:dyDescent="0.25">
      <c r="E405" t="str">
        <f>""</f>
        <v/>
      </c>
      <c r="F405" t="str">
        <f>""</f>
        <v/>
      </c>
      <c r="H405" t="str">
        <f>"WATCHGUARD"</f>
        <v>WATCHGUARD</v>
      </c>
    </row>
    <row r="406" spans="1:8" x14ac:dyDescent="0.25">
      <c r="E406" t="str">
        <f>""</f>
        <v/>
      </c>
      <c r="F406" t="str">
        <f>""</f>
        <v/>
      </c>
      <c r="H406" t="str">
        <f>"WALGREENS"</f>
        <v>WALGREENS</v>
      </c>
    </row>
    <row r="407" spans="1:8" x14ac:dyDescent="0.25">
      <c r="E407" t="str">
        <f>""</f>
        <v/>
      </c>
      <c r="F407" t="str">
        <f>""</f>
        <v/>
      </c>
      <c r="H407" t="str">
        <f>"INTEREST"</f>
        <v>INTEREST</v>
      </c>
    </row>
    <row r="408" spans="1:8" x14ac:dyDescent="0.25">
      <c r="E408" t="str">
        <f>""</f>
        <v/>
      </c>
      <c r="F408" t="str">
        <f>""</f>
        <v/>
      </c>
      <c r="H408" t="str">
        <f>"CAR AND TRUCK REMOTE"</f>
        <v>CAR AND TRUCK REMOTE</v>
      </c>
    </row>
    <row r="409" spans="1:8" x14ac:dyDescent="0.25">
      <c r="E409" t="str">
        <f>""</f>
        <v/>
      </c>
      <c r="F409" t="str">
        <f>""</f>
        <v/>
      </c>
      <c r="H409" t="str">
        <f>"FLATONIA GEN"</f>
        <v>FLATONIA GEN</v>
      </c>
    </row>
    <row r="410" spans="1:8" x14ac:dyDescent="0.25">
      <c r="A410" t="s">
        <v>90</v>
      </c>
      <c r="B410">
        <v>82097</v>
      </c>
      <c r="C410" s="2">
        <v>145</v>
      </c>
      <c r="D410" s="1">
        <v>43598</v>
      </c>
      <c r="E410" t="str">
        <f>"201905089221"</f>
        <v>201905089221</v>
      </c>
      <c r="F410" t="str">
        <f>"FERAL HOGS"</f>
        <v>FERAL HOGS</v>
      </c>
      <c r="G410" s="2">
        <v>145</v>
      </c>
      <c r="H410" t="str">
        <f>"FERAL HOGS"</f>
        <v>FERAL HOGS</v>
      </c>
    </row>
    <row r="411" spans="1:8" x14ac:dyDescent="0.25">
      <c r="A411" t="s">
        <v>91</v>
      </c>
      <c r="B411">
        <v>82098</v>
      </c>
      <c r="C411" s="2">
        <v>15</v>
      </c>
      <c r="D411" s="1">
        <v>43598</v>
      </c>
      <c r="E411" t="str">
        <f>"201904248758"</f>
        <v>201904248758</v>
      </c>
      <c r="F411" t="str">
        <f>"REGISTRATION FEE-ETTA WILEY"</f>
        <v>REGISTRATION FEE-ETTA WILEY</v>
      </c>
      <c r="G411" s="2">
        <v>15</v>
      </c>
      <c r="H411" t="str">
        <f>"REGISTRATION FEE-ETTA WILEY"</f>
        <v>REGISTRATION FEE-ETTA WILEY</v>
      </c>
    </row>
    <row r="412" spans="1:8" x14ac:dyDescent="0.25">
      <c r="A412" t="s">
        <v>92</v>
      </c>
      <c r="B412">
        <v>801</v>
      </c>
      <c r="C412" s="2">
        <v>2860.15</v>
      </c>
      <c r="D412" s="1">
        <v>43599</v>
      </c>
      <c r="E412" t="str">
        <f>"SCF1093 SBT5766 SB"</f>
        <v>SCF1093 SBT5766 SB</v>
      </c>
      <c r="F412" t="str">
        <f>"CDW-G parts for new build"</f>
        <v>CDW-G parts for new build</v>
      </c>
      <c r="G412" s="2">
        <v>2860.15</v>
      </c>
      <c r="H412" t="str">
        <f>"Mfg. Part#: HKLP50"</f>
        <v>Mfg. Part#: HKLP50</v>
      </c>
    </row>
    <row r="413" spans="1:8" x14ac:dyDescent="0.25">
      <c r="E413" t="str">
        <f>""</f>
        <v/>
      </c>
      <c r="F413" t="str">
        <f>""</f>
        <v/>
      </c>
      <c r="H413" t="str">
        <f>"Mfg. Part#: PS66B"</f>
        <v>Mfg. Part#: PS66B</v>
      </c>
    </row>
    <row r="414" spans="1:8" x14ac:dyDescent="0.25">
      <c r="E414" t="str">
        <f>""</f>
        <v/>
      </c>
      <c r="F414" t="str">
        <f>""</f>
        <v/>
      </c>
      <c r="H414" t="str">
        <f>"Mfg. Part#: HDMIPLAT"</f>
        <v>Mfg. Part#: HDMIPLAT</v>
      </c>
    </row>
    <row r="415" spans="1:8" x14ac:dyDescent="0.25">
      <c r="E415" t="str">
        <f>""</f>
        <v/>
      </c>
      <c r="F415" t="str">
        <f>""</f>
        <v/>
      </c>
      <c r="H415" t="str">
        <f>"Mfg. Part#: N370-01M"</f>
        <v>Mfg. Part#: N370-01M</v>
      </c>
    </row>
    <row r="416" spans="1:8" x14ac:dyDescent="0.25">
      <c r="E416" t="str">
        <f>""</f>
        <v/>
      </c>
      <c r="F416" t="str">
        <f>""</f>
        <v/>
      </c>
      <c r="H416" t="str">
        <f>"Mfg. Part#: N370-03M"</f>
        <v>Mfg. Part#: N370-03M</v>
      </c>
    </row>
    <row r="417" spans="1:8" x14ac:dyDescent="0.25">
      <c r="E417" t="str">
        <f>""</f>
        <v/>
      </c>
      <c r="F417" t="str">
        <f>""</f>
        <v/>
      </c>
      <c r="H417" t="str">
        <f>"Mfg. Part#: P568-035"</f>
        <v>Mfg. Part#: P568-035</v>
      </c>
    </row>
    <row r="418" spans="1:8" x14ac:dyDescent="0.25">
      <c r="E418" t="str">
        <f>""</f>
        <v/>
      </c>
      <c r="F418" t="str">
        <f>""</f>
        <v/>
      </c>
      <c r="H418" t="str">
        <f>"Mfg. Part#: 30130-71"</f>
        <v>Mfg. Part#: 30130-71</v>
      </c>
    </row>
    <row r="419" spans="1:8" x14ac:dyDescent="0.25">
      <c r="E419" t="str">
        <f>""</f>
        <v/>
      </c>
      <c r="F419" t="str">
        <f>""</f>
        <v/>
      </c>
      <c r="H419" t="str">
        <f>"Mfg. Part#: PDUMNH15"</f>
        <v>Mfg. Part#: PDUMNH15</v>
      </c>
    </row>
    <row r="420" spans="1:8" x14ac:dyDescent="0.25">
      <c r="E420" t="str">
        <f>""</f>
        <v/>
      </c>
      <c r="F420" t="str">
        <f>""</f>
        <v/>
      </c>
      <c r="H420" t="str">
        <f>"Mfg. Part#: UTPSP5BU"</f>
        <v>Mfg. Part#: UTPSP5BU</v>
      </c>
    </row>
    <row r="421" spans="1:8" x14ac:dyDescent="0.25">
      <c r="E421" t="str">
        <f>""</f>
        <v/>
      </c>
      <c r="F421" t="str">
        <f>""</f>
        <v/>
      </c>
      <c r="H421" t="str">
        <f>"Mfg. Part#: UTPSP7BU"</f>
        <v>Mfg. Part#: UTPSP7BU</v>
      </c>
    </row>
    <row r="422" spans="1:8" x14ac:dyDescent="0.25">
      <c r="E422" t="str">
        <f>""</f>
        <v/>
      </c>
      <c r="F422" t="str">
        <f>""</f>
        <v/>
      </c>
      <c r="H422" t="str">
        <f>"Mfg. Part#: UTPSP10B"</f>
        <v>Mfg. Part#: UTPSP10B</v>
      </c>
    </row>
    <row r="423" spans="1:8" x14ac:dyDescent="0.25">
      <c r="A423" t="s">
        <v>93</v>
      </c>
      <c r="B423">
        <v>777</v>
      </c>
      <c r="C423" s="2">
        <v>48</v>
      </c>
      <c r="D423" s="1">
        <v>43599</v>
      </c>
      <c r="E423" t="str">
        <f>"23246"</f>
        <v>23246</v>
      </c>
      <c r="F423" t="str">
        <f>"PARTS/PCT#3"</f>
        <v>PARTS/PCT#3</v>
      </c>
      <c r="G423" s="2">
        <v>48</v>
      </c>
      <c r="H423" t="str">
        <f>"PARTS/PCT#3"</f>
        <v>PARTS/PCT#3</v>
      </c>
    </row>
    <row r="424" spans="1:8" x14ac:dyDescent="0.25">
      <c r="A424" t="s">
        <v>94</v>
      </c>
      <c r="B424">
        <v>82039</v>
      </c>
      <c r="C424" s="2">
        <v>2475.5300000000002</v>
      </c>
      <c r="D424" s="1">
        <v>43586</v>
      </c>
      <c r="E424" t="str">
        <f>"201904308901"</f>
        <v>201904308901</v>
      </c>
      <c r="F424" t="str">
        <f>"ACCT#8000081165-5 / 04182019"</f>
        <v>ACCT#8000081165-5 / 04182019</v>
      </c>
      <c r="G424" s="2">
        <v>2475.5300000000002</v>
      </c>
      <c r="H424" t="str">
        <f>"ACCT#8000081165-5 / 04182019"</f>
        <v>ACCT#8000081165-5 / 04182019</v>
      </c>
    </row>
    <row r="425" spans="1:8" x14ac:dyDescent="0.25">
      <c r="E425" t="str">
        <f>""</f>
        <v/>
      </c>
      <c r="F425" t="str">
        <f>""</f>
        <v/>
      </c>
      <c r="H425" t="str">
        <f>"ACCT#8000081165-5 / 04182019"</f>
        <v>ACCT#8000081165-5 / 04182019</v>
      </c>
    </row>
    <row r="426" spans="1:8" x14ac:dyDescent="0.25">
      <c r="A426" t="s">
        <v>94</v>
      </c>
      <c r="B426">
        <v>82437</v>
      </c>
      <c r="C426" s="2">
        <v>1713.25</v>
      </c>
      <c r="D426" s="1">
        <v>43616</v>
      </c>
      <c r="E426" t="str">
        <f>"201905319524"</f>
        <v>201905319524</v>
      </c>
      <c r="F426" t="str">
        <f>"ACCT#8000081165-5 / 05202019"</f>
        <v>ACCT#8000081165-5 / 05202019</v>
      </c>
      <c r="G426" s="2">
        <v>1713.25</v>
      </c>
      <c r="H426" t="str">
        <f>"ACCT#8000081165-5 / 05202019"</f>
        <v>ACCT#8000081165-5 / 05202019</v>
      </c>
    </row>
    <row r="427" spans="1:8" x14ac:dyDescent="0.25">
      <c r="E427" t="str">
        <f>""</f>
        <v/>
      </c>
      <c r="F427" t="str">
        <f>""</f>
        <v/>
      </c>
      <c r="H427" t="str">
        <f>"ACCT#8000081165-5 / 05202019"</f>
        <v>ACCT#8000081165-5 / 05202019</v>
      </c>
    </row>
    <row r="428" spans="1:8" x14ac:dyDescent="0.25">
      <c r="A428" t="s">
        <v>95</v>
      </c>
      <c r="B428">
        <v>82099</v>
      </c>
      <c r="C428" s="2">
        <v>1376.57</v>
      </c>
      <c r="D428" s="1">
        <v>43598</v>
      </c>
      <c r="E428" t="str">
        <f>"CID2433999"</f>
        <v>CID2433999</v>
      </c>
      <c r="F428" t="str">
        <f>"ACCT#238567/ORD#CID2493265"</f>
        <v>ACCT#238567/ORD#CID2493265</v>
      </c>
      <c r="G428" s="2">
        <v>1376.57</v>
      </c>
      <c r="H428" t="str">
        <f>"ACCT#238567/ORD#CID2493265"</f>
        <v>ACCT#238567/ORD#CID2493265</v>
      </c>
    </row>
    <row r="429" spans="1:8" x14ac:dyDescent="0.25">
      <c r="A429" t="s">
        <v>96</v>
      </c>
      <c r="B429">
        <v>82100</v>
      </c>
      <c r="C429" s="2">
        <v>6300</v>
      </c>
      <c r="D429" s="1">
        <v>43598</v>
      </c>
      <c r="E429" t="str">
        <f>"12756"</f>
        <v>12756</v>
      </c>
      <c r="F429" t="str">
        <f>"CTA 444-18/O.S. ARIAS"</f>
        <v>CTA 444-18/O.S. ARIAS</v>
      </c>
      <c r="G429" s="2">
        <v>2100</v>
      </c>
      <c r="H429" t="str">
        <f>"CTA 444-18/O.S. ARIAS"</f>
        <v>CTA 444-18/O.S. ARIAS</v>
      </c>
    </row>
    <row r="430" spans="1:8" x14ac:dyDescent="0.25">
      <c r="E430" t="str">
        <f>"12757"</f>
        <v>12757</v>
      </c>
      <c r="F430" t="str">
        <f>"CTA 478-18/P.L. BURKHARDT"</f>
        <v>CTA 478-18/P.L. BURKHARDT</v>
      </c>
      <c r="G430" s="2">
        <v>2100</v>
      </c>
      <c r="H430" t="str">
        <f>"CTA 478-18/P.L. BURKHARDT"</f>
        <v>CTA 478-18/P.L. BURKHARDT</v>
      </c>
    </row>
    <row r="431" spans="1:8" x14ac:dyDescent="0.25">
      <c r="E431" t="str">
        <f>"12758"</f>
        <v>12758</v>
      </c>
      <c r="F431" t="str">
        <f>"CTA 507-18/R.E. LANGFORD"</f>
        <v>CTA 507-18/R.E. LANGFORD</v>
      </c>
      <c r="G431" s="2">
        <v>2100</v>
      </c>
      <c r="H431" t="str">
        <f>"CTA 507-18/R.E. LANGFORD"</f>
        <v>CTA 507-18/R.E. LANGFORD</v>
      </c>
    </row>
    <row r="432" spans="1:8" x14ac:dyDescent="0.25">
      <c r="A432" t="s">
        <v>97</v>
      </c>
      <c r="B432">
        <v>82101</v>
      </c>
      <c r="C432" s="2">
        <v>1950</v>
      </c>
      <c r="D432" s="1">
        <v>43598</v>
      </c>
      <c r="E432" t="str">
        <f>"201904248818"</f>
        <v>201904248818</v>
      </c>
      <c r="F432" t="str">
        <f>"18-18966"</f>
        <v>18-18966</v>
      </c>
      <c r="G432" s="2">
        <v>100</v>
      </c>
      <c r="H432" t="str">
        <f>"18-18966"</f>
        <v>18-18966</v>
      </c>
    </row>
    <row r="433" spans="1:8" x14ac:dyDescent="0.25">
      <c r="E433" t="str">
        <f>"201904248819"</f>
        <v>201904248819</v>
      </c>
      <c r="F433" t="str">
        <f>"18-19321"</f>
        <v>18-19321</v>
      </c>
      <c r="G433" s="2">
        <v>100</v>
      </c>
      <c r="H433" t="str">
        <f>"18-19321"</f>
        <v>18-19321</v>
      </c>
    </row>
    <row r="434" spans="1:8" x14ac:dyDescent="0.25">
      <c r="E434" t="str">
        <f>"201904248857"</f>
        <v>201904248857</v>
      </c>
      <c r="F434" t="str">
        <f>"42 805"</f>
        <v>42 805</v>
      </c>
      <c r="G434" s="2">
        <v>250</v>
      </c>
      <c r="H434" t="str">
        <f>"42 805"</f>
        <v>42 805</v>
      </c>
    </row>
    <row r="435" spans="1:8" x14ac:dyDescent="0.25">
      <c r="E435" t="str">
        <f>"201905079069"</f>
        <v>201905079069</v>
      </c>
      <c r="F435" t="str">
        <f>"101112019A/B/F"</f>
        <v>101112019A/B/F</v>
      </c>
      <c r="G435" s="2">
        <v>500</v>
      </c>
      <c r="H435" t="str">
        <f>"101112019A/B/F"</f>
        <v>101112019A/B/F</v>
      </c>
    </row>
    <row r="436" spans="1:8" x14ac:dyDescent="0.25">
      <c r="E436" t="str">
        <f>"201905079087"</f>
        <v>201905079087</v>
      </c>
      <c r="F436" t="str">
        <f>"AC-2018-0924"</f>
        <v>AC-2018-0924</v>
      </c>
      <c r="G436" s="2">
        <v>250</v>
      </c>
      <c r="H436" t="str">
        <f>"AC-2018-0924"</f>
        <v>AC-2018-0924</v>
      </c>
    </row>
    <row r="437" spans="1:8" x14ac:dyDescent="0.25">
      <c r="E437" t="str">
        <f>"201905079093"</f>
        <v>201905079093</v>
      </c>
      <c r="F437" t="str">
        <f>"402099-5"</f>
        <v>402099-5</v>
      </c>
      <c r="G437" s="2">
        <v>250</v>
      </c>
      <c r="H437" t="str">
        <f>"402099-5"</f>
        <v>402099-5</v>
      </c>
    </row>
    <row r="438" spans="1:8" x14ac:dyDescent="0.25">
      <c r="E438" t="str">
        <f>"201905079094"</f>
        <v>201905079094</v>
      </c>
      <c r="F438" t="str">
        <f>"10202019E"</f>
        <v>10202019E</v>
      </c>
      <c r="G438" s="2">
        <v>250</v>
      </c>
      <c r="H438" t="str">
        <f>"10202019E"</f>
        <v>10202019E</v>
      </c>
    </row>
    <row r="439" spans="1:8" x14ac:dyDescent="0.25">
      <c r="E439" t="str">
        <f>"201905079101"</f>
        <v>201905079101</v>
      </c>
      <c r="F439" t="str">
        <f>"56 599"</f>
        <v>56 599</v>
      </c>
      <c r="G439" s="2">
        <v>250</v>
      </c>
      <c r="H439" t="str">
        <f>"56 599"</f>
        <v>56 599</v>
      </c>
    </row>
    <row r="440" spans="1:8" x14ac:dyDescent="0.25">
      <c r="A440" t="s">
        <v>97</v>
      </c>
      <c r="B440">
        <v>82313</v>
      </c>
      <c r="C440" s="2">
        <v>250</v>
      </c>
      <c r="D440" s="1">
        <v>43613</v>
      </c>
      <c r="E440" t="str">
        <f>"201905219397"</f>
        <v>201905219397</v>
      </c>
      <c r="F440" t="str">
        <f>"1011320190"</f>
        <v>1011320190</v>
      </c>
      <c r="G440" s="2">
        <v>250</v>
      </c>
      <c r="H440" t="str">
        <f>"1011320190"</f>
        <v>1011320190</v>
      </c>
    </row>
    <row r="441" spans="1:8" x14ac:dyDescent="0.25">
      <c r="A441" t="s">
        <v>98</v>
      </c>
      <c r="B441">
        <v>82102</v>
      </c>
      <c r="C441" s="2">
        <v>140</v>
      </c>
      <c r="D441" s="1">
        <v>43598</v>
      </c>
      <c r="E441" t="str">
        <f>"201905089222"</f>
        <v>201905089222</v>
      </c>
      <c r="F441" t="str">
        <f>"FERAL HOGS"</f>
        <v>FERAL HOGS</v>
      </c>
      <c r="G441" s="2">
        <v>140</v>
      </c>
      <c r="H441" t="str">
        <f>"FERAL HOGS"</f>
        <v>FERAL HOGS</v>
      </c>
    </row>
    <row r="442" spans="1:8" x14ac:dyDescent="0.25">
      <c r="A442" t="s">
        <v>99</v>
      </c>
      <c r="B442">
        <v>807</v>
      </c>
      <c r="C442" s="2">
        <v>2300</v>
      </c>
      <c r="D442" s="1">
        <v>43599</v>
      </c>
      <c r="E442" t="str">
        <f>"201904248752"</f>
        <v>201904248752</v>
      </c>
      <c r="F442" t="str">
        <f>"16 274"</f>
        <v>16 274</v>
      </c>
      <c r="G442" s="2">
        <v>400</v>
      </c>
      <c r="H442" t="str">
        <f>"16 274"</f>
        <v>16 274</v>
      </c>
    </row>
    <row r="443" spans="1:8" x14ac:dyDescent="0.25">
      <c r="E443" t="str">
        <f>"201904248790"</f>
        <v>201904248790</v>
      </c>
      <c r="F443" t="str">
        <f>"17-18646"</f>
        <v>17-18646</v>
      </c>
      <c r="G443" s="2">
        <v>100</v>
      </c>
      <c r="H443" t="str">
        <f>"17-18646"</f>
        <v>17-18646</v>
      </c>
    </row>
    <row r="444" spans="1:8" x14ac:dyDescent="0.25">
      <c r="E444" t="str">
        <f>"201904248791"</f>
        <v>201904248791</v>
      </c>
      <c r="F444" t="str">
        <f>"18-19039"</f>
        <v>18-19039</v>
      </c>
      <c r="G444" s="2">
        <v>100</v>
      </c>
      <c r="H444" t="str">
        <f>"18-19039"</f>
        <v>18-19039</v>
      </c>
    </row>
    <row r="445" spans="1:8" x14ac:dyDescent="0.25">
      <c r="E445" t="str">
        <f>"201904248792"</f>
        <v>201904248792</v>
      </c>
      <c r="F445" t="str">
        <f>"19-19572"</f>
        <v>19-19572</v>
      </c>
      <c r="G445" s="2">
        <v>250</v>
      </c>
      <c r="H445" t="str">
        <f>"19-19572"</f>
        <v>19-19572</v>
      </c>
    </row>
    <row r="446" spans="1:8" x14ac:dyDescent="0.25">
      <c r="E446" t="str">
        <f>"201904248793"</f>
        <v>201904248793</v>
      </c>
      <c r="F446" t="str">
        <f>"18-19130"</f>
        <v>18-19130</v>
      </c>
      <c r="G446" s="2">
        <v>250</v>
      </c>
      <c r="H446" t="str">
        <f>"18-19130"</f>
        <v>18-19130</v>
      </c>
    </row>
    <row r="447" spans="1:8" x14ac:dyDescent="0.25">
      <c r="E447" t="str">
        <f>"201904248836"</f>
        <v>201904248836</v>
      </c>
      <c r="F447" t="str">
        <f>"54 104"</f>
        <v>54 104</v>
      </c>
      <c r="G447" s="2">
        <v>250</v>
      </c>
      <c r="H447" t="str">
        <f>"54 104"</f>
        <v>54 104</v>
      </c>
    </row>
    <row r="448" spans="1:8" x14ac:dyDescent="0.25">
      <c r="E448" t="str">
        <f>"201904248846"</f>
        <v>201904248846</v>
      </c>
      <c r="F448" t="str">
        <f>"309222018A"</f>
        <v>309222018A</v>
      </c>
      <c r="G448" s="2">
        <v>250</v>
      </c>
      <c r="H448" t="str">
        <f>"309222018A"</f>
        <v>309222018A</v>
      </c>
    </row>
    <row r="449" spans="1:8" x14ac:dyDescent="0.25">
      <c r="E449" t="str">
        <f>"201904268871"</f>
        <v>201904268871</v>
      </c>
      <c r="F449" t="str">
        <f>"1120-335"</f>
        <v>1120-335</v>
      </c>
      <c r="G449" s="2">
        <v>100</v>
      </c>
      <c r="H449" t="str">
        <f>"1120-335"</f>
        <v>1120-335</v>
      </c>
    </row>
    <row r="450" spans="1:8" x14ac:dyDescent="0.25">
      <c r="E450" t="str">
        <f>"201905079068"</f>
        <v>201905079068</v>
      </c>
      <c r="F450" t="str">
        <f>"18-19054"</f>
        <v>18-19054</v>
      </c>
      <c r="G450" s="2">
        <v>100</v>
      </c>
      <c r="H450" t="str">
        <f>"18-19054"</f>
        <v>18-19054</v>
      </c>
    </row>
    <row r="451" spans="1:8" x14ac:dyDescent="0.25">
      <c r="E451" t="str">
        <f>"201905079081"</f>
        <v>201905079081</v>
      </c>
      <c r="F451" t="str">
        <f>"56 418"</f>
        <v>56 418</v>
      </c>
      <c r="G451" s="2">
        <v>250</v>
      </c>
      <c r="H451" t="str">
        <f>"56 418"</f>
        <v>56 418</v>
      </c>
    </row>
    <row r="452" spans="1:8" x14ac:dyDescent="0.25">
      <c r="E452" t="str">
        <f>"201905079082"</f>
        <v>201905079082</v>
      </c>
      <c r="F452" t="str">
        <f>"2013100819"</f>
        <v>2013100819</v>
      </c>
      <c r="G452" s="2">
        <v>250</v>
      </c>
      <c r="H452" t="str">
        <f>"2013100819"</f>
        <v>2013100819</v>
      </c>
    </row>
    <row r="453" spans="1:8" x14ac:dyDescent="0.25">
      <c r="A453" t="s">
        <v>99</v>
      </c>
      <c r="B453">
        <v>867</v>
      </c>
      <c r="C453" s="2">
        <v>2050</v>
      </c>
      <c r="D453" s="1">
        <v>43614</v>
      </c>
      <c r="E453" t="str">
        <f>"201905219403"</f>
        <v>201905219403</v>
      </c>
      <c r="F453" t="str">
        <f>"BC20180909C"</f>
        <v>BC20180909C</v>
      </c>
      <c r="G453" s="2">
        <v>250</v>
      </c>
      <c r="H453" t="str">
        <f>"BC20180909C"</f>
        <v>BC20180909C</v>
      </c>
    </row>
    <row r="454" spans="1:8" x14ac:dyDescent="0.25">
      <c r="E454" t="str">
        <f>"201905219404"</f>
        <v>201905219404</v>
      </c>
      <c r="F454" t="str">
        <f>"JP103122019B"</f>
        <v>JP103122019B</v>
      </c>
      <c r="G454" s="2">
        <v>250</v>
      </c>
      <c r="H454" t="str">
        <f>"JP103122019B"</f>
        <v>JP103122019B</v>
      </c>
    </row>
    <row r="455" spans="1:8" x14ac:dyDescent="0.25">
      <c r="E455" t="str">
        <f>"201905219415"</f>
        <v>201905219415</v>
      </c>
      <c r="F455" t="str">
        <f>"AC-2017-06903A"</f>
        <v>AC-2017-06903A</v>
      </c>
      <c r="G455" s="2">
        <v>250</v>
      </c>
      <c r="H455" t="str">
        <f>"AC-2017-06903A"</f>
        <v>AC-2017-06903A</v>
      </c>
    </row>
    <row r="456" spans="1:8" x14ac:dyDescent="0.25">
      <c r="E456" t="str">
        <f>"201905219425"</f>
        <v>201905219425</v>
      </c>
      <c r="F456" t="str">
        <f>"19-19627"</f>
        <v>19-19627</v>
      </c>
      <c r="G456" s="2">
        <v>100</v>
      </c>
      <c r="H456" t="str">
        <f>"19-19627"</f>
        <v>19-19627</v>
      </c>
    </row>
    <row r="457" spans="1:8" x14ac:dyDescent="0.25">
      <c r="E457" t="str">
        <f>"201905219426"</f>
        <v>201905219426</v>
      </c>
      <c r="F457" t="str">
        <f>"18-18996"</f>
        <v>18-18996</v>
      </c>
      <c r="G457" s="2">
        <v>100</v>
      </c>
      <c r="H457" t="str">
        <f>"18-18996"</f>
        <v>18-18996</v>
      </c>
    </row>
    <row r="458" spans="1:8" x14ac:dyDescent="0.25">
      <c r="E458" t="str">
        <f>"201905219427"</f>
        <v>201905219427</v>
      </c>
      <c r="F458" t="str">
        <f>"18-19130"</f>
        <v>18-19130</v>
      </c>
      <c r="G458" s="2">
        <v>250</v>
      </c>
      <c r="H458" t="str">
        <f>"18-19130"</f>
        <v>18-19130</v>
      </c>
    </row>
    <row r="459" spans="1:8" x14ac:dyDescent="0.25">
      <c r="E459" t="str">
        <f>"201905219428"</f>
        <v>201905219428</v>
      </c>
      <c r="F459" t="str">
        <f>"18-19279"</f>
        <v>18-19279</v>
      </c>
      <c r="G459" s="2">
        <v>100</v>
      </c>
      <c r="H459" t="str">
        <f>"18-19279"</f>
        <v>18-19279</v>
      </c>
    </row>
    <row r="460" spans="1:8" x14ac:dyDescent="0.25">
      <c r="E460" t="str">
        <f>"201905219429"</f>
        <v>201905219429</v>
      </c>
      <c r="F460" t="str">
        <f>"J-3175"</f>
        <v>J-3175</v>
      </c>
      <c r="G460" s="2">
        <v>250</v>
      </c>
      <c r="H460" t="str">
        <f>"J-3175"</f>
        <v>J-3175</v>
      </c>
    </row>
    <row r="461" spans="1:8" x14ac:dyDescent="0.25">
      <c r="E461" t="str">
        <f>"201905219452"</f>
        <v>201905219452</v>
      </c>
      <c r="F461" t="str">
        <f>"16 720"</f>
        <v>16 720</v>
      </c>
      <c r="G461" s="2">
        <v>400</v>
      </c>
      <c r="H461" t="str">
        <f>"16 720"</f>
        <v>16 720</v>
      </c>
    </row>
    <row r="462" spans="1:8" x14ac:dyDescent="0.25">
      <c r="E462" t="str">
        <f>"201905219453"</f>
        <v>201905219453</v>
      </c>
      <c r="F462" t="str">
        <f>"1144-335"</f>
        <v>1144-335</v>
      </c>
      <c r="G462" s="2">
        <v>100</v>
      </c>
      <c r="H462" t="str">
        <f>"1144-335"</f>
        <v>1144-335</v>
      </c>
    </row>
    <row r="463" spans="1:8" x14ac:dyDescent="0.25">
      <c r="A463" t="s">
        <v>100</v>
      </c>
      <c r="B463">
        <v>797</v>
      </c>
      <c r="C463" s="2">
        <v>265</v>
      </c>
      <c r="D463" s="1">
        <v>43599</v>
      </c>
      <c r="E463" t="str">
        <f>"201905079153"</f>
        <v>201905079153</v>
      </c>
      <c r="F463" t="str">
        <f>"REIMBURSE STATE BAR DUES"</f>
        <v>REIMBURSE STATE BAR DUES</v>
      </c>
      <c r="G463" s="2">
        <v>265</v>
      </c>
      <c r="H463" t="str">
        <f>"REIMBURSE STATE BAR DUES"</f>
        <v>REIMBURSE STATE BAR DUES</v>
      </c>
    </row>
    <row r="464" spans="1:8" x14ac:dyDescent="0.25">
      <c r="A464" t="s">
        <v>101</v>
      </c>
      <c r="B464">
        <v>82314</v>
      </c>
      <c r="C464" s="2">
        <v>199.73</v>
      </c>
      <c r="D464" s="1">
        <v>43613</v>
      </c>
      <c r="E464" t="str">
        <f>"201905219458"</f>
        <v>201905219458</v>
      </c>
      <c r="F464" t="str">
        <f>"ACADEMY REIMBURSEMENT"</f>
        <v>ACADEMY REIMBURSEMENT</v>
      </c>
      <c r="G464" s="2">
        <v>154.72999999999999</v>
      </c>
      <c r="H464" t="str">
        <f>"ACADEMY REIMBURSEMENT"</f>
        <v>ACADEMY REIMBURSEMENT</v>
      </c>
    </row>
    <row r="465" spans="1:8" x14ac:dyDescent="0.25">
      <c r="E465" t="str">
        <f>"201905219460"</f>
        <v>201905219460</v>
      </c>
      <c r="F465" t="str">
        <f>"PER DIEM"</f>
        <v>PER DIEM</v>
      </c>
      <c r="G465" s="2">
        <v>45</v>
      </c>
      <c r="H465" t="str">
        <f>"PER DIEM"</f>
        <v>PER DIEM</v>
      </c>
    </row>
    <row r="466" spans="1:8" x14ac:dyDescent="0.25">
      <c r="A466" t="s">
        <v>102</v>
      </c>
      <c r="B466">
        <v>82103</v>
      </c>
      <c r="C466" s="2">
        <v>68.17</v>
      </c>
      <c r="D466" s="1">
        <v>43598</v>
      </c>
      <c r="E466" t="str">
        <f>"5013706125"</f>
        <v>5013706125</v>
      </c>
      <c r="F466" t="str">
        <f>"CUST#0011167190/PCT#1"</f>
        <v>CUST#0011167190/PCT#1</v>
      </c>
      <c r="G466" s="2">
        <v>68.17</v>
      </c>
      <c r="H466" t="str">
        <f>"CUST#0011167190/PCT#1"</f>
        <v>CUST#0011167190/PCT#1</v>
      </c>
    </row>
    <row r="467" spans="1:8" x14ac:dyDescent="0.25">
      <c r="A467" t="s">
        <v>103</v>
      </c>
      <c r="B467">
        <v>82104</v>
      </c>
      <c r="C467" s="2">
        <v>281.3</v>
      </c>
      <c r="D467" s="1">
        <v>43598</v>
      </c>
      <c r="E467" t="str">
        <f>"201905089184"</f>
        <v>201905089184</v>
      </c>
      <c r="F467" t="str">
        <f>"PAYER#14108463/ANIMAL SHELTER"</f>
        <v>PAYER#14108463/ANIMAL SHELTER</v>
      </c>
      <c r="G467" s="2">
        <v>281.3</v>
      </c>
      <c r="H467" t="str">
        <f>"PAYER#14108463/ANIMAL SHELTER"</f>
        <v>PAYER#14108463/ANIMAL SHELTER</v>
      </c>
    </row>
    <row r="468" spans="1:8" x14ac:dyDescent="0.25">
      <c r="A468" t="s">
        <v>104</v>
      </c>
      <c r="B468">
        <v>82315</v>
      </c>
      <c r="C468" s="2">
        <v>290.37</v>
      </c>
      <c r="D468" s="1">
        <v>43613</v>
      </c>
      <c r="E468" t="str">
        <f>"8404110106"</f>
        <v>8404110106</v>
      </c>
      <c r="F468" t="str">
        <f>"CUST#10377368/PCT#3"</f>
        <v>CUST#10377368/PCT#3</v>
      </c>
      <c r="G468" s="2">
        <v>229.14</v>
      </c>
      <c r="H468" t="str">
        <f>"CUST#10377368/PCT#3"</f>
        <v>CUST#10377368/PCT#3</v>
      </c>
    </row>
    <row r="469" spans="1:8" x14ac:dyDescent="0.25">
      <c r="E469" t="str">
        <f>"8404141737"</f>
        <v>8404141737</v>
      </c>
      <c r="F469" t="str">
        <f>"CUST#10377368/PCT#2"</f>
        <v>CUST#10377368/PCT#2</v>
      </c>
      <c r="G469" s="2">
        <v>61.23</v>
      </c>
      <c r="H469" t="str">
        <f>"CUST#10377368/PCT#2"</f>
        <v>CUST#10377368/PCT#2</v>
      </c>
    </row>
    <row r="470" spans="1:8" x14ac:dyDescent="0.25">
      <c r="A470" t="s">
        <v>103</v>
      </c>
      <c r="B470">
        <v>82316</v>
      </c>
      <c r="C470" s="2">
        <v>5171.1400000000003</v>
      </c>
      <c r="D470" s="1">
        <v>43613</v>
      </c>
      <c r="E470" t="str">
        <f>"201905149262"</f>
        <v>201905149262</v>
      </c>
      <c r="F470" t="str">
        <f>"PAYER#14108431/SIGN SHOP"</f>
        <v>PAYER#14108431/SIGN SHOP</v>
      </c>
      <c r="G470" s="2">
        <v>60.85</v>
      </c>
      <c r="H470" t="str">
        <f>"PAYER#14108431/SIGN SHOP"</f>
        <v>PAYER#14108431/SIGN SHOP</v>
      </c>
    </row>
    <row r="471" spans="1:8" x14ac:dyDescent="0.25">
      <c r="E471" t="str">
        <f>"201905159275"</f>
        <v>201905159275</v>
      </c>
      <c r="F471" t="str">
        <f>"PAYER#14108431/PCT#1"</f>
        <v>PAYER#14108431/PCT#1</v>
      </c>
      <c r="G471" s="2">
        <v>792.2</v>
      </c>
      <c r="H471" t="str">
        <f>"PAYER#14108431/PCT#1"</f>
        <v>PAYER#14108431/PCT#1</v>
      </c>
    </row>
    <row r="472" spans="1:8" x14ac:dyDescent="0.25">
      <c r="E472" t="str">
        <f>"201905159276"</f>
        <v>201905159276</v>
      </c>
      <c r="F472" t="str">
        <f>"PAYER#14108367/PCT#2"</f>
        <v>PAYER#14108367/PCT#2</v>
      </c>
      <c r="G472" s="2">
        <v>672.24</v>
      </c>
      <c r="H472" t="str">
        <f>"PAYER#14108367/PCT#2"</f>
        <v>PAYER#14108367/PCT#2</v>
      </c>
    </row>
    <row r="473" spans="1:8" x14ac:dyDescent="0.25">
      <c r="E473" t="str">
        <f>"201905159278"</f>
        <v>201905159278</v>
      </c>
      <c r="F473" t="str">
        <f>"PAYER#14108430/PCT#4"</f>
        <v>PAYER#14108430/PCT#4</v>
      </c>
      <c r="G473" s="2">
        <v>1239.79</v>
      </c>
      <c r="H473" t="str">
        <f>"PAYER#14108430/PCT#4"</f>
        <v>PAYER#14108430/PCT#4</v>
      </c>
    </row>
    <row r="474" spans="1:8" x14ac:dyDescent="0.25">
      <c r="E474" t="str">
        <f>"201905159300"</f>
        <v>201905159300</v>
      </c>
      <c r="F474" t="str">
        <f>"PAYER#13229945/GEN SVCS"</f>
        <v>PAYER#13229945/GEN SVCS</v>
      </c>
      <c r="G474" s="2">
        <v>2406.06</v>
      </c>
      <c r="H474" t="str">
        <f>"PAYER#13229945/GEN SVCS"</f>
        <v>PAYER#13229945/GEN SVCS</v>
      </c>
    </row>
    <row r="475" spans="1:8" x14ac:dyDescent="0.25">
      <c r="A475" t="s">
        <v>105</v>
      </c>
      <c r="B475">
        <v>82047</v>
      </c>
      <c r="C475" s="2">
        <v>40808.230000000003</v>
      </c>
      <c r="D475" s="1">
        <v>43594</v>
      </c>
      <c r="E475" t="str">
        <f>"201905099247"</f>
        <v>201905099247</v>
      </c>
      <c r="F475" t="str">
        <f>"ACCT#02-2083-04 / 04292019"</f>
        <v>ACCT#02-2083-04 / 04292019</v>
      </c>
      <c r="G475" s="2">
        <v>1459.63</v>
      </c>
      <c r="H475" t="str">
        <f>"ACCT#02-2083-04 / 04292019"</f>
        <v>ACCT#02-2083-04 / 04292019</v>
      </c>
    </row>
    <row r="476" spans="1:8" x14ac:dyDescent="0.25">
      <c r="E476" t="str">
        <f>"201905099248"</f>
        <v>201905099248</v>
      </c>
      <c r="F476" t="str">
        <f>"CTY DEV CR / 04292019"</f>
        <v>CTY DEV CR / 04292019</v>
      </c>
      <c r="G476" s="2">
        <v>1741.98</v>
      </c>
      <c r="H476" t="str">
        <f>"CTY DEV CR / 04292019"</f>
        <v>CTY DEV CR / 04292019</v>
      </c>
    </row>
    <row r="477" spans="1:8" x14ac:dyDescent="0.25">
      <c r="E477" t="str">
        <f>"201905099249"</f>
        <v>201905099249</v>
      </c>
      <c r="F477" t="str">
        <f>"COUNTY / 04292019"</f>
        <v>COUNTY / 04292019</v>
      </c>
      <c r="G477" s="2">
        <v>24303.18</v>
      </c>
      <c r="H477" t="str">
        <f>"COUNTY / 04292019"</f>
        <v>COUNTY / 04292019</v>
      </c>
    </row>
    <row r="478" spans="1:8" x14ac:dyDescent="0.25">
      <c r="E478" t="str">
        <f>"201905099250"</f>
        <v>201905099250</v>
      </c>
      <c r="F478" t="str">
        <f>"BASTROP CO / 04292019"</f>
        <v>BASTROP CO / 04292019</v>
      </c>
      <c r="G478" s="2">
        <v>13303.44</v>
      </c>
      <c r="H478" t="str">
        <f>"BASTROP CO / 04292019"</f>
        <v>BASTROP CO / 04292019</v>
      </c>
    </row>
    <row r="479" spans="1:8" x14ac:dyDescent="0.25">
      <c r="A479" t="s">
        <v>105</v>
      </c>
      <c r="B479">
        <v>82317</v>
      </c>
      <c r="C479" s="2">
        <v>750</v>
      </c>
      <c r="D479" s="1">
        <v>43613</v>
      </c>
      <c r="E479" t="str">
        <f>"201905149261"</f>
        <v>201905149261</v>
      </c>
      <c r="F479" t="str">
        <f>"RENTAL-PARKING LOT"</f>
        <v>RENTAL-PARKING LOT</v>
      </c>
      <c r="G479" s="2">
        <v>750</v>
      </c>
      <c r="H479" t="str">
        <f>"RENTAL-PARKING LOT"</f>
        <v>RENTAL-PARKING LOT</v>
      </c>
    </row>
    <row r="480" spans="1:8" x14ac:dyDescent="0.25">
      <c r="A480" t="s">
        <v>106</v>
      </c>
      <c r="B480">
        <v>82040</v>
      </c>
      <c r="C480" s="2">
        <v>954.08</v>
      </c>
      <c r="D480" s="1">
        <v>43586</v>
      </c>
      <c r="E480" t="str">
        <f>"201904308889"</f>
        <v>201904308889</v>
      </c>
      <c r="F480" t="str">
        <f>"ACCT#007-0000388-000/04242019"</f>
        <v>ACCT#007-0000388-000/04242019</v>
      </c>
      <c r="G480" s="2">
        <v>449.99</v>
      </c>
      <c r="H480" t="str">
        <f>"ACCT#007-0000388-000/04242019"</f>
        <v>ACCT#007-0000388-000/04242019</v>
      </c>
    </row>
    <row r="481" spans="1:8" x14ac:dyDescent="0.25">
      <c r="E481" t="str">
        <f>"201904308890"</f>
        <v>201904308890</v>
      </c>
      <c r="F481" t="str">
        <f>"ACCT#007-0000389-000/04242019"</f>
        <v>ACCT#007-0000389-000/04242019</v>
      </c>
      <c r="G481" s="2">
        <v>22.86</v>
      </c>
      <c r="H481" t="str">
        <f>"ACCT#007-0000389-000/04242019"</f>
        <v>ACCT#007-0000389-000/04242019</v>
      </c>
    </row>
    <row r="482" spans="1:8" x14ac:dyDescent="0.25">
      <c r="E482" t="str">
        <f>"201904308891"</f>
        <v>201904308891</v>
      </c>
      <c r="F482" t="str">
        <f>"ACCT#044-0001240-000/04242019"</f>
        <v>ACCT#044-0001240-000/04242019</v>
      </c>
      <c r="G482" s="2">
        <v>285.72000000000003</v>
      </c>
      <c r="H482" t="str">
        <f>"ACCT#044-0001240-000/04242019"</f>
        <v>ACCT#044-0001240-000/04242019</v>
      </c>
    </row>
    <row r="483" spans="1:8" x14ac:dyDescent="0.25">
      <c r="E483" t="str">
        <f>"201904308892"</f>
        <v>201904308892</v>
      </c>
      <c r="F483" t="str">
        <f>"ACCT#044-0001250-000/04242019"</f>
        <v>ACCT#044-0001250-000/04242019</v>
      </c>
      <c r="G483" s="2">
        <v>63.8</v>
      </c>
      <c r="H483" t="str">
        <f>"ACCT#044-0001250-000/04242019"</f>
        <v>ACCT#044-0001250-000/04242019</v>
      </c>
    </row>
    <row r="484" spans="1:8" x14ac:dyDescent="0.25">
      <c r="E484" t="str">
        <f>"201904308893"</f>
        <v>201904308893</v>
      </c>
      <c r="F484" t="str">
        <f>"ACCT#044-0001252-000/04242019"</f>
        <v>ACCT#044-0001252-000/04242019</v>
      </c>
      <c r="G484" s="2">
        <v>13.57</v>
      </c>
      <c r="H484" t="str">
        <f>"ACCT#044-0001252-000/04242019"</f>
        <v>ACCT#044-0001252-000/04242019</v>
      </c>
    </row>
    <row r="485" spans="1:8" x14ac:dyDescent="0.25">
      <c r="E485" t="str">
        <f>"201904308894"</f>
        <v>201904308894</v>
      </c>
      <c r="F485" t="str">
        <f>"ACCT#044-0001253-000/04242019"</f>
        <v>ACCT#044-0001253-000/04242019</v>
      </c>
      <c r="G485" s="2">
        <v>118.14</v>
      </c>
      <c r="H485" t="str">
        <f>"ACCT#044-0001253-000/04242019"</f>
        <v>ACCT#044-0001253-000/04242019</v>
      </c>
    </row>
    <row r="486" spans="1:8" x14ac:dyDescent="0.25">
      <c r="A486" t="s">
        <v>106</v>
      </c>
      <c r="B486">
        <v>82439</v>
      </c>
      <c r="C486" s="2">
        <v>1093.76</v>
      </c>
      <c r="D486" s="1">
        <v>43616</v>
      </c>
      <c r="E486" t="str">
        <f>"201905319530"</f>
        <v>201905319530</v>
      </c>
      <c r="F486" t="str">
        <f>"ACCT#007-0000388-000/05232019"</f>
        <v>ACCT#007-0000388-000/05232019</v>
      </c>
      <c r="G486" s="2">
        <v>552.9</v>
      </c>
      <c r="H486" t="str">
        <f>"ACCT#007-0000388-000/05232019"</f>
        <v>ACCT#007-0000388-000/05232019</v>
      </c>
    </row>
    <row r="487" spans="1:8" x14ac:dyDescent="0.25">
      <c r="E487" t="str">
        <f>"201905319531"</f>
        <v>201905319531</v>
      </c>
      <c r="F487" t="str">
        <f>"ACCT#007-0000389-000/05232019"</f>
        <v>ACCT#007-0000389-000/05232019</v>
      </c>
      <c r="G487" s="2">
        <v>22.86</v>
      </c>
      <c r="H487" t="str">
        <f>"ACCT#007-0000389-000/05232019"</f>
        <v>ACCT#007-0000389-000/05232019</v>
      </c>
    </row>
    <row r="488" spans="1:8" x14ac:dyDescent="0.25">
      <c r="E488" t="str">
        <f>"201905319532"</f>
        <v>201905319532</v>
      </c>
      <c r="F488" t="str">
        <f>"ACCT#044-0001240-000/05232019"</f>
        <v>ACCT#044-0001240-000/05232019</v>
      </c>
      <c r="G488" s="2">
        <v>331.84</v>
      </c>
      <c r="H488" t="str">
        <f>"ACCT#044-0001240-000/05232019"</f>
        <v>ACCT#044-0001240-000/05232019</v>
      </c>
    </row>
    <row r="489" spans="1:8" x14ac:dyDescent="0.25">
      <c r="E489" t="str">
        <f>"201905319533"</f>
        <v>201905319533</v>
      </c>
      <c r="F489" t="str">
        <f>"ACCT#044-0001250-000/05232019"</f>
        <v>ACCT#044-0001250-000/05232019</v>
      </c>
      <c r="G489" s="2">
        <v>80.83</v>
      </c>
      <c r="H489" t="str">
        <f>"ACCT#044-0001250-000/05232019"</f>
        <v>ACCT#044-0001250-000/05232019</v>
      </c>
    </row>
    <row r="490" spans="1:8" x14ac:dyDescent="0.25">
      <c r="E490" t="str">
        <f>"201905319534"</f>
        <v>201905319534</v>
      </c>
      <c r="F490" t="str">
        <f>"ACCT#044-0001252-000/05232019"</f>
        <v>ACCT#044-0001252-000/05232019</v>
      </c>
      <c r="G490" s="2">
        <v>13.57</v>
      </c>
      <c r="H490" t="str">
        <f>"ACCT#044-0001252-000/05232019"</f>
        <v>ACCT#044-0001252-000/05232019</v>
      </c>
    </row>
    <row r="491" spans="1:8" x14ac:dyDescent="0.25">
      <c r="E491" t="str">
        <f>"201905319535"</f>
        <v>201905319535</v>
      </c>
      <c r="F491" t="str">
        <f>"ACCT#044-0001253-000/05232019"</f>
        <v>ACCT#044-0001253-000/05232019</v>
      </c>
      <c r="G491" s="2">
        <v>91.76</v>
      </c>
      <c r="H491" t="str">
        <f>"ACCT#044-0001253-000/05232019"</f>
        <v>ACCT#044-0001253-000/05232019</v>
      </c>
    </row>
    <row r="492" spans="1:8" x14ac:dyDescent="0.25">
      <c r="A492" t="s">
        <v>107</v>
      </c>
      <c r="B492">
        <v>82105</v>
      </c>
      <c r="C492" s="2">
        <v>319.64</v>
      </c>
      <c r="D492" s="1">
        <v>43598</v>
      </c>
      <c r="E492" t="str">
        <f>"201905089218"</f>
        <v>201905089218</v>
      </c>
      <c r="F492" t="str">
        <f>"REIMBURSE-MEALS/HOTEL"</f>
        <v>REIMBURSE-MEALS/HOTEL</v>
      </c>
      <c r="G492" s="2">
        <v>319.64</v>
      </c>
      <c r="H492" t="str">
        <f>"REIMBURSE-MEALS/HOTEL"</f>
        <v>REIMBURSE-MEALS/HOTEL</v>
      </c>
    </row>
    <row r="493" spans="1:8" x14ac:dyDescent="0.25">
      <c r="A493" t="s">
        <v>108</v>
      </c>
      <c r="B493">
        <v>82318</v>
      </c>
      <c r="C493" s="2">
        <v>247.55</v>
      </c>
      <c r="D493" s="1">
        <v>43613</v>
      </c>
      <c r="E493" t="str">
        <f>"0098"</f>
        <v>0098</v>
      </c>
      <c r="F493" t="str">
        <f>"16 708"</f>
        <v>16 708</v>
      </c>
      <c r="G493" s="2">
        <v>247.55</v>
      </c>
      <c r="H493" t="str">
        <f>"16 708"</f>
        <v>16 708</v>
      </c>
    </row>
    <row r="494" spans="1:8" x14ac:dyDescent="0.25">
      <c r="A494" t="s">
        <v>109</v>
      </c>
      <c r="B494">
        <v>82106</v>
      </c>
      <c r="C494" s="2">
        <v>189</v>
      </c>
      <c r="D494" s="1">
        <v>43598</v>
      </c>
      <c r="E494" t="str">
        <f>"201904248760"</f>
        <v>201904248760</v>
      </c>
      <c r="F494" t="str">
        <f>"REIMBURSEMENT-CEU'S FOR DR LIC"</f>
        <v>REIMBURSEMENT-CEU'S FOR DR LIC</v>
      </c>
      <c r="G494" s="2">
        <v>189</v>
      </c>
      <c r="H494" t="str">
        <f>"REIMBURSEMENT-CEU'S FOR DR LIC"</f>
        <v>REIMBURSEMENT-CEU'S FOR DR LIC</v>
      </c>
    </row>
    <row r="495" spans="1:8" x14ac:dyDescent="0.25">
      <c r="A495" t="s">
        <v>110</v>
      </c>
      <c r="B495">
        <v>748</v>
      </c>
      <c r="C495" s="2">
        <v>1946.48</v>
      </c>
      <c r="D495" s="1">
        <v>43599</v>
      </c>
      <c r="E495" t="str">
        <f>"INV-PART-0164155"</f>
        <v>INV-PART-0164155</v>
      </c>
      <c r="F495" t="str">
        <f>"inv# INV-PART-0164155"</f>
        <v>inv# INV-PART-0164155</v>
      </c>
      <c r="G495" s="2">
        <v>1542.13</v>
      </c>
      <c r="H495" t="str">
        <f>"total"</f>
        <v>total</v>
      </c>
    </row>
    <row r="496" spans="1:8" x14ac:dyDescent="0.25">
      <c r="E496" t="str">
        <f>"SVC-0085680"</f>
        <v>SVC-0085680</v>
      </c>
      <c r="F496" t="str">
        <f>"INV SVC-0085680"</f>
        <v>INV SVC-0085680</v>
      </c>
      <c r="G496" s="2">
        <v>404.35</v>
      </c>
      <c r="H496" t="str">
        <f>"INV SVC-0085680"</f>
        <v>INV SVC-0085680</v>
      </c>
    </row>
    <row r="497" spans="1:9" x14ac:dyDescent="0.25">
      <c r="A497" t="s">
        <v>110</v>
      </c>
      <c r="B497">
        <v>820</v>
      </c>
      <c r="C497" s="2">
        <v>368.01</v>
      </c>
      <c r="D497" s="1">
        <v>43614</v>
      </c>
      <c r="E497" t="str">
        <f>"SVC-0086432"</f>
        <v>SVC-0086432</v>
      </c>
      <c r="F497" t="str">
        <f>"INV SVC-0086432"</f>
        <v>INV SVC-0086432</v>
      </c>
      <c r="G497" s="2">
        <v>368.01</v>
      </c>
      <c r="H497" t="str">
        <f>"INV SVC-0086432"</f>
        <v>INV SVC-0086432</v>
      </c>
    </row>
    <row r="498" spans="1:9" x14ac:dyDescent="0.25">
      <c r="A498" t="s">
        <v>111</v>
      </c>
      <c r="B498">
        <v>846</v>
      </c>
      <c r="C498" s="2">
        <v>277.17</v>
      </c>
      <c r="D498" s="1">
        <v>43614</v>
      </c>
      <c r="E498" t="str">
        <f>"201904-0"</f>
        <v>201904-0</v>
      </c>
      <c r="F498" t="str">
        <f>"INV 201904-0"</f>
        <v>INV 201904-0</v>
      </c>
      <c r="G498" s="2">
        <v>3.45</v>
      </c>
      <c r="H498" t="str">
        <f>"INV 201904-0"</f>
        <v>INV 201904-0</v>
      </c>
    </row>
    <row r="499" spans="1:9" x14ac:dyDescent="0.25">
      <c r="E499" t="str">
        <f>"201905219371"</f>
        <v>201905219371</v>
      </c>
      <c r="F499" t="str">
        <f>"INDIGENT HEALTH"</f>
        <v>INDIGENT HEALTH</v>
      </c>
      <c r="G499" s="2">
        <v>273.72000000000003</v>
      </c>
      <c r="H499" t="str">
        <f>"INDIGENT HEALTH"</f>
        <v>INDIGENT HEALTH</v>
      </c>
    </row>
    <row r="500" spans="1:9" x14ac:dyDescent="0.25">
      <c r="A500" t="s">
        <v>112</v>
      </c>
      <c r="B500">
        <v>82319</v>
      </c>
      <c r="C500" s="2">
        <v>34</v>
      </c>
      <c r="D500" s="1">
        <v>43613</v>
      </c>
      <c r="E500" t="str">
        <f>"201905229478"</f>
        <v>201905229478</v>
      </c>
      <c r="F500" t="str">
        <f>"ACCT#339367F100357/19-S-02210"</f>
        <v>ACCT#339367F100357/19-S-02210</v>
      </c>
      <c r="G500" s="2">
        <v>34</v>
      </c>
      <c r="H500" t="str">
        <f>"ACCT#339367F100357/19-S-02210"</f>
        <v>ACCT#339367F100357/19-S-02210</v>
      </c>
    </row>
    <row r="501" spans="1:9" x14ac:dyDescent="0.25">
      <c r="A501" t="s">
        <v>113</v>
      </c>
      <c r="B501">
        <v>82107</v>
      </c>
      <c r="C501" s="2">
        <v>8639.6200000000008</v>
      </c>
      <c r="D501" s="1">
        <v>43598</v>
      </c>
      <c r="E501" t="str">
        <f>"268180"</f>
        <v>268180</v>
      </c>
      <c r="F501" t="str">
        <f>"CUST#1321/PCT#1"</f>
        <v>CUST#1321/PCT#1</v>
      </c>
      <c r="G501" s="2">
        <v>4009.06</v>
      </c>
      <c r="H501" t="str">
        <f>"CUST#1321/PCT#1"</f>
        <v>CUST#1321/PCT#1</v>
      </c>
    </row>
    <row r="502" spans="1:9" x14ac:dyDescent="0.25">
      <c r="E502" t="str">
        <f>"268461"</f>
        <v>268461</v>
      </c>
      <c r="F502" t="str">
        <f>"CUST#1321/PCT#1"</f>
        <v>CUST#1321/PCT#1</v>
      </c>
      <c r="G502" s="2">
        <v>4630.5600000000004</v>
      </c>
      <c r="H502" t="str">
        <f>"CUST#1321/PCT#1"</f>
        <v>CUST#1321/PCT#1</v>
      </c>
    </row>
    <row r="503" spans="1:9" x14ac:dyDescent="0.25">
      <c r="A503" t="s">
        <v>113</v>
      </c>
      <c r="B503">
        <v>82320</v>
      </c>
      <c r="C503" s="2">
        <v>19713.759999999998</v>
      </c>
      <c r="D503" s="1">
        <v>43613</v>
      </c>
      <c r="E503" t="str">
        <f>"268819"</f>
        <v>268819</v>
      </c>
      <c r="F503" t="str">
        <f>"CUST#1321/PCT#1"</f>
        <v>CUST#1321/PCT#1</v>
      </c>
      <c r="G503" s="2">
        <v>10078.200000000001</v>
      </c>
      <c r="H503" t="str">
        <f>"CUST#1321/PCT#1"</f>
        <v>CUST#1321/PCT#1</v>
      </c>
    </row>
    <row r="504" spans="1:9" x14ac:dyDescent="0.25">
      <c r="E504" t="str">
        <f>"269273"</f>
        <v>269273</v>
      </c>
      <c r="F504" t="str">
        <f>"CUST#1321/PCT#1"</f>
        <v>CUST#1321/PCT#1</v>
      </c>
      <c r="G504" s="2">
        <v>9635.56</v>
      </c>
      <c r="H504" t="str">
        <f>"CUST#1321/PCT#1"</f>
        <v>CUST#1321/PCT#1</v>
      </c>
    </row>
    <row r="505" spans="1:9" x14ac:dyDescent="0.25">
      <c r="A505" t="s">
        <v>114</v>
      </c>
      <c r="B505">
        <v>751</v>
      </c>
      <c r="C505" s="2">
        <v>294</v>
      </c>
      <c r="D505" s="1">
        <v>43599</v>
      </c>
      <c r="E505" t="str">
        <f>"12457910698"</f>
        <v>12457910698</v>
      </c>
      <c r="F505" t="str">
        <f>"INV 12457910698"</f>
        <v>INV 12457910698</v>
      </c>
      <c r="G505" s="2">
        <v>294</v>
      </c>
      <c r="H505" t="str">
        <f>"INV 12457910698"</f>
        <v>INV 12457910698</v>
      </c>
    </row>
    <row r="506" spans="1:9" x14ac:dyDescent="0.25">
      <c r="A506" t="s">
        <v>115</v>
      </c>
      <c r="B506">
        <v>82108</v>
      </c>
      <c r="C506" s="2">
        <v>19.36</v>
      </c>
      <c r="D506" s="1">
        <v>43598</v>
      </c>
      <c r="E506" t="s">
        <v>116</v>
      </c>
      <c r="F506" t="s">
        <v>117</v>
      </c>
      <c r="G506" s="2" t="str">
        <f>"RESTITUTION-KATHY PURCELL"</f>
        <v>RESTITUTION-KATHY PURCELL</v>
      </c>
      <c r="H506" t="str">
        <f>"210-0000"</f>
        <v>210-0000</v>
      </c>
      <c r="I506" t="str">
        <f>""</f>
        <v/>
      </c>
    </row>
    <row r="507" spans="1:9" x14ac:dyDescent="0.25">
      <c r="A507" t="s">
        <v>118</v>
      </c>
      <c r="B507">
        <v>82109</v>
      </c>
      <c r="C507" s="2">
        <v>8160.21</v>
      </c>
      <c r="D507" s="1">
        <v>43598</v>
      </c>
      <c r="E507" t="str">
        <f>"18257041"</f>
        <v>18257041</v>
      </c>
      <c r="F507" t="str">
        <f>"ACCT#434304/PCT#4"</f>
        <v>ACCT#434304/PCT#4</v>
      </c>
      <c r="G507" s="2">
        <v>746.61</v>
      </c>
      <c r="H507" t="str">
        <f>"ACCT#434304/PCT#4"</f>
        <v>ACCT#434304/PCT#4</v>
      </c>
    </row>
    <row r="508" spans="1:9" x14ac:dyDescent="0.25">
      <c r="E508" t="str">
        <f>"18264768"</f>
        <v>18264768</v>
      </c>
      <c r="F508" t="str">
        <f>"ACCT#434304/PCT#2"</f>
        <v>ACCT#434304/PCT#2</v>
      </c>
      <c r="G508" s="2">
        <v>4734.6000000000004</v>
      </c>
      <c r="H508" t="str">
        <f>"ACCT#434304/PCT#2"</f>
        <v>ACCT#434304/PCT#2</v>
      </c>
    </row>
    <row r="509" spans="1:9" x14ac:dyDescent="0.25">
      <c r="E509" t="str">
        <f>"18311397"</f>
        <v>18311397</v>
      </c>
      <c r="F509" t="str">
        <f>"inv# 18311397"</f>
        <v>inv# 18311397</v>
      </c>
      <c r="G509" s="2">
        <v>2679</v>
      </c>
      <c r="H509" t="str">
        <f>"16G 20'"</f>
        <v>16G 20'</v>
      </c>
    </row>
    <row r="510" spans="1:9" x14ac:dyDescent="0.25">
      <c r="E510" t="str">
        <f>""</f>
        <v/>
      </c>
      <c r="F510" t="str">
        <f>""</f>
        <v/>
      </c>
      <c r="H510" t="str">
        <f>"Band H12 18G"</f>
        <v>Band H12 18G</v>
      </c>
    </row>
    <row r="511" spans="1:9" x14ac:dyDescent="0.25">
      <c r="E511" t="str">
        <f>""</f>
        <v/>
      </c>
      <c r="F511" t="str">
        <f>""</f>
        <v/>
      </c>
      <c r="H511" t="str">
        <f>"16G 30'"</f>
        <v>16G 30'</v>
      </c>
    </row>
    <row r="512" spans="1:9" x14ac:dyDescent="0.25">
      <c r="E512" t="str">
        <f>""</f>
        <v/>
      </c>
      <c r="F512" t="str">
        <f>""</f>
        <v/>
      </c>
      <c r="H512" t="str">
        <f>"Freight"</f>
        <v>Freight</v>
      </c>
    </row>
    <row r="513" spans="1:8" x14ac:dyDescent="0.25">
      <c r="A513" t="s">
        <v>119</v>
      </c>
      <c r="B513">
        <v>82110</v>
      </c>
      <c r="C513" s="2">
        <v>3160</v>
      </c>
      <c r="D513" s="1">
        <v>43598</v>
      </c>
      <c r="E513" t="str">
        <f>"20151"</f>
        <v>20151</v>
      </c>
      <c r="F513" t="str">
        <f>"INV 20151"</f>
        <v>INV 20151</v>
      </c>
      <c r="G513" s="2">
        <v>3160</v>
      </c>
      <c r="H513" t="str">
        <f>"INV 20151"</f>
        <v>INV 20151</v>
      </c>
    </row>
    <row r="514" spans="1:8" x14ac:dyDescent="0.25">
      <c r="A514" t="s">
        <v>120</v>
      </c>
      <c r="B514">
        <v>82111</v>
      </c>
      <c r="C514" s="2">
        <v>132933.57</v>
      </c>
      <c r="D514" s="1">
        <v>43598</v>
      </c>
      <c r="E514" t="str">
        <f>"201905089188"</f>
        <v>201905089188</v>
      </c>
      <c r="F514" t="str">
        <f>"Reclaimer"</f>
        <v>Reclaimer</v>
      </c>
      <c r="G514" s="2">
        <v>132090</v>
      </c>
      <c r="H514" t="str">
        <f>"Reclaimer"</f>
        <v>Reclaimer</v>
      </c>
    </row>
    <row r="515" spans="1:8" x14ac:dyDescent="0.25">
      <c r="E515" t="str">
        <f>"IN49140"</f>
        <v>IN49140</v>
      </c>
      <c r="F515" t="str">
        <f>"ACCT#353/PCT#4"</f>
        <v>ACCT#353/PCT#4</v>
      </c>
      <c r="G515" s="2">
        <v>843.57</v>
      </c>
      <c r="H515" t="str">
        <f>"ACCT#353/PCT#4"</f>
        <v>ACCT#353/PCT#4</v>
      </c>
    </row>
    <row r="516" spans="1:8" x14ac:dyDescent="0.25">
      <c r="A516" t="s">
        <v>121</v>
      </c>
      <c r="B516">
        <v>82112</v>
      </c>
      <c r="C516" s="2">
        <v>170</v>
      </c>
      <c r="D516" s="1">
        <v>43598</v>
      </c>
      <c r="E516" t="str">
        <f>"13150"</f>
        <v>13150</v>
      </c>
      <c r="F516" t="str">
        <f>"SERVICE"</f>
        <v>SERVICE</v>
      </c>
      <c r="G516" s="2">
        <v>170</v>
      </c>
      <c r="H516" t="str">
        <f>"SERVICE"</f>
        <v>SERVICE</v>
      </c>
    </row>
    <row r="517" spans="1:8" x14ac:dyDescent="0.25">
      <c r="A517" t="s">
        <v>122</v>
      </c>
      <c r="B517">
        <v>82113</v>
      </c>
      <c r="C517" s="2">
        <v>742.5</v>
      </c>
      <c r="D517" s="1">
        <v>43598</v>
      </c>
      <c r="E517" t="str">
        <f>"18544"</f>
        <v>18544</v>
      </c>
      <c r="F517" t="str">
        <f>"CUST#2510/SHERIFF'S OFFICE"</f>
        <v>CUST#2510/SHERIFF'S OFFICE</v>
      </c>
      <c r="G517" s="2">
        <v>590</v>
      </c>
      <c r="H517" t="str">
        <f>"CUST#2510/SHERIFF'S OFFICE"</f>
        <v>CUST#2510/SHERIFF'S OFFICE</v>
      </c>
    </row>
    <row r="518" spans="1:8" x14ac:dyDescent="0.25">
      <c r="E518" t="str">
        <f>"18548"</f>
        <v>18548</v>
      </c>
      <c r="F518" t="str">
        <f>"CUST#2510/SHERIFF'S OFFICE"</f>
        <v>CUST#2510/SHERIFF'S OFFICE</v>
      </c>
      <c r="G518" s="2">
        <v>152.5</v>
      </c>
      <c r="H518" t="str">
        <f>"CUST#2510/SHERIFF'S OFFICE"</f>
        <v>CUST#2510/SHERIFF'S OFFICE</v>
      </c>
    </row>
    <row r="519" spans="1:8" x14ac:dyDescent="0.25">
      <c r="A519" t="s">
        <v>123</v>
      </c>
      <c r="B519">
        <v>82114</v>
      </c>
      <c r="C519" s="2">
        <v>375</v>
      </c>
      <c r="D519" s="1">
        <v>43598</v>
      </c>
      <c r="E519" t="str">
        <f>"12766"</f>
        <v>12766</v>
      </c>
      <c r="F519" t="str">
        <f>"SERVICE"</f>
        <v>SERVICE</v>
      </c>
      <c r="G519" s="2">
        <v>75</v>
      </c>
      <c r="H519" t="str">
        <f>"SERVICE"</f>
        <v>SERVICE</v>
      </c>
    </row>
    <row r="520" spans="1:8" x14ac:dyDescent="0.25">
      <c r="E520" t="str">
        <f>"13031"</f>
        <v>13031</v>
      </c>
      <c r="F520" t="str">
        <f>"SERVICE  02/26/19"</f>
        <v>SERVICE  02/26/19</v>
      </c>
      <c r="G520" s="2">
        <v>75</v>
      </c>
      <c r="H520" t="str">
        <f>"SERVICE  02/26/19"</f>
        <v>SERVICE  02/26/19</v>
      </c>
    </row>
    <row r="521" spans="1:8" x14ac:dyDescent="0.25">
      <c r="E521" t="str">
        <f>"13153"</f>
        <v>13153</v>
      </c>
      <c r="F521" t="str">
        <f>"SERVICE"</f>
        <v>SERVICE</v>
      </c>
      <c r="G521" s="2">
        <v>150</v>
      </c>
      <c r="H521" t="str">
        <f>"SERVICE"</f>
        <v>SERVICE</v>
      </c>
    </row>
    <row r="522" spans="1:8" x14ac:dyDescent="0.25">
      <c r="E522" t="str">
        <f>"13179"</f>
        <v>13179</v>
      </c>
      <c r="F522" t="str">
        <f>"SERVICE"</f>
        <v>SERVICE</v>
      </c>
      <c r="G522" s="2">
        <v>75</v>
      </c>
      <c r="H522" t="str">
        <f>"SERVICE"</f>
        <v>SERVICE</v>
      </c>
    </row>
    <row r="523" spans="1:8" x14ac:dyDescent="0.25">
      <c r="A523" t="s">
        <v>124</v>
      </c>
      <c r="B523">
        <v>82115</v>
      </c>
      <c r="C523" s="2">
        <v>750</v>
      </c>
      <c r="D523" s="1">
        <v>43598</v>
      </c>
      <c r="E523" t="str">
        <f>"201905089197"</f>
        <v>201905089197</v>
      </c>
      <c r="F523" t="str">
        <f>"MARCH INVOICE"</f>
        <v>MARCH INVOICE</v>
      </c>
      <c r="G523" s="2">
        <v>750</v>
      </c>
      <c r="H523" t="str">
        <f>"MARCH INVOICE"</f>
        <v>MARCH INVOICE</v>
      </c>
    </row>
    <row r="524" spans="1:8" x14ac:dyDescent="0.25">
      <c r="A524" t="s">
        <v>125</v>
      </c>
      <c r="B524">
        <v>82116</v>
      </c>
      <c r="C524" s="2">
        <v>255</v>
      </c>
      <c r="D524" s="1">
        <v>43598</v>
      </c>
      <c r="E524" t="str">
        <f>"201905089223"</f>
        <v>201905089223</v>
      </c>
      <c r="F524" t="str">
        <f>"FERAL HOGS"</f>
        <v>FERAL HOGS</v>
      </c>
      <c r="G524" s="2">
        <v>60</v>
      </c>
      <c r="H524" t="str">
        <f>"FERAL HOGS"</f>
        <v>FERAL HOGS</v>
      </c>
    </row>
    <row r="525" spans="1:8" x14ac:dyDescent="0.25">
      <c r="E525" t="str">
        <f>"201905089224"</f>
        <v>201905089224</v>
      </c>
      <c r="F525" t="str">
        <f>"FERAL HOGS"</f>
        <v>FERAL HOGS</v>
      </c>
      <c r="G525" s="2">
        <v>195</v>
      </c>
      <c r="H525" t="str">
        <f>"FERAL HOGS"</f>
        <v>FERAL HOGS</v>
      </c>
    </row>
    <row r="526" spans="1:8" x14ac:dyDescent="0.25">
      <c r="A526" t="s">
        <v>126</v>
      </c>
      <c r="B526">
        <v>82321</v>
      </c>
      <c r="C526" s="2">
        <v>165</v>
      </c>
      <c r="D526" s="1">
        <v>43613</v>
      </c>
      <c r="E526" t="str">
        <f>"201905179326"</f>
        <v>201905179326</v>
      </c>
      <c r="F526" t="str">
        <f>"REFUND FOR EXCESS COLLECTION"</f>
        <v>REFUND FOR EXCESS COLLECTION</v>
      </c>
      <c r="G526" s="2">
        <v>165</v>
      </c>
      <c r="H526" t="str">
        <f>"REFUND FOR EXCESS COLLECTION"</f>
        <v>REFUND FOR EXCESS COLLECTION</v>
      </c>
    </row>
    <row r="527" spans="1:8" x14ac:dyDescent="0.25">
      <c r="A527" t="s">
        <v>127</v>
      </c>
      <c r="B527">
        <v>82117</v>
      </c>
      <c r="C527" s="2">
        <v>210</v>
      </c>
      <c r="D527" s="1">
        <v>43598</v>
      </c>
      <c r="E527" t="str">
        <f>"12993"</f>
        <v>12993</v>
      </c>
      <c r="F527" t="str">
        <f>"SERVICE"</f>
        <v>SERVICE</v>
      </c>
      <c r="G527" s="2">
        <v>50</v>
      </c>
      <c r="H527" t="str">
        <f>"SERVICE"</f>
        <v>SERVICE</v>
      </c>
    </row>
    <row r="528" spans="1:8" x14ac:dyDescent="0.25">
      <c r="E528" t="str">
        <f>"13161"</f>
        <v>13161</v>
      </c>
      <c r="F528" t="str">
        <f>"SERVICE  03/01/19"</f>
        <v>SERVICE  03/01/19</v>
      </c>
      <c r="G528" s="2">
        <v>80</v>
      </c>
      <c r="H528" t="str">
        <f>"SERVICE  03/01/19"</f>
        <v>SERVICE  03/01/19</v>
      </c>
    </row>
    <row r="529" spans="1:9" x14ac:dyDescent="0.25">
      <c r="E529" t="str">
        <f>"13165"</f>
        <v>13165</v>
      </c>
      <c r="F529" t="str">
        <f>"SERVICE"</f>
        <v>SERVICE</v>
      </c>
      <c r="G529" s="2">
        <v>80</v>
      </c>
      <c r="H529" t="str">
        <f>"SERVICE"</f>
        <v>SERVICE</v>
      </c>
    </row>
    <row r="530" spans="1:9" x14ac:dyDescent="0.25">
      <c r="A530" t="s">
        <v>128</v>
      </c>
      <c r="B530">
        <v>82118</v>
      </c>
      <c r="C530" s="2">
        <v>100</v>
      </c>
      <c r="D530" s="1">
        <v>43598</v>
      </c>
      <c r="E530" t="s">
        <v>129</v>
      </c>
      <c r="F530" t="s">
        <v>130</v>
      </c>
      <c r="G530" s="2" t="str">
        <f>"RESTITUTION-JAMES CRAFT"</f>
        <v>RESTITUTION-JAMES CRAFT</v>
      </c>
      <c r="H530" t="str">
        <f>"210-0000"</f>
        <v>210-0000</v>
      </c>
      <c r="I530" t="str">
        <f>""</f>
        <v/>
      </c>
    </row>
    <row r="531" spans="1:9" x14ac:dyDescent="0.25">
      <c r="A531" t="s">
        <v>131</v>
      </c>
      <c r="B531">
        <v>82119</v>
      </c>
      <c r="C531" s="2">
        <v>100</v>
      </c>
      <c r="D531" s="1">
        <v>43598</v>
      </c>
      <c r="E531" t="str">
        <f>"201905069050"</f>
        <v>201905069050</v>
      </c>
      <c r="F531" t="str">
        <f>"LEGAL CONSULT SVCS-APRIL 2019"</f>
        <v>LEGAL CONSULT SVCS-APRIL 2019</v>
      </c>
      <c r="G531" s="2">
        <v>100</v>
      </c>
      <c r="H531" t="str">
        <f>"LEGAL CONSULT SVCS-APRIL 2019"</f>
        <v>LEGAL CONSULT SVCS-APRIL 2019</v>
      </c>
    </row>
    <row r="532" spans="1:9" x14ac:dyDescent="0.25">
      <c r="A532" t="s">
        <v>132</v>
      </c>
      <c r="B532">
        <v>82441</v>
      </c>
      <c r="C532" s="2">
        <v>4985</v>
      </c>
      <c r="D532" s="1">
        <v>43616</v>
      </c>
      <c r="E532" t="str">
        <f>"394559"</f>
        <v>394559</v>
      </c>
      <c r="F532" t="str">
        <f>"GATE WORK / PCT #1"</f>
        <v>GATE WORK / PCT #1</v>
      </c>
      <c r="G532" s="2">
        <v>4985</v>
      </c>
      <c r="H532" t="str">
        <f>"GATE WORK / PCT #1"</f>
        <v>GATE WORK / PCT #1</v>
      </c>
    </row>
    <row r="533" spans="1:9" x14ac:dyDescent="0.25">
      <c r="A533" t="s">
        <v>133</v>
      </c>
      <c r="B533">
        <v>754</v>
      </c>
      <c r="C533" s="2">
        <v>1897.5</v>
      </c>
      <c r="D533" s="1">
        <v>43599</v>
      </c>
      <c r="E533" t="str">
        <f>"201904248789"</f>
        <v>201904248789</v>
      </c>
      <c r="F533" t="str">
        <f>"19-19463"</f>
        <v>19-19463</v>
      </c>
      <c r="G533" s="2">
        <v>160</v>
      </c>
      <c r="H533" t="str">
        <f>"19-19463"</f>
        <v>19-19463</v>
      </c>
    </row>
    <row r="534" spans="1:9" x14ac:dyDescent="0.25">
      <c r="E534" t="str">
        <f>"201904248794"</f>
        <v>201904248794</v>
      </c>
      <c r="F534" t="str">
        <f>"18-19306"</f>
        <v>18-19306</v>
      </c>
      <c r="G534" s="2">
        <v>550</v>
      </c>
      <c r="H534" t="str">
        <f>"18-19306"</f>
        <v>18-19306</v>
      </c>
    </row>
    <row r="535" spans="1:9" x14ac:dyDescent="0.25">
      <c r="E535" t="str">
        <f>"201904248795"</f>
        <v>201904248795</v>
      </c>
      <c r="F535" t="str">
        <f>"18-18877"</f>
        <v>18-18877</v>
      </c>
      <c r="G535" s="2">
        <v>105</v>
      </c>
      <c r="H535" t="str">
        <f>"18-18877"</f>
        <v>18-18877</v>
      </c>
    </row>
    <row r="536" spans="1:9" x14ac:dyDescent="0.25">
      <c r="E536" t="str">
        <f>"201904248812"</f>
        <v>201904248812</v>
      </c>
      <c r="F536" t="str">
        <f>"17-18680"</f>
        <v>17-18680</v>
      </c>
      <c r="G536" s="2">
        <v>100</v>
      </c>
      <c r="H536" t="str">
        <f>"17-18680"</f>
        <v>17-18680</v>
      </c>
    </row>
    <row r="537" spans="1:9" x14ac:dyDescent="0.25">
      <c r="E537" t="str">
        <f>"201905079059"</f>
        <v>201905079059</v>
      </c>
      <c r="F537" t="str">
        <f>"18-18941"</f>
        <v>18-18941</v>
      </c>
      <c r="G537" s="2">
        <v>187.5</v>
      </c>
      <c r="H537" t="str">
        <f>"18-18941"</f>
        <v>18-18941</v>
      </c>
    </row>
    <row r="538" spans="1:9" x14ac:dyDescent="0.25">
      <c r="E538" t="str">
        <f>"201905079060"</f>
        <v>201905079060</v>
      </c>
      <c r="F538" t="str">
        <f>"18-18864"</f>
        <v>18-18864</v>
      </c>
      <c r="G538" s="2">
        <v>142.5</v>
      </c>
      <c r="H538" t="str">
        <f>"18-18864"</f>
        <v>18-18864</v>
      </c>
    </row>
    <row r="539" spans="1:9" x14ac:dyDescent="0.25">
      <c r="E539" t="str">
        <f>"201905079061"</f>
        <v>201905079061</v>
      </c>
      <c r="F539" t="str">
        <f>"19-19445"</f>
        <v>19-19445</v>
      </c>
      <c r="G539" s="2">
        <v>142.5</v>
      </c>
      <c r="H539" t="str">
        <f>"19-19445"</f>
        <v>19-19445</v>
      </c>
    </row>
    <row r="540" spans="1:9" x14ac:dyDescent="0.25">
      <c r="E540" t="str">
        <f>"201905079062"</f>
        <v>201905079062</v>
      </c>
      <c r="F540" t="str">
        <f>"18-19054"</f>
        <v>18-19054</v>
      </c>
      <c r="G540" s="2">
        <v>130</v>
      </c>
      <c r="H540" t="str">
        <f>"18-19054"</f>
        <v>18-19054</v>
      </c>
    </row>
    <row r="541" spans="1:9" x14ac:dyDescent="0.25">
      <c r="E541" t="str">
        <f>"201905079063"</f>
        <v>201905079063</v>
      </c>
      <c r="F541" t="str">
        <f>"15-17513"</f>
        <v>15-17513</v>
      </c>
      <c r="G541" s="2">
        <v>82.5</v>
      </c>
      <c r="H541" t="str">
        <f>"15-17513"</f>
        <v>15-17513</v>
      </c>
    </row>
    <row r="542" spans="1:9" x14ac:dyDescent="0.25">
      <c r="E542" t="str">
        <f>"201905079116"</f>
        <v>201905079116</v>
      </c>
      <c r="F542" t="str">
        <f>"18-18877"</f>
        <v>18-18877</v>
      </c>
      <c r="G542" s="2">
        <v>167.5</v>
      </c>
      <c r="H542" t="str">
        <f>"18-18877"</f>
        <v>18-18877</v>
      </c>
    </row>
    <row r="543" spans="1:9" x14ac:dyDescent="0.25">
      <c r="E543" t="str">
        <f>"201905079117"</f>
        <v>201905079117</v>
      </c>
      <c r="F543" t="str">
        <f>"18-18864"</f>
        <v>18-18864</v>
      </c>
      <c r="G543" s="2">
        <v>130</v>
      </c>
      <c r="H543" t="str">
        <f>"18-18864"</f>
        <v>18-18864</v>
      </c>
    </row>
    <row r="544" spans="1:9" x14ac:dyDescent="0.25">
      <c r="A544" t="s">
        <v>133</v>
      </c>
      <c r="B544">
        <v>825</v>
      </c>
      <c r="C544" s="2">
        <v>1227.5</v>
      </c>
      <c r="D544" s="1">
        <v>43614</v>
      </c>
      <c r="E544" t="str">
        <f>"201905159288"</f>
        <v>201905159288</v>
      </c>
      <c r="F544" t="str">
        <f>"423-2287"</f>
        <v>423-2287</v>
      </c>
      <c r="G544" s="2">
        <v>100</v>
      </c>
      <c r="H544" t="str">
        <f>"423-2287"</f>
        <v>423-2287</v>
      </c>
    </row>
    <row r="545" spans="1:8" x14ac:dyDescent="0.25">
      <c r="E545" t="str">
        <f>"201905219420"</f>
        <v>201905219420</v>
      </c>
      <c r="F545" t="str">
        <f>"19-19445"</f>
        <v>19-19445</v>
      </c>
      <c r="G545" s="2">
        <v>475</v>
      </c>
      <c r="H545" t="str">
        <f>"19-19445"</f>
        <v>19-19445</v>
      </c>
    </row>
    <row r="546" spans="1:8" x14ac:dyDescent="0.25">
      <c r="E546" t="str">
        <f>"201905219438"</f>
        <v>201905219438</v>
      </c>
      <c r="F546" t="str">
        <f>"07-12260"</f>
        <v>07-12260</v>
      </c>
      <c r="G546" s="2">
        <v>100</v>
      </c>
      <c r="H546" t="str">
        <f>"07-12260"</f>
        <v>07-12260</v>
      </c>
    </row>
    <row r="547" spans="1:8" x14ac:dyDescent="0.25">
      <c r="E547" t="str">
        <f>"201905219440"</f>
        <v>201905219440</v>
      </c>
      <c r="F547" t="str">
        <f>"19-19526"</f>
        <v>19-19526</v>
      </c>
      <c r="G547" s="2">
        <v>220</v>
      </c>
      <c r="H547" t="str">
        <f>"19-19526"</f>
        <v>19-19526</v>
      </c>
    </row>
    <row r="548" spans="1:8" x14ac:dyDescent="0.25">
      <c r="E548" t="str">
        <f>"201905219441"</f>
        <v>201905219441</v>
      </c>
      <c r="F548" t="str">
        <f>"17-18392"</f>
        <v>17-18392</v>
      </c>
      <c r="G548" s="2">
        <v>332.5</v>
      </c>
      <c r="H548" t="str">
        <f>"17-18392"</f>
        <v>17-18392</v>
      </c>
    </row>
    <row r="549" spans="1:8" x14ac:dyDescent="0.25">
      <c r="A549" t="s">
        <v>134</v>
      </c>
      <c r="B549">
        <v>82120</v>
      </c>
      <c r="C549" s="2">
        <v>1640.82</v>
      </c>
      <c r="D549" s="1">
        <v>43598</v>
      </c>
      <c r="E549" t="str">
        <f>"10310453938"</f>
        <v>10310453938</v>
      </c>
      <c r="F549" t="str">
        <f>"Batteries for Rugged Lapt"</f>
        <v>Batteries for Rugged Lapt</v>
      </c>
      <c r="G549" s="2">
        <v>245.94</v>
      </c>
      <c r="H549" t="str">
        <f>"Price"</f>
        <v>Price</v>
      </c>
    </row>
    <row r="550" spans="1:8" x14ac:dyDescent="0.25">
      <c r="E550" t="str">
        <f>"10312727290"</f>
        <v>10312727290</v>
      </c>
      <c r="F550" t="str">
        <f>"County Court at Law Lapto"</f>
        <v>County Court at Law Lapto</v>
      </c>
      <c r="G550" s="2">
        <v>1394.88</v>
      </c>
      <c r="H550" t="str">
        <f>"Dell Latitude 5590"</f>
        <v>Dell Latitude 5590</v>
      </c>
    </row>
    <row r="551" spans="1:8" x14ac:dyDescent="0.25">
      <c r="E551" t="str">
        <f>""</f>
        <v/>
      </c>
      <c r="F551" t="str">
        <f>""</f>
        <v/>
      </c>
      <c r="H551" t="str">
        <f>"Shipping"</f>
        <v>Shipping</v>
      </c>
    </row>
    <row r="552" spans="1:8" x14ac:dyDescent="0.25">
      <c r="A552" t="s">
        <v>134</v>
      </c>
      <c r="B552">
        <v>82322</v>
      </c>
      <c r="C552" s="2">
        <v>1461.07</v>
      </c>
      <c r="D552" s="1">
        <v>43613</v>
      </c>
      <c r="E552" t="str">
        <f>"10314287018"</f>
        <v>10314287018</v>
      </c>
      <c r="F552" t="str">
        <f>"External DVD Drives for D"</f>
        <v>External DVD Drives for D</v>
      </c>
      <c r="G552" s="2">
        <v>88.18</v>
      </c>
      <c r="H552" t="str">
        <f>"Dell Part# :429-AAUQ"</f>
        <v>Dell Part# :429-AAUQ</v>
      </c>
    </row>
    <row r="553" spans="1:8" x14ac:dyDescent="0.25">
      <c r="E553" t="str">
        <f>""</f>
        <v/>
      </c>
      <c r="F553" t="str">
        <f>""</f>
        <v/>
      </c>
      <c r="H553" t="str">
        <f>"Discount"</f>
        <v>Discount</v>
      </c>
    </row>
    <row r="554" spans="1:8" x14ac:dyDescent="0.25">
      <c r="E554" t="str">
        <f>"10316407979"</f>
        <v>10316407979</v>
      </c>
      <c r="F554" t="str">
        <f>"Laptop for Robert Aleman"</f>
        <v>Laptop for Robert Aleman</v>
      </c>
      <c r="G554" s="2">
        <v>1372.89</v>
      </c>
      <c r="H554" t="str">
        <f>"Latitude 5590"</f>
        <v>Latitude 5590</v>
      </c>
    </row>
    <row r="555" spans="1:8" x14ac:dyDescent="0.25">
      <c r="A555" t="s">
        <v>135</v>
      </c>
      <c r="B555">
        <v>82121</v>
      </c>
      <c r="C555" s="2">
        <v>1452</v>
      </c>
      <c r="D555" s="1">
        <v>43598</v>
      </c>
      <c r="E555" t="str">
        <f>"201905089176"</f>
        <v>201905089176</v>
      </c>
      <c r="F555" t="str">
        <f>"SANE EXAM 19-J-00073"</f>
        <v>SANE EXAM 19-J-00073</v>
      </c>
      <c r="G555" s="2">
        <v>265</v>
      </c>
      <c r="H555" t="str">
        <f>"SANE EXAM 19-J-00073"</f>
        <v>SANE EXAM 19-J-00073</v>
      </c>
    </row>
    <row r="556" spans="1:8" x14ac:dyDescent="0.25">
      <c r="E556" t="str">
        <f>"201905089177"</f>
        <v>201905089177</v>
      </c>
      <c r="F556" t="str">
        <f>"SANE EXAM 19-J-00073"</f>
        <v>SANE EXAM 19-J-00073</v>
      </c>
      <c r="G556" s="2">
        <v>265</v>
      </c>
      <c r="H556" t="str">
        <f>"SANE EXAM 19-J-00073"</f>
        <v>SANE EXAM 19-J-00073</v>
      </c>
    </row>
    <row r="557" spans="1:8" x14ac:dyDescent="0.25">
      <c r="E557" t="str">
        <f>"201905089178"</f>
        <v>201905089178</v>
      </c>
      <c r="F557" t="str">
        <f>"SANE EXAM 19-S-01699"</f>
        <v>SANE EXAM 19-S-01699</v>
      </c>
      <c r="G557" s="2">
        <v>922</v>
      </c>
      <c r="H557" t="str">
        <f>"SANE EXAM 19-S-01699"</f>
        <v>SANE EXAM 19-S-01699</v>
      </c>
    </row>
    <row r="558" spans="1:8" x14ac:dyDescent="0.25">
      <c r="A558" t="s">
        <v>135</v>
      </c>
      <c r="B558">
        <v>82323</v>
      </c>
      <c r="C558" s="2">
        <v>1000</v>
      </c>
      <c r="D558" s="1">
        <v>43613</v>
      </c>
      <c r="E558" t="str">
        <f>"201905229476"</f>
        <v>201905229476</v>
      </c>
      <c r="F558" t="str">
        <f>"ACCT#8074629530/19-S-02210"</f>
        <v>ACCT#8074629530/19-S-02210</v>
      </c>
      <c r="G558" s="2">
        <v>1000</v>
      </c>
      <c r="H558" t="str">
        <f>"ACCT#8074629530/19-S-02210"</f>
        <v>ACCT#8074629530/19-S-02210</v>
      </c>
    </row>
    <row r="559" spans="1:8" x14ac:dyDescent="0.25">
      <c r="A559" t="s">
        <v>136</v>
      </c>
      <c r="B559">
        <v>847</v>
      </c>
      <c r="C559" s="2">
        <v>2260</v>
      </c>
      <c r="D559" s="1">
        <v>43614</v>
      </c>
      <c r="E559" t="str">
        <f>"BATX016074"</f>
        <v>BATX016074</v>
      </c>
      <c r="F559" t="str">
        <f>"INV BATX016074"</f>
        <v>INV BATX016074</v>
      </c>
      <c r="G559" s="2">
        <v>2260</v>
      </c>
      <c r="H559" t="str">
        <f>"INV BATX016074"</f>
        <v>INV BATX016074</v>
      </c>
    </row>
    <row r="560" spans="1:8" x14ac:dyDescent="0.25">
      <c r="A560" t="s">
        <v>137</v>
      </c>
      <c r="B560">
        <v>82324</v>
      </c>
      <c r="C560" s="2">
        <v>663.35</v>
      </c>
      <c r="D560" s="1">
        <v>43613</v>
      </c>
      <c r="E560" t="str">
        <f>"201905219388"</f>
        <v>201905219388</v>
      </c>
      <c r="F560" t="str">
        <f>"INDIGENT HEALTH"</f>
        <v>INDIGENT HEALTH</v>
      </c>
      <c r="G560" s="2">
        <v>663.35</v>
      </c>
      <c r="H560" t="str">
        <f>"INDIGENT HEALTH"</f>
        <v>INDIGENT HEALTH</v>
      </c>
    </row>
    <row r="561" spans="1:8" x14ac:dyDescent="0.25">
      <c r="E561" t="str">
        <f>""</f>
        <v/>
      </c>
      <c r="F561" t="str">
        <f>""</f>
        <v/>
      </c>
      <c r="H561" t="str">
        <f>"INDIGENT HEALTH"</f>
        <v>INDIGENT HEALTH</v>
      </c>
    </row>
    <row r="562" spans="1:8" x14ac:dyDescent="0.25">
      <c r="A562" t="s">
        <v>138</v>
      </c>
      <c r="B562">
        <v>82122</v>
      </c>
      <c r="C562" s="2">
        <v>54.5</v>
      </c>
      <c r="D562" s="1">
        <v>43598</v>
      </c>
      <c r="E562" t="str">
        <f>"25471"</f>
        <v>25471</v>
      </c>
      <c r="F562" t="str">
        <f>"INV 25471"</f>
        <v>INV 25471</v>
      </c>
      <c r="G562" s="2">
        <v>27</v>
      </c>
      <c r="H562" t="str">
        <f>"INV 25471"</f>
        <v>INV 25471</v>
      </c>
    </row>
    <row r="563" spans="1:8" x14ac:dyDescent="0.25">
      <c r="E563" t="str">
        <f>"25483"</f>
        <v>25483</v>
      </c>
      <c r="F563" t="str">
        <f>"DUPLICATE KEYS/PCT#1"</f>
        <v>DUPLICATE KEYS/PCT#1</v>
      </c>
      <c r="G563" s="2">
        <v>27.5</v>
      </c>
      <c r="H563" t="str">
        <f>"DUPLICATE KEYS/PCT#1"</f>
        <v>DUPLICATE KEYS/PCT#1</v>
      </c>
    </row>
    <row r="564" spans="1:8" x14ac:dyDescent="0.25">
      <c r="A564" t="s">
        <v>138</v>
      </c>
      <c r="B564">
        <v>82325</v>
      </c>
      <c r="C564" s="2">
        <v>406.2</v>
      </c>
      <c r="D564" s="1">
        <v>43613</v>
      </c>
      <c r="E564" t="str">
        <f>"25495"</f>
        <v>25495</v>
      </c>
      <c r="F564" t="str">
        <f>"SVC CALL/MASTER KEY/DUP KEYS"</f>
        <v>SVC CALL/MASTER KEY/DUP KEYS</v>
      </c>
      <c r="G564" s="2">
        <v>279</v>
      </c>
      <c r="H564" t="str">
        <f>"SVC CALL/MASTER KEY/DUP KEYS"</f>
        <v>SVC CALL/MASTER KEY/DUP KEYS</v>
      </c>
    </row>
    <row r="565" spans="1:8" x14ac:dyDescent="0.25">
      <c r="E565" t="str">
        <f>"25526"</f>
        <v>25526</v>
      </c>
      <c r="F565" t="str">
        <f>"DUPLICATE KEYS/GENERAL SERVICE"</f>
        <v>DUPLICATE KEYS/GENERAL SERVICE</v>
      </c>
      <c r="G565" s="2">
        <v>127.2</v>
      </c>
      <c r="H565" t="str">
        <f>"DUPLICATE KEYS/GENERAL SERVICE"</f>
        <v>DUPLICATE KEYS/GENERAL SERVICE</v>
      </c>
    </row>
    <row r="566" spans="1:8" x14ac:dyDescent="0.25">
      <c r="A566" t="s">
        <v>139</v>
      </c>
      <c r="B566">
        <v>82123</v>
      </c>
      <c r="C566" s="2">
        <v>2328.71</v>
      </c>
      <c r="D566" s="1">
        <v>43598</v>
      </c>
      <c r="E566" t="str">
        <f>"19031121N"</f>
        <v>19031121N</v>
      </c>
      <c r="F566" t="str">
        <f>"CUST CODE:PKE5000/03/01-03/31"</f>
        <v>CUST CODE:PKE5000/03/01-03/31</v>
      </c>
      <c r="G566" s="2">
        <v>2328.71</v>
      </c>
      <c r="H566" t="str">
        <f>"CUST CODE:PKE5000/03/01-03/31"</f>
        <v>CUST CODE:PKE5000/03/01-03/31</v>
      </c>
    </row>
    <row r="567" spans="1:8" x14ac:dyDescent="0.25">
      <c r="E567" t="str">
        <f>""</f>
        <v/>
      </c>
      <c r="F567" t="str">
        <f>""</f>
        <v/>
      </c>
      <c r="H567" t="str">
        <f>"CUST CODE:PKE5000/03/01-03/31"</f>
        <v>CUST CODE:PKE5000/03/01-03/31</v>
      </c>
    </row>
    <row r="568" spans="1:8" x14ac:dyDescent="0.25">
      <c r="A568" t="s">
        <v>139</v>
      </c>
      <c r="B568">
        <v>82326</v>
      </c>
      <c r="C568" s="2">
        <v>2505.71</v>
      </c>
      <c r="D568" s="1">
        <v>43613</v>
      </c>
      <c r="E568" t="str">
        <f>"19041121N"</f>
        <v>19041121N</v>
      </c>
      <c r="F568" t="str">
        <f>"CUST#PKE5000/APRIL 2019"</f>
        <v>CUST#PKE5000/APRIL 2019</v>
      </c>
      <c r="G568" s="2">
        <v>2505.71</v>
      </c>
      <c r="H568" t="str">
        <f>"CUST#PKE5000/APRIL 2019"</f>
        <v>CUST#PKE5000/APRIL 2019</v>
      </c>
    </row>
    <row r="569" spans="1:8" x14ac:dyDescent="0.25">
      <c r="E569" t="str">
        <f>""</f>
        <v/>
      </c>
      <c r="F569" t="str">
        <f>""</f>
        <v/>
      </c>
      <c r="H569" t="str">
        <f>"CUST#PKE5000/APRIL 2019"</f>
        <v>CUST#PKE5000/APRIL 2019</v>
      </c>
    </row>
    <row r="570" spans="1:8" x14ac:dyDescent="0.25">
      <c r="A570" t="s">
        <v>140</v>
      </c>
      <c r="B570">
        <v>82124</v>
      </c>
      <c r="C570" s="2">
        <v>248.9</v>
      </c>
      <c r="D570" s="1">
        <v>43598</v>
      </c>
      <c r="E570" t="str">
        <f>"4273"</f>
        <v>4273</v>
      </c>
      <c r="F570" t="str">
        <f>"ACCT#3622/PCT#1"</f>
        <v>ACCT#3622/PCT#1</v>
      </c>
      <c r="G570" s="2">
        <v>130.80000000000001</v>
      </c>
      <c r="H570" t="str">
        <f>"ACCT#3622/PCT#1"</f>
        <v>ACCT#3622/PCT#1</v>
      </c>
    </row>
    <row r="571" spans="1:8" x14ac:dyDescent="0.25">
      <c r="E571" t="str">
        <f>"4306"</f>
        <v>4306</v>
      </c>
      <c r="F571" t="str">
        <f>"ACCT#3647/PCT#1"</f>
        <v>ACCT#3647/PCT#1</v>
      </c>
      <c r="G571" s="2">
        <v>118.1</v>
      </c>
      <c r="H571" t="str">
        <f>"ACCT#3647/PCT#1"</f>
        <v>ACCT#3647/PCT#1</v>
      </c>
    </row>
    <row r="572" spans="1:8" x14ac:dyDescent="0.25">
      <c r="A572" t="s">
        <v>141</v>
      </c>
      <c r="B572">
        <v>82041</v>
      </c>
      <c r="C572" s="2">
        <v>749.4</v>
      </c>
      <c r="D572" s="1">
        <v>43586</v>
      </c>
      <c r="E572" t="str">
        <f>"201904308902"</f>
        <v>201904308902</v>
      </c>
      <c r="F572" t="str">
        <f>"ACCT#405900029213 / 05012019"</f>
        <v>ACCT#405900029213 / 05012019</v>
      </c>
      <c r="G572" s="2">
        <v>374.7</v>
      </c>
      <c r="H572" t="str">
        <f>"ACCT#405900029213 / 05012019"</f>
        <v>ACCT#405900029213 / 05012019</v>
      </c>
    </row>
    <row r="573" spans="1:8" x14ac:dyDescent="0.25">
      <c r="E573" t="str">
        <f>"201904308903"</f>
        <v>201904308903</v>
      </c>
      <c r="F573" t="str">
        <f>"ACCT#405900029225 / 05012019"</f>
        <v>ACCT#405900029225 / 05012019</v>
      </c>
      <c r="G573" s="2">
        <v>187.35</v>
      </c>
      <c r="H573" t="str">
        <f>"ACCT#405900029225 / 05012019"</f>
        <v>ACCT#405900029225 / 05012019</v>
      </c>
    </row>
    <row r="574" spans="1:8" x14ac:dyDescent="0.25">
      <c r="E574" t="str">
        <f>"201904308904"</f>
        <v>201904308904</v>
      </c>
      <c r="F574" t="str">
        <f>"ACCT#405900028789 / 05012019"</f>
        <v>ACCT#405900028789 / 05012019</v>
      </c>
      <c r="G574" s="2">
        <v>187.35</v>
      </c>
      <c r="H574" t="str">
        <f>"ACCT#405900028789 / 05012019"</f>
        <v>ACCT#405900028789 / 05012019</v>
      </c>
    </row>
    <row r="575" spans="1:8" x14ac:dyDescent="0.25">
      <c r="A575" t="s">
        <v>141</v>
      </c>
      <c r="B575">
        <v>82327</v>
      </c>
      <c r="C575" s="2">
        <v>749.4</v>
      </c>
      <c r="D575" s="1">
        <v>43613</v>
      </c>
      <c r="E575" t="str">
        <f>"201905219447"</f>
        <v>201905219447</v>
      </c>
      <c r="F575" t="str">
        <f>"ACCT#405900028789 / 06012019"</f>
        <v>ACCT#405900028789 / 06012019</v>
      </c>
      <c r="G575" s="2">
        <v>187.35</v>
      </c>
      <c r="H575" t="str">
        <f>"ACCT#405900028789 / 06012019"</f>
        <v>ACCT#405900028789 / 06012019</v>
      </c>
    </row>
    <row r="576" spans="1:8" x14ac:dyDescent="0.25">
      <c r="E576" t="str">
        <f>"201905219448"</f>
        <v>201905219448</v>
      </c>
      <c r="F576" t="str">
        <f>"ACCT#405900029225 / 06012019"</f>
        <v>ACCT#405900029225 / 06012019</v>
      </c>
      <c r="G576" s="2">
        <v>187.35</v>
      </c>
      <c r="H576" t="str">
        <f>"ACCT#405900029225 / 06012019"</f>
        <v>ACCT#405900029225 / 06012019</v>
      </c>
    </row>
    <row r="577" spans="1:8" x14ac:dyDescent="0.25">
      <c r="E577" t="str">
        <f>"201905219449"</f>
        <v>201905219449</v>
      </c>
      <c r="F577" t="str">
        <f>"ACCT#405900029213 / 06012019"</f>
        <v>ACCT#405900029213 / 06012019</v>
      </c>
      <c r="G577" s="2">
        <v>374.7</v>
      </c>
      <c r="H577" t="str">
        <f>"ACCT#405900029213 / 06012019"</f>
        <v>ACCT#405900029213 / 06012019</v>
      </c>
    </row>
    <row r="578" spans="1:8" x14ac:dyDescent="0.25">
      <c r="A578" t="s">
        <v>142</v>
      </c>
      <c r="B578">
        <v>82125</v>
      </c>
      <c r="C578" s="2">
        <v>1235</v>
      </c>
      <c r="D578" s="1">
        <v>43598</v>
      </c>
      <c r="E578" t="str">
        <f>"28929A"</f>
        <v>28929A</v>
      </c>
      <c r="F578" t="str">
        <f>"INV 28929A"</f>
        <v>INV 28929A</v>
      </c>
      <c r="G578" s="2">
        <v>1235</v>
      </c>
      <c r="H578" t="str">
        <f>"INV 28929A"</f>
        <v>INV 28929A</v>
      </c>
    </row>
    <row r="579" spans="1:8" x14ac:dyDescent="0.25">
      <c r="A579" t="s">
        <v>142</v>
      </c>
      <c r="B579">
        <v>82328</v>
      </c>
      <c r="C579" s="2">
        <v>1424.5</v>
      </c>
      <c r="D579" s="1">
        <v>43613</v>
      </c>
      <c r="E579" t="str">
        <f>"28980A"</f>
        <v>28980A</v>
      </c>
      <c r="F579" t="str">
        <f>"INV 28980A"</f>
        <v>INV 28980A</v>
      </c>
      <c r="G579" s="2">
        <v>1424.5</v>
      </c>
      <c r="H579" t="str">
        <f>"INV 28980A"</f>
        <v>INV 28980A</v>
      </c>
    </row>
    <row r="580" spans="1:8" x14ac:dyDescent="0.25">
      <c r="A580" t="s">
        <v>143</v>
      </c>
      <c r="B580">
        <v>82126</v>
      </c>
      <c r="C580" s="2">
        <v>805.59</v>
      </c>
      <c r="D580" s="1">
        <v>43598</v>
      </c>
      <c r="E580" t="str">
        <f>"34783"</f>
        <v>34783</v>
      </c>
      <c r="F580" t="str">
        <f>"TRUCK #2019/PCT#3"</f>
        <v>TRUCK #2019/PCT#3</v>
      </c>
      <c r="G580" s="2">
        <v>805.59</v>
      </c>
      <c r="H580" t="str">
        <f>"TRUCK #2019/PCT#3"</f>
        <v>TRUCK #2019/PCT#3</v>
      </c>
    </row>
    <row r="581" spans="1:8" x14ac:dyDescent="0.25">
      <c r="A581" t="s">
        <v>144</v>
      </c>
      <c r="B581">
        <v>808</v>
      </c>
      <c r="C581" s="2">
        <v>7056</v>
      </c>
      <c r="D581" s="1">
        <v>43599</v>
      </c>
      <c r="E581" t="str">
        <f>"201904248743"</f>
        <v>201904248743</v>
      </c>
      <c r="F581" t="str">
        <f>"16694"</f>
        <v>16694</v>
      </c>
      <c r="G581" s="2">
        <v>600</v>
      </c>
      <c r="H581" t="str">
        <f>"16694"</f>
        <v>16694</v>
      </c>
    </row>
    <row r="582" spans="1:8" x14ac:dyDescent="0.25">
      <c r="E582" t="str">
        <f>"201904248744"</f>
        <v>201904248744</v>
      </c>
      <c r="F582" t="str">
        <f>"16705  20170459E"</f>
        <v>16705  20170459E</v>
      </c>
      <c r="G582" s="2">
        <v>800</v>
      </c>
      <c r="H582" t="str">
        <f>"16705  20170459E"</f>
        <v>16705  20170459E</v>
      </c>
    </row>
    <row r="583" spans="1:8" x14ac:dyDescent="0.25">
      <c r="E583" t="str">
        <f>"201904248808"</f>
        <v>201904248808</v>
      </c>
      <c r="F583" t="str">
        <f>"17-18119"</f>
        <v>17-18119</v>
      </c>
      <c r="G583" s="2">
        <v>100</v>
      </c>
      <c r="H583" t="str">
        <f>"17-18119"</f>
        <v>17-18119</v>
      </c>
    </row>
    <row r="584" spans="1:8" x14ac:dyDescent="0.25">
      <c r="E584" t="str">
        <f>"201904248820"</f>
        <v>201904248820</v>
      </c>
      <c r="F584" t="str">
        <f>"18-18854"</f>
        <v>18-18854</v>
      </c>
      <c r="G584" s="2">
        <v>1312.5</v>
      </c>
      <c r="H584" t="str">
        <f>"18-18854"</f>
        <v>18-18854</v>
      </c>
    </row>
    <row r="585" spans="1:8" x14ac:dyDescent="0.25">
      <c r="E585" t="str">
        <f>"201904248837"</f>
        <v>201904248837</v>
      </c>
      <c r="F585" t="str">
        <f>"56832  311182018B"</f>
        <v>56832  311182018B</v>
      </c>
      <c r="G585" s="2">
        <v>375</v>
      </c>
      <c r="H585" t="str">
        <f>"56832  311182018B"</f>
        <v>56832  311182018B</v>
      </c>
    </row>
    <row r="586" spans="1:8" x14ac:dyDescent="0.25">
      <c r="E586" t="str">
        <f>"201904248838"</f>
        <v>201904248838</v>
      </c>
      <c r="F586" t="str">
        <f>"56679"</f>
        <v>56679</v>
      </c>
      <c r="G586" s="2">
        <v>250</v>
      </c>
      <c r="H586" t="str">
        <f>"56679"</f>
        <v>56679</v>
      </c>
    </row>
    <row r="587" spans="1:8" x14ac:dyDescent="0.25">
      <c r="E587" t="str">
        <f>"201904248839"</f>
        <v>201904248839</v>
      </c>
      <c r="F587" t="str">
        <f>"50863"</f>
        <v>50863</v>
      </c>
      <c r="G587" s="2">
        <v>250</v>
      </c>
      <c r="H587" t="str">
        <f>"50863"</f>
        <v>50863</v>
      </c>
    </row>
    <row r="588" spans="1:8" x14ac:dyDescent="0.25">
      <c r="E588" t="str">
        <f>"201904248850"</f>
        <v>201904248850</v>
      </c>
      <c r="F588" t="str">
        <f>"20170459A-D"</f>
        <v>20170459A-D</v>
      </c>
      <c r="G588" s="2">
        <v>625</v>
      </c>
      <c r="H588" t="str">
        <f>"20170459A-D"</f>
        <v>20170459A-D</v>
      </c>
    </row>
    <row r="589" spans="1:8" x14ac:dyDescent="0.25">
      <c r="E589" t="str">
        <f>"201904268874"</f>
        <v>201904268874</v>
      </c>
      <c r="F589" t="str">
        <f>"02-1211-3"</f>
        <v>02-1211-3</v>
      </c>
      <c r="G589" s="2">
        <v>400</v>
      </c>
      <c r="H589" t="str">
        <f>"02-1211-3"</f>
        <v>02-1211-3</v>
      </c>
    </row>
    <row r="590" spans="1:8" x14ac:dyDescent="0.25">
      <c r="E590" t="str">
        <f>"201904268875"</f>
        <v>201904268875</v>
      </c>
      <c r="F590" t="str">
        <f>"BF02-0106-3  WRIT NO. 1118-335"</f>
        <v>BF02-0106-3  WRIT NO. 1118-335</v>
      </c>
      <c r="G590" s="2">
        <v>100</v>
      </c>
      <c r="H590" t="str">
        <f>"BF02-0106-3  WRIT NO. 1118-335"</f>
        <v>BF02-0106-3  WRIT NO. 1118-335</v>
      </c>
    </row>
    <row r="591" spans="1:8" x14ac:dyDescent="0.25">
      <c r="E591" t="str">
        <f>"201904268876"</f>
        <v>201904268876</v>
      </c>
      <c r="F591" t="str">
        <f>"JP104172019C  WRIT NO.1127-335"</f>
        <v>JP104172019C  WRIT NO.1127-335</v>
      </c>
      <c r="G591" s="2">
        <v>100</v>
      </c>
      <c r="H591" t="str">
        <f>"JP104172019C  WRIT NO.1127-335"</f>
        <v>JP104172019C  WRIT NO.1127-335</v>
      </c>
    </row>
    <row r="592" spans="1:8" x14ac:dyDescent="0.25">
      <c r="E592" t="str">
        <f>"201904268877"</f>
        <v>201904268877</v>
      </c>
      <c r="F592" t="str">
        <f>"AC-2019-0314  WRIT NO.1128-335"</f>
        <v>AC-2019-0314  WRIT NO.1128-335</v>
      </c>
      <c r="G592" s="2">
        <v>100</v>
      </c>
      <c r="H592" t="str">
        <f>"AC-2019-0314  WRIT NO.1128-335"</f>
        <v>AC-2019-0314  WRIT NO.1128-335</v>
      </c>
    </row>
    <row r="593" spans="1:8" x14ac:dyDescent="0.25">
      <c r="E593" t="str">
        <f>"201904268878"</f>
        <v>201904268878</v>
      </c>
      <c r="F593" t="str">
        <f>"20190446  WRIT NO.1124-21"</f>
        <v>20190446  WRIT NO.1124-21</v>
      </c>
      <c r="G593" s="2">
        <v>100</v>
      </c>
      <c r="H593" t="str">
        <f>"20190446  WRIT NO.1124-21"</f>
        <v>20190446  WRIT NO.1124-21</v>
      </c>
    </row>
    <row r="594" spans="1:8" x14ac:dyDescent="0.25">
      <c r="E594" t="str">
        <f>"201905079064"</f>
        <v>201905079064</v>
      </c>
      <c r="F594" t="str">
        <f>"CC20190406-B  C19-0031"</f>
        <v>CC20190406-B  C19-0031</v>
      </c>
      <c r="G594" s="2">
        <v>200</v>
      </c>
      <c r="H594" t="str">
        <f>"CC20190406-B  C19-0031"</f>
        <v>CC20190406-B  C19-0031</v>
      </c>
    </row>
    <row r="595" spans="1:8" x14ac:dyDescent="0.25">
      <c r="E595" t="str">
        <f>"201905079065"</f>
        <v>201905079065</v>
      </c>
      <c r="F595" t="str">
        <f>"JP104172019E  WRIT#19-19599"</f>
        <v>JP104172019E  WRIT#19-19599</v>
      </c>
      <c r="G595" s="2">
        <v>100</v>
      </c>
      <c r="H595" t="str">
        <f>"JP104172019E  WRIT#19-19599"</f>
        <v>JP104172019E  WRIT#19-19599</v>
      </c>
    </row>
    <row r="596" spans="1:8" x14ac:dyDescent="0.25">
      <c r="E596" t="str">
        <f>"201905079066"</f>
        <v>201905079066</v>
      </c>
      <c r="F596" t="str">
        <f>"18-19299"</f>
        <v>18-19299</v>
      </c>
      <c r="G596" s="2">
        <v>381</v>
      </c>
      <c r="H596" t="str">
        <f>"18-19299"</f>
        <v>18-19299</v>
      </c>
    </row>
    <row r="597" spans="1:8" x14ac:dyDescent="0.25">
      <c r="E597" t="str">
        <f>"201905079089"</f>
        <v>201905079089</v>
      </c>
      <c r="F597" t="str">
        <f>"4030995"</f>
        <v>4030995</v>
      </c>
      <c r="G597" s="2">
        <v>250</v>
      </c>
      <c r="H597" t="str">
        <f>"4030995"</f>
        <v>4030995</v>
      </c>
    </row>
    <row r="598" spans="1:8" x14ac:dyDescent="0.25">
      <c r="E598" t="str">
        <f>"201905079090"</f>
        <v>201905079090</v>
      </c>
      <c r="F598" t="str">
        <f>"56722"</f>
        <v>56722</v>
      </c>
      <c r="G598" s="2">
        <v>250</v>
      </c>
      <c r="H598" t="str">
        <f>"56722"</f>
        <v>56722</v>
      </c>
    </row>
    <row r="599" spans="1:8" x14ac:dyDescent="0.25">
      <c r="E599" t="str">
        <f>"201905079104"</f>
        <v>201905079104</v>
      </c>
      <c r="F599" t="str">
        <f>"19-19597"</f>
        <v>19-19597</v>
      </c>
      <c r="G599" s="2">
        <v>287.5</v>
      </c>
      <c r="H599" t="str">
        <f>"19-19597"</f>
        <v>19-19597</v>
      </c>
    </row>
    <row r="600" spans="1:8" x14ac:dyDescent="0.25">
      <c r="E600" t="str">
        <f>"201905079108"</f>
        <v>201905079108</v>
      </c>
      <c r="F600" t="str">
        <f>"17-18617"</f>
        <v>17-18617</v>
      </c>
      <c r="G600" s="2">
        <v>100</v>
      </c>
      <c r="H600" t="str">
        <f>"17-18617"</f>
        <v>17-18617</v>
      </c>
    </row>
    <row r="601" spans="1:8" x14ac:dyDescent="0.25">
      <c r="E601" t="str">
        <f>"201905079149"</f>
        <v>201905079149</v>
      </c>
      <c r="F601" t="str">
        <f>"J-3173-CT1  J-3173-CT2"</f>
        <v>J-3173-CT1  J-3173-CT2</v>
      </c>
      <c r="G601" s="2">
        <v>375</v>
      </c>
      <c r="H601" t="str">
        <f>"J-3173-CT1  J-3173-CT2"</f>
        <v>J-3173-CT1  J-3173-CT2</v>
      </c>
    </row>
    <row r="602" spans="1:8" x14ac:dyDescent="0.25">
      <c r="A602" t="s">
        <v>144</v>
      </c>
      <c r="B602">
        <v>869</v>
      </c>
      <c r="C602" s="2">
        <v>6400</v>
      </c>
      <c r="D602" s="1">
        <v>43614</v>
      </c>
      <c r="E602" t="str">
        <f>"201905159283"</f>
        <v>201905159283</v>
      </c>
      <c r="F602" t="str">
        <f>"16754"</f>
        <v>16754</v>
      </c>
      <c r="G602" s="2">
        <v>400</v>
      </c>
      <c r="H602" t="str">
        <f>"16754"</f>
        <v>16754</v>
      </c>
    </row>
    <row r="603" spans="1:8" x14ac:dyDescent="0.25">
      <c r="E603" t="str">
        <f>"201905159284"</f>
        <v>201905159284</v>
      </c>
      <c r="F603" t="str">
        <f>"1140-335  19-S-02241"</f>
        <v>1140-335  19-S-02241</v>
      </c>
      <c r="G603" s="2">
        <v>100</v>
      </c>
      <c r="H603" t="str">
        <f>"1140-335  19-S-02241"</f>
        <v>1140-335  19-S-02241</v>
      </c>
    </row>
    <row r="604" spans="1:8" x14ac:dyDescent="0.25">
      <c r="E604" t="str">
        <f>"201905159297"</f>
        <v>201905159297</v>
      </c>
      <c r="F604" t="str">
        <f>"16678-CT.1  16678-CT.2"</f>
        <v>16678-CT.1  16678-CT.2</v>
      </c>
      <c r="G604" s="2">
        <v>2750</v>
      </c>
      <c r="H604" t="str">
        <f>"16678-CT.1  16678-CT.2"</f>
        <v>16678-CT.1  16678-CT.2</v>
      </c>
    </row>
    <row r="605" spans="1:8" x14ac:dyDescent="0.25">
      <c r="E605" t="str">
        <f>"201905169312"</f>
        <v>201905169312</v>
      </c>
      <c r="F605" t="str">
        <f>"16056"</f>
        <v>16056</v>
      </c>
      <c r="G605" s="2">
        <v>1200</v>
      </c>
      <c r="H605" t="str">
        <f>"16056"</f>
        <v>16056</v>
      </c>
    </row>
    <row r="606" spans="1:8" x14ac:dyDescent="0.25">
      <c r="E606" t="str">
        <f>"201905169313"</f>
        <v>201905169313</v>
      </c>
      <c r="F606" t="str">
        <f>"16767"</f>
        <v>16767</v>
      </c>
      <c r="G606" s="2">
        <v>400</v>
      </c>
      <c r="H606" t="str">
        <f>"16767"</f>
        <v>16767</v>
      </c>
    </row>
    <row r="607" spans="1:8" x14ac:dyDescent="0.25">
      <c r="E607" t="str">
        <f>"201905169314"</f>
        <v>201905169314</v>
      </c>
      <c r="F607" t="str">
        <f>"16741"</f>
        <v>16741</v>
      </c>
      <c r="G607" s="2">
        <v>600</v>
      </c>
      <c r="H607" t="str">
        <f>"16741"</f>
        <v>16741</v>
      </c>
    </row>
    <row r="608" spans="1:8" x14ac:dyDescent="0.25">
      <c r="E608" t="str">
        <f>"201905169315"</f>
        <v>201905169315</v>
      </c>
      <c r="F608" t="str">
        <f>"16794"</f>
        <v>16794</v>
      </c>
      <c r="G608" s="2">
        <v>400</v>
      </c>
      <c r="H608" t="str">
        <f>"16794"</f>
        <v>16794</v>
      </c>
    </row>
    <row r="609" spans="1:8" x14ac:dyDescent="0.25">
      <c r="E609" t="str">
        <f>"201905219411"</f>
        <v>201905219411</v>
      </c>
      <c r="F609" t="str">
        <f>"56585"</f>
        <v>56585</v>
      </c>
      <c r="G609" s="2">
        <v>250</v>
      </c>
      <c r="H609" t="str">
        <f>"56585"</f>
        <v>56585</v>
      </c>
    </row>
    <row r="610" spans="1:8" x14ac:dyDescent="0.25">
      <c r="E610" t="str">
        <f>"201905219430"</f>
        <v>201905219430</v>
      </c>
      <c r="F610" t="str">
        <f>"04-8662"</f>
        <v>04-8662</v>
      </c>
      <c r="G610" s="2">
        <v>100</v>
      </c>
      <c r="H610" t="str">
        <f>"04-8662"</f>
        <v>04-8662</v>
      </c>
    </row>
    <row r="611" spans="1:8" x14ac:dyDescent="0.25">
      <c r="E611" t="str">
        <f>"201905219454"</f>
        <v>201905219454</v>
      </c>
      <c r="F611" t="str">
        <f>"423-767"</f>
        <v>423-767</v>
      </c>
      <c r="G611" s="2">
        <v>100</v>
      </c>
      <c r="H611" t="str">
        <f>"423-767"</f>
        <v>423-767</v>
      </c>
    </row>
    <row r="612" spans="1:8" x14ac:dyDescent="0.25">
      <c r="E612" t="str">
        <f>"201905219455"</f>
        <v>201905219455</v>
      </c>
      <c r="F612" t="str">
        <f>"423-1262"</f>
        <v>423-1262</v>
      </c>
      <c r="G612" s="2">
        <v>100</v>
      </c>
      <c r="H612" t="str">
        <f>"423-1262"</f>
        <v>423-1262</v>
      </c>
    </row>
    <row r="613" spans="1:8" x14ac:dyDescent="0.25">
      <c r="A613" t="s">
        <v>145</v>
      </c>
      <c r="B613">
        <v>82127</v>
      </c>
      <c r="C613" s="2">
        <v>3396</v>
      </c>
      <c r="D613" s="1">
        <v>43598</v>
      </c>
      <c r="E613" t="str">
        <f>"15-1928"</f>
        <v>15-1928</v>
      </c>
      <c r="F613" t="str">
        <f>"COMMERCIAL BASE/PCT#3"</f>
        <v>COMMERCIAL BASE/PCT#3</v>
      </c>
      <c r="G613" s="2">
        <v>3396</v>
      </c>
      <c r="H613" t="str">
        <f>"COMMERCIAL BASE/PCT#3"</f>
        <v>COMMERCIAL BASE/PCT#3</v>
      </c>
    </row>
    <row r="614" spans="1:8" x14ac:dyDescent="0.25">
      <c r="A614" t="s">
        <v>146</v>
      </c>
      <c r="B614">
        <v>82329</v>
      </c>
      <c r="C614" s="2">
        <v>45</v>
      </c>
      <c r="D614" s="1">
        <v>43613</v>
      </c>
      <c r="E614" t="str">
        <f>"201905219459"</f>
        <v>201905219459</v>
      </c>
      <c r="F614" t="str">
        <f>"PER DIEM"</f>
        <v>PER DIEM</v>
      </c>
      <c r="G614" s="2">
        <v>45</v>
      </c>
      <c r="H614" t="str">
        <f>"PER DIEM"</f>
        <v>PER DIEM</v>
      </c>
    </row>
    <row r="615" spans="1:8" x14ac:dyDescent="0.25">
      <c r="A615" t="s">
        <v>147</v>
      </c>
      <c r="B615">
        <v>779</v>
      </c>
      <c r="C615" s="2">
        <v>2029.43</v>
      </c>
      <c r="D615" s="1">
        <v>43599</v>
      </c>
      <c r="E615" t="str">
        <f>"3292103"</f>
        <v>3292103</v>
      </c>
      <c r="F615" t="str">
        <f>"INV 3292103"</f>
        <v>INV 3292103</v>
      </c>
      <c r="G615" s="2">
        <v>1243.5</v>
      </c>
      <c r="H615" t="str">
        <f>"INV 3292103"</f>
        <v>INV 3292103</v>
      </c>
    </row>
    <row r="616" spans="1:8" x14ac:dyDescent="0.25">
      <c r="E616" t="str">
        <f>"3292105"</f>
        <v>3292105</v>
      </c>
      <c r="F616" t="str">
        <f>"INV 3292105"</f>
        <v>INV 3292105</v>
      </c>
      <c r="G616" s="2">
        <v>785.93</v>
      </c>
      <c r="H616" t="str">
        <f>"INV 3292105"</f>
        <v>INV 3292105</v>
      </c>
    </row>
    <row r="617" spans="1:8" x14ac:dyDescent="0.25">
      <c r="A617" t="s">
        <v>148</v>
      </c>
      <c r="B617">
        <v>82330</v>
      </c>
      <c r="C617" s="2">
        <v>275</v>
      </c>
      <c r="D617" s="1">
        <v>43613</v>
      </c>
      <c r="E617" t="str">
        <f>"195562001"</f>
        <v>195562001</v>
      </c>
      <c r="F617" t="str">
        <f>"ID#5562/5563 BLUE &amp; ASSOC MEMB"</f>
        <v>ID#5562/5563 BLUE &amp; ASSOC MEMB</v>
      </c>
      <c r="G617" s="2">
        <v>275</v>
      </c>
      <c r="H617" t="str">
        <f>"ID#5562/5563 BLUE &amp; ASSOC MEMB"</f>
        <v>ID#5562/5563 BLUE &amp; ASSOC MEMB</v>
      </c>
    </row>
    <row r="618" spans="1:8" x14ac:dyDescent="0.25">
      <c r="A618" t="s">
        <v>149</v>
      </c>
      <c r="B618">
        <v>82331</v>
      </c>
      <c r="C618" s="2">
        <v>6877.17</v>
      </c>
      <c r="D618" s="1">
        <v>43613</v>
      </c>
      <c r="E618" t="str">
        <f>"1088770"</f>
        <v>1088770</v>
      </c>
      <c r="F618" t="str">
        <f>"ACCT#B06875/ELECTIONS"</f>
        <v>ACCT#B06875/ELECTIONS</v>
      </c>
      <c r="G618" s="2">
        <v>4675</v>
      </c>
      <c r="H618" t="str">
        <f>"ACCT#B06875/ELECTIONS"</f>
        <v>ACCT#B06875/ELECTIONS</v>
      </c>
    </row>
    <row r="619" spans="1:8" x14ac:dyDescent="0.25">
      <c r="E619" t="str">
        <f>"1088896"</f>
        <v>1088896</v>
      </c>
      <c r="F619" t="str">
        <f>"ACCT#B06875/ELECTIONS"</f>
        <v>ACCT#B06875/ELECTIONS</v>
      </c>
      <c r="G619" s="2">
        <v>2202.17</v>
      </c>
      <c r="H619" t="str">
        <f>"ACCT#B06875/ELECTIONS"</f>
        <v>ACCT#B06875/ELECTIONS</v>
      </c>
    </row>
    <row r="620" spans="1:8" x14ac:dyDescent="0.25">
      <c r="A620" t="s">
        <v>150</v>
      </c>
      <c r="B620">
        <v>778</v>
      </c>
      <c r="C620" s="2">
        <v>1665</v>
      </c>
      <c r="D620" s="1">
        <v>43599</v>
      </c>
      <c r="E620" t="str">
        <f>"201905028940"</f>
        <v>201905028940</v>
      </c>
      <c r="F620" t="str">
        <f>"Road Material Ads"</f>
        <v>Road Material Ads</v>
      </c>
      <c r="G620" s="2">
        <v>1665</v>
      </c>
      <c r="H620" t="str">
        <f>"Road Material Ads"</f>
        <v>Road Material Ads</v>
      </c>
    </row>
    <row r="621" spans="1:8" x14ac:dyDescent="0.25">
      <c r="E621" t="str">
        <f>""</f>
        <v/>
      </c>
      <c r="F621" t="str">
        <f>""</f>
        <v/>
      </c>
      <c r="H621" t="str">
        <f>"Road Material Ads"</f>
        <v>Road Material Ads</v>
      </c>
    </row>
    <row r="622" spans="1:8" x14ac:dyDescent="0.25">
      <c r="E622" t="str">
        <f>""</f>
        <v/>
      </c>
      <c r="F622" t="str">
        <f>""</f>
        <v/>
      </c>
      <c r="H622" t="str">
        <f>"Road Material Ads"</f>
        <v>Road Material Ads</v>
      </c>
    </row>
    <row r="623" spans="1:8" x14ac:dyDescent="0.25">
      <c r="E623" t="str">
        <f>""</f>
        <v/>
      </c>
      <c r="F623" t="str">
        <f>""</f>
        <v/>
      </c>
      <c r="H623" t="str">
        <f>"Road Material Ads"</f>
        <v>Road Material Ads</v>
      </c>
    </row>
    <row r="624" spans="1:8" x14ac:dyDescent="0.25">
      <c r="A624" t="s">
        <v>151</v>
      </c>
      <c r="B624">
        <v>82128</v>
      </c>
      <c r="C624" s="2">
        <v>347.93</v>
      </c>
      <c r="D624" s="1">
        <v>43598</v>
      </c>
      <c r="E624" t="str">
        <f>"12492"</f>
        <v>12492</v>
      </c>
      <c r="F624" t="str">
        <f>"STATEMENT#12492/PCT#4"</f>
        <v>STATEMENT#12492/PCT#4</v>
      </c>
      <c r="G624" s="2">
        <v>347.93</v>
      </c>
      <c r="H624" t="str">
        <f>"STATEMENT#12492/PCT#4"</f>
        <v>STATEMENT#12492/PCT#4</v>
      </c>
    </row>
    <row r="625" spans="1:8" x14ac:dyDescent="0.25">
      <c r="A625" t="s">
        <v>152</v>
      </c>
      <c r="B625">
        <v>82048</v>
      </c>
      <c r="C625" s="2">
        <v>1910.75</v>
      </c>
      <c r="D625" s="1">
        <v>43594</v>
      </c>
      <c r="E625" t="str">
        <f>"201905099251"</f>
        <v>201905099251</v>
      </c>
      <c r="F625" t="str">
        <f>"ACCT#007-0008410-002/04302019"</f>
        <v>ACCT#007-0008410-002/04302019</v>
      </c>
      <c r="G625" s="2">
        <v>201.38</v>
      </c>
      <c r="H625" t="str">
        <f>"ACCT#007-0008410-002/04302019"</f>
        <v>ACCT#007-0008410-002/04302019</v>
      </c>
    </row>
    <row r="626" spans="1:8" x14ac:dyDescent="0.25">
      <c r="E626" t="str">
        <f>"201905099252"</f>
        <v>201905099252</v>
      </c>
      <c r="F626" t="str">
        <f>"ACCT#007-0011501-000/04302019"</f>
        <v>ACCT#007-0011501-000/04302019</v>
      </c>
      <c r="G626" s="2">
        <v>986.2</v>
      </c>
      <c r="H626" t="str">
        <f>"ACCT#007-0011501-000/04302019"</f>
        <v>ACCT#007-0011501-000/04302019</v>
      </c>
    </row>
    <row r="627" spans="1:8" x14ac:dyDescent="0.25">
      <c r="E627" t="str">
        <f>"201905099253"</f>
        <v>201905099253</v>
      </c>
      <c r="F627" t="str">
        <f>"ACCT#007-0011510-000/04302019"</f>
        <v>ACCT#007-0011510-000/04302019</v>
      </c>
      <c r="G627" s="2">
        <v>235.91</v>
      </c>
      <c r="H627" t="str">
        <f>"ACCT#007-0011510-000/04302019"</f>
        <v>ACCT#007-0011510-000/04302019</v>
      </c>
    </row>
    <row r="628" spans="1:8" x14ac:dyDescent="0.25">
      <c r="E628" t="str">
        <f>"201905099254"</f>
        <v>201905099254</v>
      </c>
      <c r="F628" t="str">
        <f>"ACCT#007-0011530-000/04302019"</f>
        <v>ACCT#007-0011530-000/04302019</v>
      </c>
      <c r="G628" s="2">
        <v>97.4</v>
      </c>
      <c r="H628" t="str">
        <f>"ACCT#007-0011530-000/04302019"</f>
        <v>ACCT#007-0011530-000/04302019</v>
      </c>
    </row>
    <row r="629" spans="1:8" x14ac:dyDescent="0.25">
      <c r="E629" t="str">
        <f>"201905099255"</f>
        <v>201905099255</v>
      </c>
      <c r="F629" t="str">
        <f>"ACCT#007-0011534-001/04302019"</f>
        <v>ACCT#007-0011534-001/04302019</v>
      </c>
      <c r="G629" s="2">
        <v>166.88</v>
      </c>
      <c r="H629" t="str">
        <f>"ACCT#007-0011534-001/04302019"</f>
        <v>ACCT#007-0011534-001/04302019</v>
      </c>
    </row>
    <row r="630" spans="1:8" x14ac:dyDescent="0.25">
      <c r="E630" t="str">
        <f>"201905099256"</f>
        <v>201905099256</v>
      </c>
      <c r="F630" t="str">
        <f>"ACCT#007-0011535-000/04302019"</f>
        <v>ACCT#007-0011535-000/04302019</v>
      </c>
      <c r="G630" s="2">
        <v>111.49</v>
      </c>
      <c r="H630" t="str">
        <f>"ACCT#007-0011535-000/04302019"</f>
        <v>ACCT#007-0011535-000/04302019</v>
      </c>
    </row>
    <row r="631" spans="1:8" x14ac:dyDescent="0.25">
      <c r="E631" t="str">
        <f>"201905099257"</f>
        <v>201905099257</v>
      </c>
      <c r="F631" t="str">
        <f>"ACCT#007-0011544-001/04302019"</f>
        <v>ACCT#007-0011544-001/04302019</v>
      </c>
      <c r="G631" s="2">
        <v>111.49</v>
      </c>
      <c r="H631" t="str">
        <f>"ACCT#007-0011544-001/04302019"</f>
        <v>ACCT#007-0011544-001/04302019</v>
      </c>
    </row>
    <row r="632" spans="1:8" x14ac:dyDescent="0.25">
      <c r="A632" t="s">
        <v>153</v>
      </c>
      <c r="B632">
        <v>82332</v>
      </c>
      <c r="C632" s="2">
        <v>246.38</v>
      </c>
      <c r="D632" s="1">
        <v>43613</v>
      </c>
      <c r="E632" t="str">
        <f>"145-27925-01"</f>
        <v>145-27925-01</v>
      </c>
      <c r="F632" t="str">
        <f>"CUST#0888336/GEN SVCS"</f>
        <v>CUST#0888336/GEN SVCS</v>
      </c>
      <c r="G632" s="2">
        <v>246.38</v>
      </c>
      <c r="H632" t="str">
        <f>"CUST#0888336/GEN SVCS"</f>
        <v>CUST#0888336/GEN SVCS</v>
      </c>
    </row>
    <row r="633" spans="1:8" x14ac:dyDescent="0.25">
      <c r="A633" t="s">
        <v>154</v>
      </c>
      <c r="B633">
        <v>82129</v>
      </c>
      <c r="C633" s="2">
        <v>2568.73</v>
      </c>
      <c r="D633" s="1">
        <v>43598</v>
      </c>
      <c r="E633" t="str">
        <f>"201905039021"</f>
        <v>201905039021</v>
      </c>
      <c r="F633" t="str">
        <f>"MONIES COLLECTED/WRIT OF EXEC"</f>
        <v>MONIES COLLECTED/WRIT OF EXEC</v>
      </c>
      <c r="G633" s="2">
        <v>2568.73</v>
      </c>
      <c r="H633" t="str">
        <f>"MONIES COLLECTED/WRIT OF EXEC"</f>
        <v>MONIES COLLECTED/WRIT OF EXEC</v>
      </c>
    </row>
    <row r="634" spans="1:8" x14ac:dyDescent="0.25">
      <c r="A634" t="s">
        <v>155</v>
      </c>
      <c r="B634">
        <v>82333</v>
      </c>
      <c r="C634" s="2">
        <v>27533.119999999999</v>
      </c>
      <c r="D634" s="1">
        <v>43613</v>
      </c>
      <c r="E634" t="str">
        <f>"9402038338"</f>
        <v>9402038338</v>
      </c>
      <c r="F634" t="str">
        <f>"ACCT#912922/BOL#24442/PCT#1"</f>
        <v>ACCT#912922/BOL#24442/PCT#1</v>
      </c>
      <c r="G634" s="2">
        <v>3572.38</v>
      </c>
      <c r="H634" t="str">
        <f>"ACCT#912922/BOL#24442/PCT#1"</f>
        <v>ACCT#912922/BOL#24442/PCT#1</v>
      </c>
    </row>
    <row r="635" spans="1:8" x14ac:dyDescent="0.25">
      <c r="E635" t="str">
        <f>"9402040125"</f>
        <v>9402040125</v>
      </c>
      <c r="F635" t="str">
        <f>"ACCT#912922/BOL#24462/PCT#1"</f>
        <v>ACCT#912922/BOL#24462/PCT#1</v>
      </c>
      <c r="G635" s="2">
        <v>11945.82</v>
      </c>
      <c r="H635" t="str">
        <f>"ACCT#912922/BOL#24462/PCT#1"</f>
        <v>ACCT#912922/BOL#24462/PCT#1</v>
      </c>
    </row>
    <row r="636" spans="1:8" x14ac:dyDescent="0.25">
      <c r="E636" t="str">
        <f>"9402041047"</f>
        <v>9402041047</v>
      </c>
      <c r="F636" t="str">
        <f>"ACCT#912897/BOL#24473/PCT#3"</f>
        <v>ACCT#912897/BOL#24473/PCT#3</v>
      </c>
      <c r="G636" s="2">
        <v>12014.92</v>
      </c>
      <c r="H636" t="str">
        <f>"ACCT#912897/BOL#24473/PCT#3"</f>
        <v>ACCT#912897/BOL#24473/PCT#3</v>
      </c>
    </row>
    <row r="637" spans="1:8" x14ac:dyDescent="0.25">
      <c r="A637" t="s">
        <v>156</v>
      </c>
      <c r="B637">
        <v>82130</v>
      </c>
      <c r="C637" s="2">
        <v>54.52</v>
      </c>
      <c r="D637" s="1">
        <v>43598</v>
      </c>
      <c r="E637" t="str">
        <f>"201904258865"</f>
        <v>201904258865</v>
      </c>
      <c r="F637" t="str">
        <f>"MILEAGE REIMBURSEMENT"</f>
        <v>MILEAGE REIMBURSEMENT</v>
      </c>
      <c r="G637" s="2">
        <v>54.52</v>
      </c>
      <c r="H637" t="str">
        <f>"MILEAGE REIMBURSEMENT"</f>
        <v>MILEAGE REIMBURSEMENT</v>
      </c>
    </row>
    <row r="638" spans="1:8" x14ac:dyDescent="0.25">
      <c r="A638" t="s">
        <v>157</v>
      </c>
      <c r="B638">
        <v>82131</v>
      </c>
      <c r="C638" s="2">
        <v>5</v>
      </c>
      <c r="D638" s="1">
        <v>43598</v>
      </c>
      <c r="E638" t="str">
        <f>"201905089227"</f>
        <v>201905089227</v>
      </c>
      <c r="F638" t="str">
        <f>"FERAL HOGS"</f>
        <v>FERAL HOGS</v>
      </c>
      <c r="G638" s="2">
        <v>5</v>
      </c>
      <c r="H638" t="str">
        <f>"FERAL HOGS"</f>
        <v>FERAL HOGS</v>
      </c>
    </row>
    <row r="639" spans="1:8" x14ac:dyDescent="0.25">
      <c r="A639" t="s">
        <v>158</v>
      </c>
      <c r="B639">
        <v>82334</v>
      </c>
      <c r="C639" s="2">
        <v>4399.78</v>
      </c>
      <c r="D639" s="1">
        <v>43613</v>
      </c>
      <c r="E639" t="str">
        <f>"201905219349"</f>
        <v>201905219349</v>
      </c>
      <c r="F639" t="str">
        <f>"EDUCATING STAFF/SB1512"</f>
        <v>EDUCATING STAFF/SB1512</v>
      </c>
      <c r="G639" s="2">
        <v>4399.78</v>
      </c>
      <c r="H639" t="str">
        <f>"EDUCATING STAFF/SB1512"</f>
        <v>EDUCATING STAFF/SB1512</v>
      </c>
    </row>
    <row r="640" spans="1:8" x14ac:dyDescent="0.25">
      <c r="A640" t="s">
        <v>159</v>
      </c>
      <c r="B640">
        <v>82132</v>
      </c>
      <c r="C640" s="2">
        <v>11584.13</v>
      </c>
      <c r="D640" s="1">
        <v>43598</v>
      </c>
      <c r="E640" t="str">
        <f>"201904308907"</f>
        <v>201904308907</v>
      </c>
      <c r="F640" t="str">
        <f>"GRANT REIMBURSEMENT"</f>
        <v>GRANT REIMBURSEMENT</v>
      </c>
      <c r="G640" s="2">
        <v>10117.129999999999</v>
      </c>
      <c r="H640" t="str">
        <f>"GRANT REIMBURSEMENT"</f>
        <v>GRANT REIMBURSEMENT</v>
      </c>
    </row>
    <row r="641" spans="1:9" x14ac:dyDescent="0.25">
      <c r="E641" t="str">
        <f>"201905089172"</f>
        <v>201905089172</v>
      </c>
      <c r="F641" t="str">
        <f>"SANE EXAM 19-S-02056"</f>
        <v>SANE EXAM 19-S-02056</v>
      </c>
      <c r="G641" s="2">
        <v>489</v>
      </c>
      <c r="H641" t="str">
        <f>"SANE EXAM 19-S-02056"</f>
        <v>SANE EXAM 19-S-02056</v>
      </c>
    </row>
    <row r="642" spans="1:9" x14ac:dyDescent="0.25">
      <c r="E642" t="str">
        <f>"201905089173"</f>
        <v>201905089173</v>
      </c>
      <c r="F642" t="str">
        <f>"SANE EXAM 19-S-02047"</f>
        <v>SANE EXAM 19-S-02047</v>
      </c>
      <c r="G642" s="2">
        <v>489</v>
      </c>
      <c r="H642" t="str">
        <f>"SANE EXAM 19-S-02047"</f>
        <v>SANE EXAM 19-S-02047</v>
      </c>
    </row>
    <row r="643" spans="1:9" x14ac:dyDescent="0.25">
      <c r="E643" t="str">
        <f>"201905089174"</f>
        <v>201905089174</v>
      </c>
      <c r="F643" t="str">
        <f>"SANE EXAM 19-J-01783"</f>
        <v>SANE EXAM 19-J-01783</v>
      </c>
      <c r="G643" s="2">
        <v>489</v>
      </c>
      <c r="H643" t="str">
        <f>"SANE EXAM 19-J-01783"</f>
        <v>SANE EXAM 19-J-01783</v>
      </c>
    </row>
    <row r="644" spans="1:9" x14ac:dyDescent="0.25">
      <c r="A644" t="s">
        <v>159</v>
      </c>
      <c r="B644">
        <v>82335</v>
      </c>
      <c r="C644" s="2">
        <v>978</v>
      </c>
      <c r="D644" s="1">
        <v>43613</v>
      </c>
      <c r="E644" t="str">
        <f>"201905229475"</f>
        <v>201905229475</v>
      </c>
      <c r="F644" t="str">
        <f>"SAN EXAM 19-S-02297"</f>
        <v>SAN EXAM 19-S-02297</v>
      </c>
      <c r="G644" s="2">
        <v>489</v>
      </c>
      <c r="H644" t="str">
        <f>"SAN EXAM 19-S-02297"</f>
        <v>SAN EXAM 19-S-02297</v>
      </c>
    </row>
    <row r="645" spans="1:9" x14ac:dyDescent="0.25">
      <c r="E645" t="str">
        <f>"201905229479"</f>
        <v>201905229479</v>
      </c>
      <c r="F645" t="str">
        <f>"SANE EXAM 19-S-02346"</f>
        <v>SANE EXAM 19-S-02346</v>
      </c>
      <c r="G645" s="2">
        <v>489</v>
      </c>
      <c r="H645" t="str">
        <f>"SANE EXAM 19-S-02346"</f>
        <v>SANE EXAM 19-S-02346</v>
      </c>
    </row>
    <row r="646" spans="1:9" x14ac:dyDescent="0.25">
      <c r="A646" t="s">
        <v>160</v>
      </c>
      <c r="B646">
        <v>82336</v>
      </c>
      <c r="C646" s="2">
        <v>161.99</v>
      </c>
      <c r="D646" s="1">
        <v>43613</v>
      </c>
      <c r="E646" t="str">
        <f>"201905219372"</f>
        <v>201905219372</v>
      </c>
      <c r="F646" t="str">
        <f>"INDIGENT HEALTH"</f>
        <v>INDIGENT HEALTH</v>
      </c>
      <c r="G646" s="2">
        <v>161.99</v>
      </c>
      <c r="H646" t="str">
        <f>"INDIGENT HEALTH"</f>
        <v>INDIGENT HEALTH</v>
      </c>
    </row>
    <row r="647" spans="1:9" x14ac:dyDescent="0.25">
      <c r="A647" t="s">
        <v>161</v>
      </c>
      <c r="B647">
        <v>82133</v>
      </c>
      <c r="C647" s="2">
        <v>115</v>
      </c>
      <c r="D647" s="1">
        <v>43598</v>
      </c>
      <c r="E647" t="str">
        <f>"1052"</f>
        <v>1052</v>
      </c>
      <c r="F647" t="str">
        <f>"NON PROFIT PARTNERSHIP"</f>
        <v>NON PROFIT PARTNERSHIP</v>
      </c>
      <c r="G647" s="2">
        <v>75</v>
      </c>
      <c r="H647" t="str">
        <f>"NON PROFIT PARTNERSHIP"</f>
        <v>NON PROFIT PARTNERSHIP</v>
      </c>
    </row>
    <row r="648" spans="1:9" x14ac:dyDescent="0.25">
      <c r="E648" t="str">
        <f>"1053"</f>
        <v>1053</v>
      </c>
      <c r="F648" t="str">
        <f>"WINTER SUMMIT REG-ADENA &amp; FRAN"</f>
        <v>WINTER SUMMIT REG-ADENA &amp; FRAN</v>
      </c>
      <c r="G648" s="2">
        <v>40</v>
      </c>
      <c r="H648" t="str">
        <f>"WINTER SUMMIT REG-ADENA &amp; FRAN"</f>
        <v>WINTER SUMMIT REG-ADENA &amp; FRAN</v>
      </c>
    </row>
    <row r="649" spans="1:9" x14ac:dyDescent="0.25">
      <c r="A649" t="s">
        <v>162</v>
      </c>
      <c r="B649">
        <v>82134</v>
      </c>
      <c r="C649" s="2">
        <v>3126.85</v>
      </c>
      <c r="D649" s="1">
        <v>43598</v>
      </c>
      <c r="E649" t="str">
        <f>"201905089246"</f>
        <v>201905089246</v>
      </c>
      <c r="F649" t="str">
        <f>"REFUND OF FUNDS RECEIVED"</f>
        <v>REFUND OF FUNDS RECEIVED</v>
      </c>
      <c r="G649" s="2">
        <v>3126.85</v>
      </c>
      <c r="H649" t="str">
        <f>"REFUND OF FUNDS RECEIVED"</f>
        <v>REFUND OF FUNDS RECEIVED</v>
      </c>
    </row>
    <row r="650" spans="1:9" x14ac:dyDescent="0.25">
      <c r="A650" t="s">
        <v>163</v>
      </c>
      <c r="B650">
        <v>82135</v>
      </c>
      <c r="C650" s="2">
        <v>31.79</v>
      </c>
      <c r="D650" s="1">
        <v>43598</v>
      </c>
      <c r="E650" t="str">
        <f>"6-525-98019"</f>
        <v>6-525-98019</v>
      </c>
      <c r="F650" t="str">
        <f>"INV 6-525-98019"</f>
        <v>INV 6-525-98019</v>
      </c>
      <c r="G650" s="2">
        <v>31.79</v>
      </c>
      <c r="H650" t="str">
        <f>"INV 6-525-98019"</f>
        <v>INV 6-525-98019</v>
      </c>
    </row>
    <row r="651" spans="1:9" x14ac:dyDescent="0.25">
      <c r="A651" t="s">
        <v>163</v>
      </c>
      <c r="B651">
        <v>82337</v>
      </c>
      <c r="C651" s="2">
        <v>73.040000000000006</v>
      </c>
      <c r="D651" s="1">
        <v>43613</v>
      </c>
      <c r="E651" t="str">
        <f>"201905229480"</f>
        <v>201905229480</v>
      </c>
      <c r="F651" t="str">
        <f>"INV 6-554-51711"</f>
        <v>INV 6-554-51711</v>
      </c>
      <c r="G651" s="2">
        <v>24.59</v>
      </c>
      <c r="H651" t="str">
        <f>"INV 6-554-51711"</f>
        <v>INV 6-554-51711</v>
      </c>
    </row>
    <row r="652" spans="1:9" x14ac:dyDescent="0.25">
      <c r="E652" t="str">
        <f>"6-546-86378"</f>
        <v>6-546-86378</v>
      </c>
      <c r="F652" t="str">
        <f>"ACCT#4702-9210-5"</f>
        <v>ACCT#4702-9210-5</v>
      </c>
      <c r="G652" s="2">
        <v>48.45</v>
      </c>
      <c r="H652" t="str">
        <f>"ACCT#4702-9210-5"</f>
        <v>ACCT#4702-9210-5</v>
      </c>
    </row>
    <row r="653" spans="1:9" x14ac:dyDescent="0.25">
      <c r="A653" t="s">
        <v>164</v>
      </c>
      <c r="B653">
        <v>82136</v>
      </c>
      <c r="C653" s="2">
        <v>70</v>
      </c>
      <c r="D653" s="1">
        <v>43598</v>
      </c>
      <c r="E653" t="str">
        <f>"201905028945"</f>
        <v>201905028945</v>
      </c>
      <c r="F653" t="str">
        <f>"BOX#12110"</f>
        <v>BOX#12110</v>
      </c>
      <c r="G653" s="2">
        <v>70</v>
      </c>
      <c r="H653" t="str">
        <f>"BOX#12110"</f>
        <v>BOX#12110</v>
      </c>
    </row>
    <row r="654" spans="1:9" x14ac:dyDescent="0.25">
      <c r="A654" t="s">
        <v>165</v>
      </c>
      <c r="B654">
        <v>82137</v>
      </c>
      <c r="C654" s="2">
        <v>5.64</v>
      </c>
      <c r="D654" s="1">
        <v>43598</v>
      </c>
      <c r="E654" t="s">
        <v>75</v>
      </c>
      <c r="F654" t="s">
        <v>166</v>
      </c>
      <c r="G654" s="2" t="str">
        <f>"RESTITUTION-K. PURCELL"</f>
        <v>RESTITUTION-K. PURCELL</v>
      </c>
      <c r="H654" t="str">
        <f>"210-0000"</f>
        <v>210-0000</v>
      </c>
      <c r="I654" t="str">
        <f>""</f>
        <v/>
      </c>
    </row>
    <row r="655" spans="1:9" x14ac:dyDescent="0.25">
      <c r="A655" t="s">
        <v>167</v>
      </c>
      <c r="B655">
        <v>82138</v>
      </c>
      <c r="C655" s="2">
        <v>774.71</v>
      </c>
      <c r="D655" s="1">
        <v>43598</v>
      </c>
      <c r="E655" t="str">
        <f>"25076826"</f>
        <v>25076826</v>
      </c>
      <c r="F655" t="str">
        <f>"ACCT#80975-001/PCT#3"</f>
        <v>ACCT#80975-001/PCT#3</v>
      </c>
      <c r="G655" s="2">
        <v>114.76</v>
      </c>
      <c r="H655" t="str">
        <f>"ACCT#80975-001/PCT#3"</f>
        <v>ACCT#80975-001/PCT#3</v>
      </c>
    </row>
    <row r="656" spans="1:9" x14ac:dyDescent="0.25">
      <c r="E656" t="str">
        <f>"25636113"</f>
        <v>25636113</v>
      </c>
      <c r="F656" t="str">
        <f>"ACCT#80975-002/PCT#4"</f>
        <v>ACCT#80975-002/PCT#4</v>
      </c>
      <c r="G656" s="2">
        <v>485.31</v>
      </c>
      <c r="H656" t="str">
        <f>"ACCT#80975-002/PCT#4"</f>
        <v>ACCT#80975-002/PCT#4</v>
      </c>
    </row>
    <row r="657" spans="1:9" x14ac:dyDescent="0.25">
      <c r="E657" t="str">
        <f>"26300136"</f>
        <v>26300136</v>
      </c>
      <c r="F657" t="str">
        <f>"ACCT#80975-001/PCT#2"</f>
        <v>ACCT#80975-001/PCT#2</v>
      </c>
      <c r="G657" s="2">
        <v>174.64</v>
      </c>
      <c r="H657" t="str">
        <f>"ACCT#80975-001/PCT#2"</f>
        <v>ACCT#80975-001/PCT#2</v>
      </c>
    </row>
    <row r="658" spans="1:9" x14ac:dyDescent="0.25">
      <c r="A658" t="s">
        <v>168</v>
      </c>
      <c r="B658">
        <v>741</v>
      </c>
      <c r="C658" s="2">
        <v>105</v>
      </c>
      <c r="D658" s="1">
        <v>43599</v>
      </c>
      <c r="E658" t="str">
        <f>"201904298881"</f>
        <v>201904298881</v>
      </c>
      <c r="F658" t="str">
        <f>"REFUND BAIL BOND COUPONS"</f>
        <v>REFUND BAIL BOND COUPONS</v>
      </c>
      <c r="G658" s="2">
        <v>105</v>
      </c>
      <c r="H658" t="str">
        <f>"REFUND BAIL BOND COUPONS"</f>
        <v>REFUND BAIL BOND COUPONS</v>
      </c>
    </row>
    <row r="659" spans="1:9" x14ac:dyDescent="0.25">
      <c r="A659" t="s">
        <v>168</v>
      </c>
      <c r="B659">
        <v>816</v>
      </c>
      <c r="C659" s="2">
        <v>15</v>
      </c>
      <c r="D659" s="1">
        <v>43614</v>
      </c>
      <c r="E659" t="str">
        <f>"201905169302"</f>
        <v>201905169302</v>
      </c>
      <c r="F659" t="str">
        <f>"REFUND BAIL BOND COUPON"</f>
        <v>REFUND BAIL BOND COUPON</v>
      </c>
      <c r="G659" s="2">
        <v>15</v>
      </c>
      <c r="H659" t="str">
        <f>"REFUND BAIL BOND COUPON"</f>
        <v>REFUND BAIL BOND COUPON</v>
      </c>
    </row>
    <row r="660" spans="1:9" x14ac:dyDescent="0.25">
      <c r="A660" t="s">
        <v>169</v>
      </c>
      <c r="B660">
        <v>82139</v>
      </c>
      <c r="C660" s="2">
        <v>65</v>
      </c>
      <c r="D660" s="1">
        <v>43598</v>
      </c>
      <c r="E660" t="s">
        <v>170</v>
      </c>
      <c r="F660" t="s">
        <v>171</v>
      </c>
      <c r="G660" s="2" t="str">
        <f>"RESTITUTION-DONALD CORKILL"</f>
        <v>RESTITUTION-DONALD CORKILL</v>
      </c>
      <c r="H660" t="str">
        <f>"210-0000"</f>
        <v>210-0000</v>
      </c>
      <c r="I660" t="str">
        <f>""</f>
        <v/>
      </c>
    </row>
    <row r="661" spans="1:9" x14ac:dyDescent="0.25">
      <c r="A661" t="s">
        <v>172</v>
      </c>
      <c r="B661">
        <v>781</v>
      </c>
      <c r="C661" s="2">
        <v>2400</v>
      </c>
      <c r="D661" s="1">
        <v>43599</v>
      </c>
      <c r="E661" t="str">
        <f>"201904248753"</f>
        <v>201904248753</v>
      </c>
      <c r="F661" t="str">
        <f>"16 598"</f>
        <v>16 598</v>
      </c>
      <c r="G661" s="2">
        <v>400</v>
      </c>
      <c r="H661" t="str">
        <f>"16 598"</f>
        <v>16 598</v>
      </c>
    </row>
    <row r="662" spans="1:9" x14ac:dyDescent="0.25">
      <c r="E662" t="str">
        <f>"201904248754"</f>
        <v>201904248754</v>
      </c>
      <c r="F662" t="str">
        <f>"16 500"</f>
        <v>16 500</v>
      </c>
      <c r="G662" s="2">
        <v>400</v>
      </c>
      <c r="H662" t="str">
        <f>"16 500"</f>
        <v>16 500</v>
      </c>
    </row>
    <row r="663" spans="1:9" x14ac:dyDescent="0.25">
      <c r="E663" t="str">
        <f>"201904248828"</f>
        <v>201904248828</v>
      </c>
      <c r="F663" t="str">
        <f>"53 377"</f>
        <v>53 377</v>
      </c>
      <c r="G663" s="2">
        <v>250</v>
      </c>
      <c r="H663" t="str">
        <f>"53 377"</f>
        <v>53 377</v>
      </c>
    </row>
    <row r="664" spans="1:9" x14ac:dyDescent="0.25">
      <c r="E664" t="str">
        <f>"201904248829"</f>
        <v>201904248829</v>
      </c>
      <c r="F664" t="str">
        <f>"52 589"</f>
        <v>52 589</v>
      </c>
      <c r="G664" s="2">
        <v>250</v>
      </c>
      <c r="H664" t="str">
        <f>"52 589"</f>
        <v>52 589</v>
      </c>
    </row>
    <row r="665" spans="1:9" x14ac:dyDescent="0.25">
      <c r="E665" t="str">
        <f>"201904248856"</f>
        <v>201904248856</v>
      </c>
      <c r="F665" t="str">
        <f>"310122018A"</f>
        <v>310122018A</v>
      </c>
      <c r="G665" s="2">
        <v>250</v>
      </c>
      <c r="H665" t="str">
        <f>"310122018A"</f>
        <v>310122018A</v>
      </c>
    </row>
    <row r="666" spans="1:9" x14ac:dyDescent="0.25">
      <c r="E666" t="str">
        <f>"201905079085"</f>
        <v>201905079085</v>
      </c>
      <c r="F666" t="str">
        <f>"56 568"</f>
        <v>56 568</v>
      </c>
      <c r="G666" s="2">
        <v>250</v>
      </c>
      <c r="H666" t="str">
        <f>"56 568"</f>
        <v>56 568</v>
      </c>
    </row>
    <row r="667" spans="1:9" x14ac:dyDescent="0.25">
      <c r="E667" t="str">
        <f>"201905079092"</f>
        <v>201905079092</v>
      </c>
      <c r="F667" t="str">
        <f>"DCPC-18-167"</f>
        <v>DCPC-18-167</v>
      </c>
      <c r="G667" s="2">
        <v>250</v>
      </c>
      <c r="H667" t="str">
        <f>"DCPC-18-167"</f>
        <v>DCPC-18-167</v>
      </c>
    </row>
    <row r="668" spans="1:9" x14ac:dyDescent="0.25">
      <c r="E668" t="str">
        <f>"201905079144"</f>
        <v>201905079144</v>
      </c>
      <c r="F668" t="str">
        <f>"N/A"</f>
        <v>N/A</v>
      </c>
      <c r="G668" s="2">
        <v>100</v>
      </c>
      <c r="H668" t="str">
        <f>"N/A"</f>
        <v>N/A</v>
      </c>
    </row>
    <row r="669" spans="1:9" x14ac:dyDescent="0.25">
      <c r="E669" t="str">
        <f>"201905079151"</f>
        <v>201905079151</v>
      </c>
      <c r="F669" t="str">
        <f>"J-3182"</f>
        <v>J-3182</v>
      </c>
      <c r="G669" s="2">
        <v>250</v>
      </c>
      <c r="H669" t="str">
        <f>"J-3182"</f>
        <v>J-3182</v>
      </c>
    </row>
    <row r="670" spans="1:9" x14ac:dyDescent="0.25">
      <c r="A670" t="s">
        <v>172</v>
      </c>
      <c r="B670">
        <v>848</v>
      </c>
      <c r="C670" s="2">
        <v>1250</v>
      </c>
      <c r="D670" s="1">
        <v>43614</v>
      </c>
      <c r="E670" t="str">
        <f>"201905219389"</f>
        <v>201905219389</v>
      </c>
      <c r="F670" t="str">
        <f>"56 691"</f>
        <v>56 691</v>
      </c>
      <c r="G670" s="2">
        <v>250</v>
      </c>
      <c r="H670" t="str">
        <f>"56 691"</f>
        <v>56 691</v>
      </c>
    </row>
    <row r="671" spans="1:9" x14ac:dyDescent="0.25">
      <c r="E671" t="str">
        <f>"201905219393"</f>
        <v>201905219393</v>
      </c>
      <c r="F671" t="str">
        <f>"56 050"</f>
        <v>56 050</v>
      </c>
      <c r="G671" s="2">
        <v>250</v>
      </c>
      <c r="H671" t="str">
        <f>"56 050"</f>
        <v>56 050</v>
      </c>
    </row>
    <row r="672" spans="1:9" x14ac:dyDescent="0.25">
      <c r="E672" t="str">
        <f>"201905219398"</f>
        <v>201905219398</v>
      </c>
      <c r="F672" t="str">
        <f>"302282019D"</f>
        <v>302282019D</v>
      </c>
      <c r="G672" s="2">
        <v>250</v>
      </c>
      <c r="H672" t="str">
        <f>"302282019D"</f>
        <v>302282019D</v>
      </c>
    </row>
    <row r="673" spans="1:8" x14ac:dyDescent="0.25">
      <c r="E673" t="str">
        <f>"201905219399"</f>
        <v>201905219399</v>
      </c>
      <c r="F673" t="str">
        <f>"410248-2"</f>
        <v>410248-2</v>
      </c>
      <c r="G673" s="2">
        <v>250</v>
      </c>
      <c r="H673" t="str">
        <f>"410248-2"</f>
        <v>410248-2</v>
      </c>
    </row>
    <row r="674" spans="1:8" x14ac:dyDescent="0.25">
      <c r="E674" t="str">
        <f>"201905219400"</f>
        <v>201905219400</v>
      </c>
      <c r="F674" t="str">
        <f>"17S06285"</f>
        <v>17S06285</v>
      </c>
      <c r="G674" s="2">
        <v>250</v>
      </c>
      <c r="H674" t="str">
        <f>"17S06285"</f>
        <v>17S06285</v>
      </c>
    </row>
    <row r="675" spans="1:8" x14ac:dyDescent="0.25">
      <c r="A675" t="s">
        <v>173</v>
      </c>
      <c r="B675">
        <v>840</v>
      </c>
      <c r="C675" s="2">
        <v>400.78</v>
      </c>
      <c r="D675" s="1">
        <v>43614</v>
      </c>
      <c r="E675" t="str">
        <f>"201905209347"</f>
        <v>201905209347</v>
      </c>
      <c r="F675" t="str">
        <f>"MILEAGE REIMBURSEMENT"</f>
        <v>MILEAGE REIMBURSEMENT</v>
      </c>
      <c r="G675" s="2">
        <v>400.78</v>
      </c>
      <c r="H675" t="str">
        <f>"MILEAGE REIMBURSEMENT"</f>
        <v>MILEAGE REIMBURSEMENT</v>
      </c>
    </row>
    <row r="676" spans="1:8" x14ac:dyDescent="0.25">
      <c r="A676" t="s">
        <v>174</v>
      </c>
      <c r="B676">
        <v>775</v>
      </c>
      <c r="C676" s="2">
        <v>437.41</v>
      </c>
      <c r="D676" s="1">
        <v>43599</v>
      </c>
      <c r="E676" t="str">
        <f>"AP397799"</f>
        <v>AP397799</v>
      </c>
      <c r="F676" t="str">
        <f>"ACCT#3326/ASSY-COVER/PCT#4"</f>
        <v>ACCT#3326/ASSY-COVER/PCT#4</v>
      </c>
      <c r="G676" s="2">
        <v>255.4</v>
      </c>
      <c r="H676" t="str">
        <f>"ACCT#3326/ASSY-COVER/PCT#4"</f>
        <v>ACCT#3326/ASSY-COVER/PCT#4</v>
      </c>
    </row>
    <row r="677" spans="1:8" x14ac:dyDescent="0.25">
      <c r="E677" t="str">
        <f>"AP397909"</f>
        <v>AP397909</v>
      </c>
      <c r="F677" t="str">
        <f>"ACCT#3324/SWITCH/PCT#3"</f>
        <v>ACCT#3324/SWITCH/PCT#3</v>
      </c>
      <c r="G677" s="2">
        <v>27.66</v>
      </c>
      <c r="H677" t="str">
        <f>"ACCT#3324/SWITCH/PCT#3"</f>
        <v>ACCT#3324/SWITCH/PCT#3</v>
      </c>
    </row>
    <row r="678" spans="1:8" x14ac:dyDescent="0.25">
      <c r="E678" t="str">
        <f>"AP398565"</f>
        <v>AP398565</v>
      </c>
      <c r="F678" t="str">
        <f>"ACCT#3325/PCT#2"</f>
        <v>ACCT#3325/PCT#2</v>
      </c>
      <c r="G678" s="2">
        <v>95.79</v>
      </c>
      <c r="H678" t="str">
        <f>"ACCT#3325/PCT#2"</f>
        <v>ACCT#3325/PCT#2</v>
      </c>
    </row>
    <row r="679" spans="1:8" x14ac:dyDescent="0.25">
      <c r="E679" t="str">
        <f>"AP398847"</f>
        <v>AP398847</v>
      </c>
      <c r="F679" t="str">
        <f>"ACCT#3324/PCT#3"</f>
        <v>ACCT#3324/PCT#3</v>
      </c>
      <c r="G679" s="2">
        <v>58.56</v>
      </c>
      <c r="H679" t="str">
        <f>"ACCT#3324/PCT#3"</f>
        <v>ACCT#3324/PCT#3</v>
      </c>
    </row>
    <row r="680" spans="1:8" x14ac:dyDescent="0.25">
      <c r="A680" t="s">
        <v>174</v>
      </c>
      <c r="B680">
        <v>845</v>
      </c>
      <c r="C680" s="2">
        <v>227.82</v>
      </c>
      <c r="D680" s="1">
        <v>43614</v>
      </c>
      <c r="E680" t="str">
        <f>"AP399784"</f>
        <v>AP399784</v>
      </c>
      <c r="F680" t="str">
        <f>"ACCT#3326/HARNESS-HOOD/PCT#4"</f>
        <v>ACCT#3326/HARNESS-HOOD/PCT#4</v>
      </c>
      <c r="G680" s="2">
        <v>71.459999999999994</v>
      </c>
      <c r="H680" t="str">
        <f>"ACCT#3326/HARNESS-HOOD/PCT#4"</f>
        <v>ACCT#3326/HARNESS-HOOD/PCT#4</v>
      </c>
    </row>
    <row r="681" spans="1:8" x14ac:dyDescent="0.25">
      <c r="E681" t="str">
        <f>"AP399977"</f>
        <v>AP399977</v>
      </c>
      <c r="F681" t="str">
        <f>"ACCT#3326/LATCH ASSY/PCT#4"</f>
        <v>ACCT#3326/LATCH ASSY/PCT#4</v>
      </c>
      <c r="G681" s="2">
        <v>140.16</v>
      </c>
      <c r="H681" t="str">
        <f>"ACCT#3326/LATCH ASSY/PCT#4"</f>
        <v>ACCT#3326/LATCH ASSY/PCT#4</v>
      </c>
    </row>
    <row r="682" spans="1:8" x14ac:dyDescent="0.25">
      <c r="E682" t="str">
        <f>"AP399990"</f>
        <v>AP399990</v>
      </c>
      <c r="F682" t="str">
        <f>"CUST#3326/HOOD LATCH/PCT#4"</f>
        <v>CUST#3326/HOOD LATCH/PCT#4</v>
      </c>
      <c r="G682" s="2">
        <v>16.2</v>
      </c>
      <c r="H682" t="str">
        <f>"CUST#3326/HOOD LATCH/PCT#4"</f>
        <v>CUST#3326/HOOD LATCH/PCT#4</v>
      </c>
    </row>
    <row r="683" spans="1:8" x14ac:dyDescent="0.25">
      <c r="A683" t="s">
        <v>175</v>
      </c>
      <c r="B683">
        <v>821</v>
      </c>
      <c r="C683" s="2">
        <v>3450</v>
      </c>
      <c r="D683" s="1">
        <v>43614</v>
      </c>
      <c r="E683" t="str">
        <f>"2017"</f>
        <v>2017</v>
      </c>
      <c r="F683" t="str">
        <f>"MECHANICAL WORK / PCT#1"</f>
        <v>MECHANICAL WORK / PCT#1</v>
      </c>
      <c r="G683" s="2">
        <v>3450</v>
      </c>
      <c r="H683" t="str">
        <f>"MECHANICAL WORK / PCT#1"</f>
        <v>MECHANICAL WORK / PCT#1</v>
      </c>
    </row>
    <row r="684" spans="1:8" x14ac:dyDescent="0.25">
      <c r="A684" t="s">
        <v>176</v>
      </c>
      <c r="B684">
        <v>782</v>
      </c>
      <c r="C684" s="2">
        <v>1051.05</v>
      </c>
      <c r="D684" s="1">
        <v>43599</v>
      </c>
      <c r="E684" t="str">
        <f>"108453"</f>
        <v>108453</v>
      </c>
      <c r="F684" t="str">
        <f>"INV 108453"</f>
        <v>INV 108453</v>
      </c>
      <c r="G684" s="2">
        <v>88.51</v>
      </c>
      <c r="H684" t="str">
        <f>"INV 108453"</f>
        <v>INV 108453</v>
      </c>
    </row>
    <row r="685" spans="1:8" x14ac:dyDescent="0.25">
      <c r="E685" t="str">
        <f>"108476"</f>
        <v>108476</v>
      </c>
      <c r="F685" t="str">
        <f>"INV GC 108476"</f>
        <v>INV GC 108476</v>
      </c>
      <c r="G685" s="2">
        <v>40.96</v>
      </c>
      <c r="H685" t="str">
        <f>"INV GC 108476"</f>
        <v>INV GC 108476</v>
      </c>
    </row>
    <row r="686" spans="1:8" x14ac:dyDescent="0.25">
      <c r="E686" t="str">
        <f>"108477"</f>
        <v>108477</v>
      </c>
      <c r="F686" t="str">
        <f>"INV GC 108477"</f>
        <v>INV GC 108477</v>
      </c>
      <c r="G686" s="2">
        <v>40.96</v>
      </c>
      <c r="H686" t="str">
        <f>"INV GC 108477"</f>
        <v>INV GC 108477</v>
      </c>
    </row>
    <row r="687" spans="1:8" x14ac:dyDescent="0.25">
      <c r="E687" t="str">
        <f>"108528"</f>
        <v>108528</v>
      </c>
      <c r="F687" t="str">
        <f>"NOTICE OF VIOLATION/DEV SVCS"</f>
        <v>NOTICE OF VIOLATION/DEV SVCS</v>
      </c>
      <c r="G687" s="2">
        <v>227.52</v>
      </c>
      <c r="H687" t="str">
        <f>"NOTICE OF VIOLATION/DEV SVCS"</f>
        <v>NOTICE OF VIOLATION/DEV SVCS</v>
      </c>
    </row>
    <row r="688" spans="1:8" x14ac:dyDescent="0.25">
      <c r="E688" t="str">
        <f>"GC 108403"</f>
        <v>GC 108403</v>
      </c>
      <c r="F688" t="str">
        <f>"INV GC 108403"</f>
        <v>INV GC 108403</v>
      </c>
      <c r="G688" s="2">
        <v>530.22</v>
      </c>
      <c r="H688" t="str">
        <f>"INV GC 108403"</f>
        <v>INV GC 108403</v>
      </c>
    </row>
    <row r="689" spans="1:8" x14ac:dyDescent="0.25">
      <c r="E689" t="str">
        <f>"GC 108478"</f>
        <v>GC 108478</v>
      </c>
      <c r="F689" t="str">
        <f>"INV GC 108478"</f>
        <v>INV GC 108478</v>
      </c>
      <c r="G689" s="2">
        <v>40.96</v>
      </c>
      <c r="H689" t="str">
        <f>"INV GC 108478"</f>
        <v>INV GC 108478</v>
      </c>
    </row>
    <row r="690" spans="1:8" x14ac:dyDescent="0.25">
      <c r="E690" t="str">
        <f>"GC 108479"</f>
        <v>GC 108479</v>
      </c>
      <c r="F690" t="str">
        <f>"INV GC 108479"</f>
        <v>INV GC 108479</v>
      </c>
      <c r="G690" s="2">
        <v>81.92</v>
      </c>
      <c r="H690" t="str">
        <f>"INV GC 108479"</f>
        <v>INV GC 108479</v>
      </c>
    </row>
    <row r="691" spans="1:8" x14ac:dyDescent="0.25">
      <c r="A691" t="s">
        <v>176</v>
      </c>
      <c r="B691">
        <v>849</v>
      </c>
      <c r="C691" s="2">
        <v>317.64999999999998</v>
      </c>
      <c r="D691" s="1">
        <v>43614</v>
      </c>
      <c r="E691" t="str">
        <f>"108615"</f>
        <v>108615</v>
      </c>
      <c r="F691" t="str">
        <f>"INV GC 108615"</f>
        <v>INV GC 108615</v>
      </c>
      <c r="G691" s="2">
        <v>131.08000000000001</v>
      </c>
      <c r="H691" t="str">
        <f>"INV GC 108615"</f>
        <v>INV GC 108615</v>
      </c>
    </row>
    <row r="692" spans="1:8" x14ac:dyDescent="0.25">
      <c r="E692" t="str">
        <f>"108640"</f>
        <v>108640</v>
      </c>
      <c r="F692" t="str">
        <f>"INV GC 108640"</f>
        <v>INV GC 108640</v>
      </c>
      <c r="G692" s="2">
        <v>186.57</v>
      </c>
      <c r="H692" t="str">
        <f>"INV GC 108640"</f>
        <v>INV GC 108640</v>
      </c>
    </row>
    <row r="693" spans="1:8" x14ac:dyDescent="0.25">
      <c r="A693" t="s">
        <v>177</v>
      </c>
      <c r="B693">
        <v>82140</v>
      </c>
      <c r="C693" s="2">
        <v>1681.42</v>
      </c>
      <c r="D693" s="1">
        <v>43598</v>
      </c>
      <c r="E693" t="str">
        <f>"011781907 01188453"</f>
        <v>011781907 01188453</v>
      </c>
      <c r="F693" t="str">
        <f>"INV 011781907/011884536/."</f>
        <v>INV 011781907/011884536/.</v>
      </c>
      <c r="G693" s="2">
        <v>619.95000000000005</v>
      </c>
      <c r="H693" t="str">
        <f>"INV 011781907"</f>
        <v>INV 011781907</v>
      </c>
    </row>
    <row r="694" spans="1:8" x14ac:dyDescent="0.25">
      <c r="E694" t="str">
        <f>""</f>
        <v/>
      </c>
      <c r="F694" t="str">
        <f>""</f>
        <v/>
      </c>
      <c r="H694" t="str">
        <f>"INV 011884536"</f>
        <v>INV 011884536</v>
      </c>
    </row>
    <row r="695" spans="1:8" x14ac:dyDescent="0.25">
      <c r="E695" t="str">
        <f>""</f>
        <v/>
      </c>
      <c r="F695" t="str">
        <f>""</f>
        <v/>
      </c>
      <c r="H695" t="str">
        <f>"INV 012038830"</f>
        <v>INV 012038830</v>
      </c>
    </row>
    <row r="696" spans="1:8" x14ac:dyDescent="0.25">
      <c r="E696" t="str">
        <f>""</f>
        <v/>
      </c>
      <c r="F696" t="str">
        <f>""</f>
        <v/>
      </c>
      <c r="H696" t="str">
        <f>"INV 012038844"</f>
        <v>INV 012038844</v>
      </c>
    </row>
    <row r="697" spans="1:8" x14ac:dyDescent="0.25">
      <c r="E697" t="str">
        <f>""</f>
        <v/>
      </c>
      <c r="F697" t="str">
        <f>""</f>
        <v/>
      </c>
      <c r="H697" t="str">
        <f>"INV 012380693"</f>
        <v>INV 012380693</v>
      </c>
    </row>
    <row r="698" spans="1:8" x14ac:dyDescent="0.25">
      <c r="E698" t="str">
        <f>""</f>
        <v/>
      </c>
      <c r="F698" t="str">
        <f>""</f>
        <v/>
      </c>
      <c r="H698" t="str">
        <f>"INV 012038822"</f>
        <v>INV 012038822</v>
      </c>
    </row>
    <row r="699" spans="1:8" x14ac:dyDescent="0.25">
      <c r="E699" t="str">
        <f>"011996666 01207488"</f>
        <v>011996666 01207488</v>
      </c>
      <c r="F699" t="str">
        <f>"INV 011996666/012074883/."</f>
        <v>INV 011996666/012074883/.</v>
      </c>
      <c r="G699" s="2">
        <v>487</v>
      </c>
      <c r="H699" t="str">
        <f>"INV 011996666"</f>
        <v>INV 011996666</v>
      </c>
    </row>
    <row r="700" spans="1:8" x14ac:dyDescent="0.25">
      <c r="E700" t="str">
        <f>""</f>
        <v/>
      </c>
      <c r="F700" t="str">
        <f>""</f>
        <v/>
      </c>
      <c r="H700" t="str">
        <f>"INV 012074883"</f>
        <v>INV 012074883</v>
      </c>
    </row>
    <row r="701" spans="1:8" x14ac:dyDescent="0.25">
      <c r="E701" t="str">
        <f>""</f>
        <v/>
      </c>
      <c r="F701" t="str">
        <f>""</f>
        <v/>
      </c>
      <c r="H701" t="str">
        <f>"INV 012380687"</f>
        <v>INV 012380687</v>
      </c>
    </row>
    <row r="702" spans="1:8" x14ac:dyDescent="0.25">
      <c r="E702" t="str">
        <f>"012359278"</f>
        <v>012359278</v>
      </c>
      <c r="F702" t="str">
        <f>"INV 012359278  ECT..."</f>
        <v>INV 012359278  ECT...</v>
      </c>
      <c r="G702" s="2">
        <v>89.5</v>
      </c>
      <c r="H702" t="str">
        <f>"INV 012359278"</f>
        <v>INV 012359278</v>
      </c>
    </row>
    <row r="703" spans="1:8" x14ac:dyDescent="0.25">
      <c r="E703" t="str">
        <f>""</f>
        <v/>
      </c>
      <c r="F703" t="str">
        <f>""</f>
        <v/>
      </c>
      <c r="H703" t="str">
        <f>"ORDER 12993718 CREDI"</f>
        <v>ORDER 12993718 CREDI</v>
      </c>
    </row>
    <row r="704" spans="1:8" x14ac:dyDescent="0.25">
      <c r="E704" t="str">
        <f>"012370170 01257369"</f>
        <v>012370170 01257369</v>
      </c>
      <c r="F704" t="str">
        <f>"INV 012370170/012573699"</f>
        <v>INV 012370170/012573699</v>
      </c>
      <c r="G704" s="2">
        <v>307</v>
      </c>
      <c r="H704" t="str">
        <f>"INV 012370170"</f>
        <v>INV 012370170</v>
      </c>
    </row>
    <row r="705" spans="1:8" x14ac:dyDescent="0.25">
      <c r="E705" t="str">
        <f>""</f>
        <v/>
      </c>
      <c r="F705" t="str">
        <f>""</f>
        <v/>
      </c>
      <c r="H705" t="str">
        <f>"INV 012573699"</f>
        <v>INV 012573699</v>
      </c>
    </row>
    <row r="706" spans="1:8" x14ac:dyDescent="0.25">
      <c r="E706" t="str">
        <f>"012381353 01240215"</f>
        <v>012381353 01240215</v>
      </c>
      <c r="F706" t="str">
        <f>"INV 012381353"</f>
        <v>INV 012381353</v>
      </c>
      <c r="G706" s="2">
        <v>163</v>
      </c>
      <c r="H706" t="str">
        <f>"INV 012381353"</f>
        <v>INV 012381353</v>
      </c>
    </row>
    <row r="707" spans="1:8" x14ac:dyDescent="0.25">
      <c r="E707" t="str">
        <f>""</f>
        <v/>
      </c>
      <c r="F707" t="str">
        <f>""</f>
        <v/>
      </c>
      <c r="H707" t="str">
        <f>"INV 012402156"</f>
        <v>INV 012402156</v>
      </c>
    </row>
    <row r="708" spans="1:8" x14ac:dyDescent="0.25">
      <c r="E708" t="str">
        <f>"012451577"</f>
        <v>012451577</v>
      </c>
      <c r="F708" t="str">
        <f>"INV 012451577"</f>
        <v>INV 012451577</v>
      </c>
      <c r="G708" s="2">
        <v>14.97</v>
      </c>
      <c r="H708" t="str">
        <f>"INV 012451577"</f>
        <v>INV 012451577</v>
      </c>
    </row>
    <row r="709" spans="1:8" x14ac:dyDescent="0.25">
      <c r="A709" t="s">
        <v>178</v>
      </c>
      <c r="B709">
        <v>835</v>
      </c>
      <c r="C709" s="2">
        <v>1007</v>
      </c>
      <c r="D709" s="1">
        <v>43614</v>
      </c>
      <c r="E709" t="str">
        <f>"201905179330"</f>
        <v>201905179330</v>
      </c>
      <c r="F709" t="str">
        <f>"Retainage for Juvenile Pr"</f>
        <v>Retainage for Juvenile Pr</v>
      </c>
      <c r="G709" s="2">
        <v>1007</v>
      </c>
      <c r="H709" t="str">
        <f>"Retainage for Juvenile Pr"</f>
        <v>Retainage for Juvenile Pr</v>
      </c>
    </row>
    <row r="710" spans="1:8" x14ac:dyDescent="0.25">
      <c r="A710" t="s">
        <v>179</v>
      </c>
      <c r="B710">
        <v>82141</v>
      </c>
      <c r="C710" s="2">
        <v>671.99</v>
      </c>
      <c r="D710" s="1">
        <v>43598</v>
      </c>
      <c r="E710" t="str">
        <f>"625-111980"</f>
        <v>625-111980</v>
      </c>
      <c r="F710" t="str">
        <f>"CUST#535538/ORD#115762/PCT#2"</f>
        <v>CUST#535538/ORD#115762/PCT#2</v>
      </c>
      <c r="G710" s="2">
        <v>671.99</v>
      </c>
      <c r="H710" t="str">
        <f>"CUST#535538/ORD#115762/PCT#2"</f>
        <v>CUST#535538/ORD#115762/PCT#2</v>
      </c>
    </row>
    <row r="711" spans="1:8" x14ac:dyDescent="0.25">
      <c r="A711" t="s">
        <v>180</v>
      </c>
      <c r="B711">
        <v>82142</v>
      </c>
      <c r="C711" s="2">
        <v>115</v>
      </c>
      <c r="D711" s="1">
        <v>43598</v>
      </c>
      <c r="E711" t="str">
        <f>"201905089228"</f>
        <v>201905089228</v>
      </c>
      <c r="F711" t="str">
        <f>"FERAL HOGS"</f>
        <v>FERAL HOGS</v>
      </c>
      <c r="G711" s="2">
        <v>115</v>
      </c>
      <c r="H711" t="str">
        <f>"FERAL HOGS"</f>
        <v>FERAL HOGS</v>
      </c>
    </row>
    <row r="712" spans="1:8" x14ac:dyDescent="0.25">
      <c r="A712" t="s">
        <v>181</v>
      </c>
      <c r="B712">
        <v>82143</v>
      </c>
      <c r="C712" s="2">
        <v>32.86</v>
      </c>
      <c r="D712" s="1">
        <v>43598</v>
      </c>
      <c r="E712" t="str">
        <f>"9154242771"</f>
        <v>9154242771</v>
      </c>
      <c r="F712" t="str">
        <f>"INV 9154242771"</f>
        <v>INV 9154242771</v>
      </c>
      <c r="G712" s="2">
        <v>32.86</v>
      </c>
      <c r="H712" t="str">
        <f>"INV 9154242771"</f>
        <v>INV 9154242771</v>
      </c>
    </row>
    <row r="713" spans="1:8" x14ac:dyDescent="0.25">
      <c r="A713" t="s">
        <v>182</v>
      </c>
      <c r="B713">
        <v>783</v>
      </c>
      <c r="C713" s="2">
        <v>1043.68</v>
      </c>
      <c r="D713" s="1">
        <v>43599</v>
      </c>
      <c r="E713" t="str">
        <f>"0706082"</f>
        <v>0706082</v>
      </c>
      <c r="F713" t="str">
        <f>"INV 0706082"</f>
        <v>INV 0706082</v>
      </c>
      <c r="G713" s="2">
        <v>30.98</v>
      </c>
      <c r="H713" t="str">
        <f>"INV 0706082"</f>
        <v>INV 0706082</v>
      </c>
    </row>
    <row r="714" spans="1:8" x14ac:dyDescent="0.25">
      <c r="E714" t="str">
        <f>"07084433"</f>
        <v>07084433</v>
      </c>
      <c r="F714" t="str">
        <f>"INV INV 07084433"</f>
        <v>INV INV 07084433</v>
      </c>
      <c r="G714" s="2">
        <v>898.7</v>
      </c>
      <c r="H714" t="str">
        <f>"INV INV 07084433"</f>
        <v>INV INV 07084433</v>
      </c>
    </row>
    <row r="715" spans="1:8" x14ac:dyDescent="0.25">
      <c r="E715" t="str">
        <f>""</f>
        <v/>
      </c>
      <c r="F715" t="str">
        <f>""</f>
        <v/>
      </c>
      <c r="H715" t="str">
        <f>"SHIPPING"</f>
        <v>SHIPPING</v>
      </c>
    </row>
    <row r="716" spans="1:8" x14ac:dyDescent="0.25">
      <c r="E716" t="str">
        <f>"INV0706192"</f>
        <v>INV0706192</v>
      </c>
      <c r="F716" t="str">
        <f>"INV0706192"</f>
        <v>INV0706192</v>
      </c>
      <c r="G716" s="2">
        <v>114</v>
      </c>
      <c r="H716" t="str">
        <f>"INV0706192"</f>
        <v>INV0706192</v>
      </c>
    </row>
    <row r="717" spans="1:8" x14ac:dyDescent="0.25">
      <c r="A717" t="s">
        <v>182</v>
      </c>
      <c r="B717">
        <v>850</v>
      </c>
      <c r="C717" s="2">
        <v>41.79</v>
      </c>
      <c r="D717" s="1">
        <v>43614</v>
      </c>
      <c r="E717" t="str">
        <f>"INV0709640"</f>
        <v>INV0709640</v>
      </c>
      <c r="F717" t="str">
        <f>"INV0709640"</f>
        <v>INV0709640</v>
      </c>
      <c r="G717" s="2">
        <v>41.79</v>
      </c>
      <c r="H717" t="str">
        <f>"INV0709640"</f>
        <v>INV0709640</v>
      </c>
    </row>
    <row r="718" spans="1:8" x14ac:dyDescent="0.25">
      <c r="A718" t="s">
        <v>183</v>
      </c>
      <c r="B718">
        <v>800</v>
      </c>
      <c r="C718" s="2">
        <v>6538.18</v>
      </c>
      <c r="D718" s="1">
        <v>43599</v>
      </c>
      <c r="E718" t="str">
        <f>"1647320 1647422 16"</f>
        <v>1647320 1647422 16</v>
      </c>
      <c r="F718" t="str">
        <f>"N55Y2"</f>
        <v>N55Y2</v>
      </c>
      <c r="G718" s="2">
        <v>2824.24</v>
      </c>
      <c r="H718" t="str">
        <f>"GP59466A"</f>
        <v>GP59466A</v>
      </c>
    </row>
    <row r="719" spans="1:8" x14ac:dyDescent="0.25">
      <c r="E719" t="str">
        <f>""</f>
        <v/>
      </c>
      <c r="F719" t="str">
        <f>""</f>
        <v/>
      </c>
      <c r="H719" t="str">
        <f>"GP89480"</f>
        <v>GP89480</v>
      </c>
    </row>
    <row r="720" spans="1:8" x14ac:dyDescent="0.25">
      <c r="E720" t="str">
        <f>""</f>
        <v/>
      </c>
      <c r="F720" t="str">
        <f>""</f>
        <v/>
      </c>
      <c r="H720" t="str">
        <f>"GP19375"</f>
        <v>GP19375</v>
      </c>
    </row>
    <row r="721" spans="5:8" x14ac:dyDescent="0.25">
      <c r="E721" t="str">
        <f>""</f>
        <v/>
      </c>
      <c r="F721" t="str">
        <f>""</f>
        <v/>
      </c>
      <c r="H721" t="str">
        <f>"GP56748"</f>
        <v>GP56748</v>
      </c>
    </row>
    <row r="722" spans="5:8" x14ac:dyDescent="0.25">
      <c r="E722" t="str">
        <f>""</f>
        <v/>
      </c>
      <c r="F722" t="str">
        <f>""</f>
        <v/>
      </c>
      <c r="H722" t="str">
        <f>"GP52060"</f>
        <v>GP52060</v>
      </c>
    </row>
    <row r="723" spans="5:8" x14ac:dyDescent="0.25">
      <c r="E723" t="str">
        <f>""</f>
        <v/>
      </c>
      <c r="F723" t="str">
        <f>""</f>
        <v/>
      </c>
      <c r="H723" t="str">
        <f>"GP42714"</f>
        <v>GP42714</v>
      </c>
    </row>
    <row r="724" spans="5:8" x14ac:dyDescent="0.25">
      <c r="E724" t="str">
        <f>""</f>
        <v/>
      </c>
      <c r="F724" t="str">
        <f>""</f>
        <v/>
      </c>
      <c r="H724" t="str">
        <f>"GP42334"</f>
        <v>GP42334</v>
      </c>
    </row>
    <row r="725" spans="5:8" x14ac:dyDescent="0.25">
      <c r="E725" t="str">
        <f>""</f>
        <v/>
      </c>
      <c r="F725" t="str">
        <f>""</f>
        <v/>
      </c>
      <c r="H725" t="str">
        <f>"63CL"</f>
        <v>63CL</v>
      </c>
    </row>
    <row r="726" spans="5:8" x14ac:dyDescent="0.25">
      <c r="E726" t="str">
        <f>""</f>
        <v/>
      </c>
      <c r="F726" t="str">
        <f>""</f>
        <v/>
      </c>
      <c r="H726" t="str">
        <f>"32roundc"</f>
        <v>32roundc</v>
      </c>
    </row>
    <row r="727" spans="5:8" x14ac:dyDescent="0.25">
      <c r="E727" t="str">
        <f>""</f>
        <v/>
      </c>
      <c r="F727" t="str">
        <f>""</f>
        <v/>
      </c>
      <c r="H727" t="str">
        <f>"13TOFFC"</f>
        <v>13TOFFC</v>
      </c>
    </row>
    <row r="728" spans="5:8" x14ac:dyDescent="0.25">
      <c r="E728" t="str">
        <f>""</f>
        <v/>
      </c>
      <c r="F728" t="str">
        <f>""</f>
        <v/>
      </c>
      <c r="H728" t="str">
        <f>"BCLNC"</f>
        <v>BCLNC</v>
      </c>
    </row>
    <row r="729" spans="5:8" x14ac:dyDescent="0.25">
      <c r="E729" t="str">
        <f>"1654656 1661952"</f>
        <v>1654656 1661952</v>
      </c>
      <c r="F729" t="str">
        <f>"GULF COAST PAPER CO. INC."</f>
        <v>GULF COAST PAPER CO. INC.</v>
      </c>
      <c r="G729" s="2">
        <v>688.97</v>
      </c>
      <c r="H729" t="str">
        <f>"GP12798"</f>
        <v>GP12798</v>
      </c>
    </row>
    <row r="730" spans="5:8" x14ac:dyDescent="0.25">
      <c r="E730" t="str">
        <f>""</f>
        <v/>
      </c>
      <c r="F730" t="str">
        <f>""</f>
        <v/>
      </c>
      <c r="H730" t="str">
        <f>"ISHINE5"</f>
        <v>ISHINE5</v>
      </c>
    </row>
    <row r="731" spans="5:8" x14ac:dyDescent="0.25">
      <c r="E731" t="str">
        <f>""</f>
        <v/>
      </c>
      <c r="F731" t="str">
        <f>""</f>
        <v/>
      </c>
      <c r="H731" t="str">
        <f>"GP20389"</f>
        <v>GP20389</v>
      </c>
    </row>
    <row r="732" spans="5:8" x14ac:dyDescent="0.25">
      <c r="E732" t="str">
        <f>""</f>
        <v/>
      </c>
      <c r="F732" t="str">
        <f>""</f>
        <v/>
      </c>
      <c r="H732" t="str">
        <f>"WAVECM"</f>
        <v>WAVECM</v>
      </c>
    </row>
    <row r="733" spans="5:8" x14ac:dyDescent="0.25">
      <c r="E733" t="str">
        <f>""</f>
        <v/>
      </c>
      <c r="F733" t="str">
        <f>""</f>
        <v/>
      </c>
      <c r="H733" t="str">
        <f>"BCHM"</f>
        <v>BCHM</v>
      </c>
    </row>
    <row r="734" spans="5:8" x14ac:dyDescent="0.25">
      <c r="E734" t="str">
        <f>""</f>
        <v/>
      </c>
      <c r="F734" t="str">
        <f>""</f>
        <v/>
      </c>
      <c r="H734" t="str">
        <f>"64VXL"</f>
        <v>64VXL</v>
      </c>
    </row>
    <row r="735" spans="5:8" x14ac:dyDescent="0.25">
      <c r="E735" t="str">
        <f>"1665197"</f>
        <v>1665197</v>
      </c>
      <c r="F735" t="str">
        <f>"INV 1665197"</f>
        <v>INV 1665197</v>
      </c>
      <c r="G735" s="2">
        <v>983.25</v>
      </c>
      <c r="H735" t="str">
        <f>"INV 1665197"</f>
        <v>INV 1665197</v>
      </c>
    </row>
    <row r="736" spans="5:8" x14ac:dyDescent="0.25">
      <c r="E736" t="str">
        <f>"1665198 1669151"</f>
        <v>1665198 1669151</v>
      </c>
      <c r="F736" t="str">
        <f>"INV 1665198"</f>
        <v>INV 1665198</v>
      </c>
      <c r="G736" s="2">
        <v>268.45</v>
      </c>
      <c r="H736" t="str">
        <f>"INV 1665198"</f>
        <v>INV 1665198</v>
      </c>
    </row>
    <row r="737" spans="1:8" x14ac:dyDescent="0.25">
      <c r="E737" t="str">
        <f>""</f>
        <v/>
      </c>
      <c r="F737" t="str">
        <f>""</f>
        <v/>
      </c>
      <c r="H737" t="str">
        <f>"INV 1669151"</f>
        <v>INV 1669151</v>
      </c>
    </row>
    <row r="738" spans="1:8" x14ac:dyDescent="0.25">
      <c r="E738" t="str">
        <f>"N0801"</f>
        <v>N0801</v>
      </c>
      <c r="F738" t="str">
        <f>"order# N0801"</f>
        <v>order# N0801</v>
      </c>
      <c r="G738" s="2">
        <v>1773.27</v>
      </c>
      <c r="H738" t="str">
        <f>"Inv# 1633784"</f>
        <v>Inv# 1633784</v>
      </c>
    </row>
    <row r="739" spans="1:8" x14ac:dyDescent="0.25">
      <c r="E739" t="str">
        <f>""</f>
        <v/>
      </c>
      <c r="F739" t="str">
        <f>""</f>
        <v/>
      </c>
      <c r="H739" t="str">
        <f>"Inv# 1634152"</f>
        <v>Inv# 1634152</v>
      </c>
    </row>
    <row r="740" spans="1:8" x14ac:dyDescent="0.25">
      <c r="E740" t="str">
        <f>""</f>
        <v/>
      </c>
      <c r="F740" t="str">
        <f>""</f>
        <v/>
      </c>
      <c r="H740" t="str">
        <f>"Inv# 1644147"</f>
        <v>Inv# 1644147</v>
      </c>
    </row>
    <row r="741" spans="1:8" x14ac:dyDescent="0.25">
      <c r="E741" t="str">
        <f>""</f>
        <v/>
      </c>
      <c r="F741" t="str">
        <f>""</f>
        <v/>
      </c>
      <c r="H741" t="str">
        <f>"Inv# 1669429"</f>
        <v>Inv# 1669429</v>
      </c>
    </row>
    <row r="742" spans="1:8" x14ac:dyDescent="0.25">
      <c r="E742" t="str">
        <f>""</f>
        <v/>
      </c>
      <c r="F742" t="str">
        <f>""</f>
        <v/>
      </c>
      <c r="H742" t="str">
        <f>"Inv# 1669426"</f>
        <v>Inv# 1669426</v>
      </c>
    </row>
    <row r="743" spans="1:8" x14ac:dyDescent="0.25">
      <c r="E743" t="str">
        <f>""</f>
        <v/>
      </c>
      <c r="F743" t="str">
        <f>""</f>
        <v/>
      </c>
      <c r="H743" t="str">
        <f>"Inv# 1643837"</f>
        <v>Inv# 1643837</v>
      </c>
    </row>
    <row r="744" spans="1:8" x14ac:dyDescent="0.25">
      <c r="A744" t="s">
        <v>184</v>
      </c>
      <c r="B744">
        <v>798</v>
      </c>
      <c r="C744" s="2">
        <v>50</v>
      </c>
      <c r="D744" s="1">
        <v>43599</v>
      </c>
      <c r="E744" t="str">
        <f>"857021"</f>
        <v>857021</v>
      </c>
      <c r="F744" t="str">
        <f>"FILTER DRUMS/PCT#4"</f>
        <v>FILTER DRUMS/PCT#4</v>
      </c>
      <c r="G744" s="2">
        <v>50</v>
      </c>
      <c r="H744" t="str">
        <f>"FILTER DRUMS/PCT#4"</f>
        <v>FILTER DRUMS/PCT#4</v>
      </c>
    </row>
    <row r="745" spans="1:8" x14ac:dyDescent="0.25">
      <c r="A745" t="s">
        <v>185</v>
      </c>
      <c r="B745">
        <v>82144</v>
      </c>
      <c r="C745" s="2">
        <v>26220</v>
      </c>
      <c r="D745" s="1">
        <v>43598</v>
      </c>
      <c r="E745" t="str">
        <f>"00022890"</f>
        <v>00022890</v>
      </c>
      <c r="F745" t="str">
        <f>"PROJ#033387.004/PCT#4"</f>
        <v>PROJ#033387.004/PCT#4</v>
      </c>
      <c r="G745" s="2">
        <v>26220</v>
      </c>
      <c r="H745" t="str">
        <f>"PROJ#033387.004/PCT#4"</f>
        <v>PROJ#033387.004/PCT#4</v>
      </c>
    </row>
    <row r="746" spans="1:8" x14ac:dyDescent="0.25">
      <c r="A746" t="s">
        <v>185</v>
      </c>
      <c r="B746">
        <v>82338</v>
      </c>
      <c r="C746" s="2">
        <v>63055.5</v>
      </c>
      <c r="D746" s="1">
        <v>43613</v>
      </c>
      <c r="E746" t="str">
        <f>"00018960"</f>
        <v>00018960</v>
      </c>
      <c r="F746" t="str">
        <f>"PROJ#032285.004/PCT#3"</f>
        <v>PROJ#032285.004/PCT#3</v>
      </c>
      <c r="G746" s="2">
        <v>2790</v>
      </c>
      <c r="H746" t="str">
        <f>"PROJ#032285.004/PCT#3"</f>
        <v>PROJ#032285.004/PCT#3</v>
      </c>
    </row>
    <row r="747" spans="1:8" x14ac:dyDescent="0.25">
      <c r="E747" t="str">
        <f>"00021835"</f>
        <v>00021835</v>
      </c>
      <c r="F747" t="str">
        <f>"PROJ#033387.004/PCT#4"</f>
        <v>PROJ#033387.004/PCT#4</v>
      </c>
      <c r="G747" s="2">
        <v>8755</v>
      </c>
      <c r="H747" t="str">
        <f>"PROJ#033387.004/PCT#4"</f>
        <v>PROJ#033387.004/PCT#4</v>
      </c>
    </row>
    <row r="748" spans="1:8" x14ac:dyDescent="0.25">
      <c r="E748" t="str">
        <f>"00024014"</f>
        <v>00024014</v>
      </c>
      <c r="F748" t="str">
        <f>"PROJ#032318.003/PCT#1"</f>
        <v>PROJ#032318.003/PCT#1</v>
      </c>
      <c r="G748" s="2">
        <v>7370.5</v>
      </c>
      <c r="H748" t="str">
        <f>"PROJ#032318.003/PCT#1"</f>
        <v>PROJ#032318.003/PCT#1</v>
      </c>
    </row>
    <row r="749" spans="1:8" x14ac:dyDescent="0.25">
      <c r="E749" t="str">
        <f>"00024016"</f>
        <v>00024016</v>
      </c>
      <c r="F749" t="str">
        <f>"PROJ#033387.004/PCT#4"</f>
        <v>PROJ#033387.004/PCT#4</v>
      </c>
      <c r="G749" s="2">
        <v>3025</v>
      </c>
      <c r="H749" t="str">
        <f>"PROJ#033387.004/PCT#4"</f>
        <v>PROJ#033387.004/PCT#4</v>
      </c>
    </row>
    <row r="750" spans="1:8" x14ac:dyDescent="0.25">
      <c r="E750" t="str">
        <f>"00024017"</f>
        <v>00024017</v>
      </c>
      <c r="F750" t="str">
        <f>"PROJ#035837.001"</f>
        <v>PROJ#035837.001</v>
      </c>
      <c r="G750" s="2">
        <v>41115</v>
      </c>
      <c r="H750" t="str">
        <f>"PROJ#035837.001"</f>
        <v>PROJ#035837.001</v>
      </c>
    </row>
    <row r="751" spans="1:8" x14ac:dyDescent="0.25">
      <c r="A751" t="s">
        <v>186</v>
      </c>
      <c r="B751">
        <v>784</v>
      </c>
      <c r="C751" s="2">
        <v>48.3</v>
      </c>
      <c r="D751" s="1">
        <v>43599</v>
      </c>
      <c r="E751" t="str">
        <f>"561246"</f>
        <v>561246</v>
      </c>
      <c r="F751" t="str">
        <f>"ORD#537170/CUST#5532/PCT#1"</f>
        <v>ORD#537170/CUST#5532/PCT#1</v>
      </c>
      <c r="G751" s="2">
        <v>48.3</v>
      </c>
      <c r="H751" t="str">
        <f>"ORD#537170/CUST#5532/PCT#1"</f>
        <v>ORD#537170/CUST#5532/PCT#1</v>
      </c>
    </row>
    <row r="752" spans="1:8" x14ac:dyDescent="0.25">
      <c r="A752" t="s">
        <v>186</v>
      </c>
      <c r="B752">
        <v>851</v>
      </c>
      <c r="C752" s="2">
        <v>357.52</v>
      </c>
      <c r="D752" s="1">
        <v>43614</v>
      </c>
      <c r="E752" t="str">
        <f>"561493"</f>
        <v>561493</v>
      </c>
      <c r="F752" t="str">
        <f>"ORD#537470/PCT#1"</f>
        <v>ORD#537470/PCT#1</v>
      </c>
      <c r="G752" s="2">
        <v>357.52</v>
      </c>
      <c r="H752" t="str">
        <f>"ORD#537470/PCT#1"</f>
        <v>ORD#537470/PCT#1</v>
      </c>
    </row>
    <row r="753" spans="1:9" x14ac:dyDescent="0.25">
      <c r="A753" t="s">
        <v>187</v>
      </c>
      <c r="B753">
        <v>82145</v>
      </c>
      <c r="C753" s="2">
        <v>184.24</v>
      </c>
      <c r="D753" s="1">
        <v>43598</v>
      </c>
      <c r="E753" t="str">
        <f>"201905089216"</f>
        <v>201905089216</v>
      </c>
      <c r="F753" t="str">
        <f>"MILEAGE REIMBURSEMENT"</f>
        <v>MILEAGE REIMBURSEMENT</v>
      </c>
      <c r="G753" s="2">
        <v>124.24</v>
      </c>
      <c r="H753" t="str">
        <f>"MILEAGE REIMBURSEMENT"</f>
        <v>MILEAGE REIMBURSEMENT</v>
      </c>
    </row>
    <row r="754" spans="1:9" x14ac:dyDescent="0.25">
      <c r="E754" t="str">
        <f>"201905089217"</f>
        <v>201905089217</v>
      </c>
      <c r="F754" t="str">
        <f>"REIMBURSEMENT-MEALS"</f>
        <v>REIMBURSEMENT-MEALS</v>
      </c>
      <c r="G754" s="2">
        <v>60</v>
      </c>
      <c r="H754" t="str">
        <f>"REIMBURSEMENT-MEALS"</f>
        <v>REIMBURSEMENT-MEALS</v>
      </c>
    </row>
    <row r="755" spans="1:9" x14ac:dyDescent="0.25">
      <c r="A755" t="s">
        <v>188</v>
      </c>
      <c r="B755">
        <v>82146</v>
      </c>
      <c r="C755" s="2">
        <v>225</v>
      </c>
      <c r="D755" s="1">
        <v>43598</v>
      </c>
      <c r="E755" t="str">
        <f>"12766"</f>
        <v>12766</v>
      </c>
      <c r="F755" t="str">
        <f>"SERVICE"</f>
        <v>SERVICE</v>
      </c>
      <c r="G755" s="2">
        <v>150</v>
      </c>
      <c r="H755" t="str">
        <f>"SERVICE"</f>
        <v>SERVICE</v>
      </c>
    </row>
    <row r="756" spans="1:9" x14ac:dyDescent="0.25">
      <c r="E756" t="str">
        <f>"13150"</f>
        <v>13150</v>
      </c>
      <c r="F756" t="str">
        <f>"SERVICE"</f>
        <v>SERVICE</v>
      </c>
      <c r="G756" s="2">
        <v>75</v>
      </c>
      <c r="H756" t="str">
        <f>"SERVICE"</f>
        <v>SERVICE</v>
      </c>
    </row>
    <row r="757" spans="1:9" x14ac:dyDescent="0.25">
      <c r="A757" t="s">
        <v>189</v>
      </c>
      <c r="B757">
        <v>82339</v>
      </c>
      <c r="C757" s="2">
        <v>350</v>
      </c>
      <c r="D757" s="1">
        <v>43613</v>
      </c>
      <c r="E757" t="str">
        <f>"INV811901"</f>
        <v>INV811901</v>
      </c>
      <c r="F757" t="str">
        <f>"INV811901"</f>
        <v>INV811901</v>
      </c>
      <c r="G757" s="2">
        <v>350</v>
      </c>
      <c r="H757" t="str">
        <f>"INV811901"</f>
        <v>INV811901</v>
      </c>
    </row>
    <row r="758" spans="1:9" x14ac:dyDescent="0.25">
      <c r="A758" t="s">
        <v>190</v>
      </c>
      <c r="B758">
        <v>82340</v>
      </c>
      <c r="C758" s="2">
        <v>1463.43</v>
      </c>
      <c r="D758" s="1">
        <v>43613</v>
      </c>
      <c r="E758" t="str">
        <f>"65853"</f>
        <v>65853</v>
      </c>
      <c r="F758" t="str">
        <f>"Cordless Headset Bases fo"</f>
        <v>Cordless Headset Bases fo</v>
      </c>
      <c r="G758" s="2">
        <v>1463.43</v>
      </c>
      <c r="H758" t="str">
        <f>"Item# 1CA12CD-S"</f>
        <v>Item# 1CA12CD-S</v>
      </c>
    </row>
    <row r="759" spans="1:9" x14ac:dyDescent="0.25">
      <c r="E759" t="str">
        <f>""</f>
        <v/>
      </c>
      <c r="F759" t="str">
        <f>""</f>
        <v/>
      </c>
      <c r="H759" t="str">
        <f>"Freight"</f>
        <v>Freight</v>
      </c>
    </row>
    <row r="760" spans="1:9" x14ac:dyDescent="0.25">
      <c r="A760" t="s">
        <v>191</v>
      </c>
      <c r="B760">
        <v>737</v>
      </c>
      <c r="C760" s="2">
        <v>104.49</v>
      </c>
      <c r="D760" s="1">
        <v>43599</v>
      </c>
      <c r="E760" t="str">
        <f>"436110"</f>
        <v>436110</v>
      </c>
      <c r="F760" t="str">
        <f>"ACCT#002628/PCT#2"</f>
        <v>ACCT#002628/PCT#2</v>
      </c>
      <c r="G760" s="2">
        <v>104.49</v>
      </c>
      <c r="H760" t="str">
        <f>"ACCT#002628/PCT#2"</f>
        <v>ACCT#002628/PCT#2</v>
      </c>
    </row>
    <row r="761" spans="1:9" x14ac:dyDescent="0.25">
      <c r="A761" t="s">
        <v>192</v>
      </c>
      <c r="B761">
        <v>82147</v>
      </c>
      <c r="C761" s="2">
        <v>766.71</v>
      </c>
      <c r="D761" s="1">
        <v>43598</v>
      </c>
      <c r="E761" t="str">
        <f>"201905089214"</f>
        <v>201905089214</v>
      </c>
      <c r="F761" t="str">
        <f>"ACCT#68930/ANIMAL SVCS"</f>
        <v>ACCT#68930/ANIMAL SVCS</v>
      </c>
      <c r="G761" s="2">
        <v>766.71</v>
      </c>
      <c r="H761" t="str">
        <f>"ACCT#68930/ANIMAL SVCS"</f>
        <v>ACCT#68930/ANIMAL SVCS</v>
      </c>
    </row>
    <row r="762" spans="1:9" x14ac:dyDescent="0.25">
      <c r="A762" t="s">
        <v>192</v>
      </c>
      <c r="B762">
        <v>82341</v>
      </c>
      <c r="C762" s="2">
        <v>1855.45</v>
      </c>
      <c r="D762" s="1">
        <v>43613</v>
      </c>
      <c r="E762" t="str">
        <f>"RE54716"</f>
        <v>RE54716</v>
      </c>
      <c r="F762" t="str">
        <f>"ACCT#68930-000/ANIMAL SVCS"</f>
        <v>ACCT#68930-000/ANIMAL SVCS</v>
      </c>
      <c r="G762" s="2">
        <v>838.5</v>
      </c>
      <c r="H762" t="str">
        <f t="shared" ref="H762:H767" si="5">"ACCT#68930-000/ANIMAL SVCS"</f>
        <v>ACCT#68930-000/ANIMAL SVCS</v>
      </c>
    </row>
    <row r="763" spans="1:9" x14ac:dyDescent="0.25">
      <c r="E763" t="str">
        <f>"RE55309"</f>
        <v>RE55309</v>
      </c>
      <c r="F763" t="str">
        <f>"ACCT#68930-000/ANIMAL SVCS"</f>
        <v>ACCT#68930-000/ANIMAL SVCS</v>
      </c>
      <c r="G763" s="2">
        <v>400.69</v>
      </c>
      <c r="H763" t="str">
        <f t="shared" si="5"/>
        <v>ACCT#68930-000/ANIMAL SVCS</v>
      </c>
    </row>
    <row r="764" spans="1:9" x14ac:dyDescent="0.25">
      <c r="E764" t="str">
        <f>""</f>
        <v/>
      </c>
      <c r="F764" t="str">
        <f>""</f>
        <v/>
      </c>
      <c r="H764" t="str">
        <f t="shared" si="5"/>
        <v>ACCT#68930-000/ANIMAL SVCS</v>
      </c>
    </row>
    <row r="765" spans="1:9" x14ac:dyDescent="0.25">
      <c r="E765" t="str">
        <f>"RE65162"</f>
        <v>RE65162</v>
      </c>
      <c r="F765" t="str">
        <f>"ACCT#68930-000/ANIMAL SVCS"</f>
        <v>ACCT#68930-000/ANIMAL SVCS</v>
      </c>
      <c r="G765" s="2">
        <v>8.99</v>
      </c>
      <c r="H765" t="str">
        <f t="shared" si="5"/>
        <v>ACCT#68930-000/ANIMAL SVCS</v>
      </c>
    </row>
    <row r="766" spans="1:9" x14ac:dyDescent="0.25">
      <c r="E766" t="str">
        <f>"RF33395"</f>
        <v>RF33395</v>
      </c>
      <c r="F766" t="str">
        <f>"ACCT#68930-000/ANIMAL SVCS"</f>
        <v>ACCT#68930-000/ANIMAL SVCS</v>
      </c>
      <c r="G766" s="2">
        <v>278.25</v>
      </c>
      <c r="H766" t="str">
        <f t="shared" si="5"/>
        <v>ACCT#68930-000/ANIMAL SVCS</v>
      </c>
    </row>
    <row r="767" spans="1:9" x14ac:dyDescent="0.25">
      <c r="E767" t="str">
        <f>"RF49429"</f>
        <v>RF49429</v>
      </c>
      <c r="F767" t="str">
        <f>"ACCT#68930-000/ANIMAL SVCS"</f>
        <v>ACCT#68930-000/ANIMAL SVCS</v>
      </c>
      <c r="G767" s="2">
        <v>329.02</v>
      </c>
      <c r="H767" t="str">
        <f t="shared" si="5"/>
        <v>ACCT#68930-000/ANIMAL SVCS</v>
      </c>
    </row>
    <row r="768" spans="1:9" x14ac:dyDescent="0.25">
      <c r="A768" t="s">
        <v>193</v>
      </c>
      <c r="B768">
        <v>82148</v>
      </c>
      <c r="C768" s="2">
        <v>100</v>
      </c>
      <c r="D768" s="1">
        <v>43598</v>
      </c>
      <c r="E768" t="s">
        <v>194</v>
      </c>
      <c r="F768" t="s">
        <v>195</v>
      </c>
      <c r="G768" s="2" t="str">
        <f>"RESTITUTION-MICHAEL FELTS"</f>
        <v>RESTITUTION-MICHAEL FELTS</v>
      </c>
      <c r="H768" t="str">
        <f>"210-0000"</f>
        <v>210-0000</v>
      </c>
      <c r="I768" t="str">
        <f>""</f>
        <v/>
      </c>
    </row>
    <row r="769" spans="1:8" x14ac:dyDescent="0.25">
      <c r="A769" t="s">
        <v>196</v>
      </c>
      <c r="B769">
        <v>785</v>
      </c>
      <c r="C769" s="2">
        <v>650</v>
      </c>
      <c r="D769" s="1">
        <v>43599</v>
      </c>
      <c r="E769" t="str">
        <f>"201905089199"</f>
        <v>201905089199</v>
      </c>
      <c r="F769" t="str">
        <f>"BASCOM L HODGES JR"</f>
        <v>BASCOM L HODGES JR</v>
      </c>
      <c r="G769" s="2">
        <v>650</v>
      </c>
      <c r="H769" t="str">
        <f>""</f>
        <v/>
      </c>
    </row>
    <row r="770" spans="1:8" x14ac:dyDescent="0.25">
      <c r="A770" t="s">
        <v>197</v>
      </c>
      <c r="B770">
        <v>82149</v>
      </c>
      <c r="C770" s="2">
        <v>2362.5</v>
      </c>
      <c r="D770" s="1">
        <v>43598</v>
      </c>
      <c r="E770" t="str">
        <f>"201904248785"</f>
        <v>201904248785</v>
      </c>
      <c r="F770" t="str">
        <f>"18-19299"</f>
        <v>18-19299</v>
      </c>
      <c r="G770" s="2">
        <v>250</v>
      </c>
      <c r="H770" t="str">
        <f>"18-19299"</f>
        <v>18-19299</v>
      </c>
    </row>
    <row r="771" spans="1:8" x14ac:dyDescent="0.25">
      <c r="E771" t="str">
        <f>"201904248786"</f>
        <v>201904248786</v>
      </c>
      <c r="F771" t="str">
        <f>"19-19456"</f>
        <v>19-19456</v>
      </c>
      <c r="G771" s="2">
        <v>175</v>
      </c>
      <c r="H771" t="str">
        <f>"19-19456"</f>
        <v>19-19456</v>
      </c>
    </row>
    <row r="772" spans="1:8" x14ac:dyDescent="0.25">
      <c r="E772" t="str">
        <f>"201904248787"</f>
        <v>201904248787</v>
      </c>
      <c r="F772" t="str">
        <f>"17-18635"</f>
        <v>17-18635</v>
      </c>
      <c r="G772" s="2">
        <v>187.5</v>
      </c>
      <c r="H772" t="str">
        <f>"17-18635"</f>
        <v>17-18635</v>
      </c>
    </row>
    <row r="773" spans="1:8" x14ac:dyDescent="0.25">
      <c r="E773" t="str">
        <f>"201904248811"</f>
        <v>201904248811</v>
      </c>
      <c r="F773" t="str">
        <f>"03-8253"</f>
        <v>03-8253</v>
      </c>
      <c r="G773" s="2">
        <v>100</v>
      </c>
      <c r="H773" t="str">
        <f>"03-8253"</f>
        <v>03-8253</v>
      </c>
    </row>
    <row r="774" spans="1:8" x14ac:dyDescent="0.25">
      <c r="E774" t="str">
        <f>"201904248834"</f>
        <v>201904248834</v>
      </c>
      <c r="F774" t="str">
        <f>"56 613"</f>
        <v>56 613</v>
      </c>
      <c r="G774" s="2">
        <v>250</v>
      </c>
      <c r="H774" t="str">
        <f>"56 613"</f>
        <v>56 613</v>
      </c>
    </row>
    <row r="775" spans="1:8" x14ac:dyDescent="0.25">
      <c r="E775" t="str">
        <f>"201905079076"</f>
        <v>201905079076</v>
      </c>
      <c r="F775" t="str">
        <f>"56 082  56 835"</f>
        <v>56 082  56 835</v>
      </c>
      <c r="G775" s="2">
        <v>375</v>
      </c>
      <c r="H775" t="str">
        <f>"56 082  56 835"</f>
        <v>56 082  56 835</v>
      </c>
    </row>
    <row r="776" spans="1:8" x14ac:dyDescent="0.25">
      <c r="E776" t="str">
        <f>"201905079100"</f>
        <v>201905079100</v>
      </c>
      <c r="F776" t="str">
        <f>"55 457"</f>
        <v>55 457</v>
      </c>
      <c r="G776" s="2">
        <v>250</v>
      </c>
      <c r="H776" t="str">
        <f>"55 457"</f>
        <v>55 457</v>
      </c>
    </row>
    <row r="777" spans="1:8" x14ac:dyDescent="0.25">
      <c r="E777" t="str">
        <f>"201905079115"</f>
        <v>201905079115</v>
      </c>
      <c r="F777" t="str">
        <f>"18-19336"</f>
        <v>18-19336</v>
      </c>
      <c r="G777" s="2">
        <v>175</v>
      </c>
      <c r="H777" t="str">
        <f>"18-19336"</f>
        <v>18-19336</v>
      </c>
    </row>
    <row r="778" spans="1:8" x14ac:dyDescent="0.25">
      <c r="E778" t="str">
        <f>"201905079118"</f>
        <v>201905079118</v>
      </c>
      <c r="F778" t="str">
        <f>"18-18864"</f>
        <v>18-18864</v>
      </c>
      <c r="G778" s="2">
        <v>175</v>
      </c>
      <c r="H778" t="str">
        <f>"18-18864"</f>
        <v>18-18864</v>
      </c>
    </row>
    <row r="779" spans="1:8" x14ac:dyDescent="0.25">
      <c r="E779" t="str">
        <f>"201905079147"</f>
        <v>201905079147</v>
      </c>
      <c r="F779" t="str">
        <f>"19-19591"</f>
        <v>19-19591</v>
      </c>
      <c r="G779" s="2">
        <v>175</v>
      </c>
      <c r="H779" t="str">
        <f>"19-19591"</f>
        <v>19-19591</v>
      </c>
    </row>
    <row r="780" spans="1:8" x14ac:dyDescent="0.25">
      <c r="E780" t="str">
        <f>"201905079150"</f>
        <v>201905079150</v>
      </c>
      <c r="F780" t="str">
        <f>"J-3181"</f>
        <v>J-3181</v>
      </c>
      <c r="G780" s="2">
        <v>250</v>
      </c>
      <c r="H780" t="str">
        <f>"J-3181"</f>
        <v>J-3181</v>
      </c>
    </row>
    <row r="781" spans="1:8" x14ac:dyDescent="0.25">
      <c r="A781" t="s">
        <v>197</v>
      </c>
      <c r="B781">
        <v>82342</v>
      </c>
      <c r="C781" s="2">
        <v>725</v>
      </c>
      <c r="D781" s="1">
        <v>43613</v>
      </c>
      <c r="E781" t="str">
        <f>"201905219401"</f>
        <v>201905219401</v>
      </c>
      <c r="F781" t="str">
        <f>"56369"</f>
        <v>56369</v>
      </c>
      <c r="G781" s="2">
        <v>250</v>
      </c>
      <c r="H781" t="str">
        <f>"56369"</f>
        <v>56369</v>
      </c>
    </row>
    <row r="782" spans="1:8" x14ac:dyDescent="0.25">
      <c r="E782" t="str">
        <f>"201905219431"</f>
        <v>201905219431</v>
      </c>
      <c r="F782" t="str">
        <f>"06-11142"</f>
        <v>06-11142</v>
      </c>
      <c r="G782" s="2">
        <v>100</v>
      </c>
      <c r="H782" t="str">
        <f>"06-11142"</f>
        <v>06-11142</v>
      </c>
    </row>
    <row r="783" spans="1:8" x14ac:dyDescent="0.25">
      <c r="E783" t="str">
        <f>"201905219432"</f>
        <v>201905219432</v>
      </c>
      <c r="F783" t="str">
        <f>"19-19627"</f>
        <v>19-19627</v>
      </c>
      <c r="G783" s="2">
        <v>175</v>
      </c>
      <c r="H783" t="str">
        <f>"19-19627"</f>
        <v>19-19627</v>
      </c>
    </row>
    <row r="784" spans="1:8" x14ac:dyDescent="0.25">
      <c r="E784" t="str">
        <f>"201905219436"</f>
        <v>201905219436</v>
      </c>
      <c r="F784" t="str">
        <f>"11-14791"</f>
        <v>11-14791</v>
      </c>
      <c r="G784" s="2">
        <v>100</v>
      </c>
      <c r="H784" t="str">
        <f>"11-14791"</f>
        <v>11-14791</v>
      </c>
    </row>
    <row r="785" spans="1:8" x14ac:dyDescent="0.25">
      <c r="E785" t="str">
        <f>"201905219437"</f>
        <v>201905219437</v>
      </c>
      <c r="F785" t="str">
        <f>"05-9623"</f>
        <v>05-9623</v>
      </c>
      <c r="G785" s="2">
        <v>100</v>
      </c>
      <c r="H785" t="str">
        <f>"05-9623"</f>
        <v>05-9623</v>
      </c>
    </row>
    <row r="786" spans="1:8" x14ac:dyDescent="0.25">
      <c r="A786" t="s">
        <v>198</v>
      </c>
      <c r="B786">
        <v>82150</v>
      </c>
      <c r="C786" s="2">
        <v>7404.37</v>
      </c>
      <c r="D786" s="1">
        <v>43598</v>
      </c>
      <c r="E786" t="str">
        <f>"PIMA0306758"</f>
        <v>PIMA0306758</v>
      </c>
      <c r="F786" t="str">
        <f>"CUST#0129150/PARTS/PCT#3"</f>
        <v>CUST#0129150/PARTS/PCT#3</v>
      </c>
      <c r="G786" s="2">
        <v>182.98</v>
      </c>
      <c r="H786" t="str">
        <f>"CUST#0129150/PARTS/PCT#3"</f>
        <v>CUST#0129150/PARTS/PCT#3</v>
      </c>
    </row>
    <row r="787" spans="1:8" x14ac:dyDescent="0.25">
      <c r="E787" t="str">
        <f>"PIMA0307072"</f>
        <v>PIMA0307072</v>
      </c>
      <c r="F787" t="str">
        <f>"CUST#0129150/PCT#3"</f>
        <v>CUST#0129150/PCT#3</v>
      </c>
      <c r="G787" s="2">
        <v>2834.36</v>
      </c>
      <c r="H787" t="str">
        <f>"CUST#0129150/PCT#3"</f>
        <v>CUST#0129150/PCT#3</v>
      </c>
    </row>
    <row r="788" spans="1:8" x14ac:dyDescent="0.25">
      <c r="E788" t="str">
        <f>"PIMA0307264"</f>
        <v>PIMA0307264</v>
      </c>
      <c r="F788" t="str">
        <f>"CUST#0129150/PCT#3"</f>
        <v>CUST#0129150/PCT#3</v>
      </c>
      <c r="G788" s="2">
        <v>543.54999999999995</v>
      </c>
      <c r="H788" t="str">
        <f>"CUST#0129150/PCT#3"</f>
        <v>CUST#0129150/PCT#3</v>
      </c>
    </row>
    <row r="789" spans="1:8" x14ac:dyDescent="0.25">
      <c r="E789" t="str">
        <f>"PIMA0307265"</f>
        <v>PIMA0307265</v>
      </c>
      <c r="F789" t="str">
        <f>"CUST#0129150/PCT#3"</f>
        <v>CUST#0129150/PCT#3</v>
      </c>
      <c r="G789" s="2">
        <v>966.69</v>
      </c>
      <c r="H789" t="str">
        <f>"CUST#0129150/PCT#3"</f>
        <v>CUST#0129150/PCT#3</v>
      </c>
    </row>
    <row r="790" spans="1:8" x14ac:dyDescent="0.25">
      <c r="E790" t="str">
        <f>"PIMA0307568"</f>
        <v>PIMA0307568</v>
      </c>
      <c r="F790" t="str">
        <f>"CUST#0129050/FILTERS/PCT#1"</f>
        <v>CUST#0129050/FILTERS/PCT#1</v>
      </c>
      <c r="G790" s="2">
        <v>398.84</v>
      </c>
      <c r="H790" t="str">
        <f>"CUST#0129050/FILTERS/PCT#1"</f>
        <v>CUST#0129050/FILTERS/PCT#1</v>
      </c>
    </row>
    <row r="791" spans="1:8" x14ac:dyDescent="0.25">
      <c r="E791" t="str">
        <f>"PIMP0304652"</f>
        <v>PIMP0304652</v>
      </c>
      <c r="F791" t="str">
        <f>"CUST#0129200/PCT#4"</f>
        <v>CUST#0129200/PCT#4</v>
      </c>
      <c r="G791" s="2">
        <v>2054.46</v>
      </c>
      <c r="H791" t="str">
        <f>"CUST#0129200/PCT#4"</f>
        <v>CUST#0129200/PCT#4</v>
      </c>
    </row>
    <row r="792" spans="1:8" x14ac:dyDescent="0.25">
      <c r="E792" t="str">
        <f>"PIMP0304654"</f>
        <v>PIMP0304654</v>
      </c>
      <c r="F792" t="str">
        <f>"CUST#0129200/PCT#4"</f>
        <v>CUST#0129200/PCT#4</v>
      </c>
      <c r="G792" s="2">
        <v>183.05</v>
      </c>
      <c r="H792" t="str">
        <f>"CUST#0129200/PCT#4"</f>
        <v>CUST#0129200/PCT#4</v>
      </c>
    </row>
    <row r="793" spans="1:8" x14ac:dyDescent="0.25">
      <c r="E793" t="str">
        <f>"PIMP0305828"</f>
        <v>PIMP0305828</v>
      </c>
      <c r="F793" t="str">
        <f>"CUST#0129050/END EDGE/PCT#1"</f>
        <v>CUST#0129050/END EDGE/PCT#1</v>
      </c>
      <c r="G793" s="2">
        <v>197.84</v>
      </c>
      <c r="H793" t="str">
        <f>"CUST#0129050/END EDGE/PCT#1"</f>
        <v>CUST#0129050/END EDGE/PCT#1</v>
      </c>
    </row>
    <row r="794" spans="1:8" x14ac:dyDescent="0.25">
      <c r="E794" t="str">
        <f>"PIMP0305829"</f>
        <v>PIMP0305829</v>
      </c>
      <c r="F794" t="str">
        <f>"CUST#0129050/NUT/BOLT/PCT#1"</f>
        <v>CUST#0129050/NUT/BOLT/PCT#1</v>
      </c>
      <c r="G794" s="2">
        <v>42.6</v>
      </c>
      <c r="H794" t="str">
        <f>"CUST#0129050/NUT/BOLT/PCT#1"</f>
        <v>CUST#0129050/NUT/BOLT/PCT#1</v>
      </c>
    </row>
    <row r="795" spans="1:8" x14ac:dyDescent="0.25">
      <c r="A795" t="s">
        <v>198</v>
      </c>
      <c r="B795">
        <v>82343</v>
      </c>
      <c r="C795" s="2">
        <v>3181.28</v>
      </c>
      <c r="D795" s="1">
        <v>43613</v>
      </c>
      <c r="E795" t="str">
        <f>"201905219355"</f>
        <v>201905219355</v>
      </c>
      <c r="F795" t="str">
        <f>"CUST#0129200/PCT#4"</f>
        <v>CUST#0129200/PCT#4</v>
      </c>
      <c r="G795" s="2">
        <v>3181.28</v>
      </c>
      <c r="H795" t="str">
        <f>"CUST#0129200/PCT#4"</f>
        <v>CUST#0129200/PCT#4</v>
      </c>
    </row>
    <row r="796" spans="1:8" x14ac:dyDescent="0.25">
      <c r="A796" t="s">
        <v>199</v>
      </c>
      <c r="B796">
        <v>82151</v>
      </c>
      <c r="C796" s="2">
        <v>3460.46</v>
      </c>
      <c r="D796" s="1">
        <v>43598</v>
      </c>
      <c r="E796" t="str">
        <f>"201905109260"</f>
        <v>201905109260</v>
      </c>
      <c r="F796" t="str">
        <f>"acct#0103"</f>
        <v>acct#0103</v>
      </c>
      <c r="G796" s="2">
        <v>3460.46</v>
      </c>
      <c r="H796" t="str">
        <f>"inv# 8901381"</f>
        <v>inv# 8901381</v>
      </c>
    </row>
    <row r="797" spans="1:8" x14ac:dyDescent="0.25">
      <c r="E797" t="str">
        <f>""</f>
        <v/>
      </c>
      <c r="F797" t="str">
        <f>""</f>
        <v/>
      </c>
      <c r="H797" t="str">
        <f>"inv# 6972816"</f>
        <v>inv# 6972816</v>
      </c>
    </row>
    <row r="798" spans="1:8" x14ac:dyDescent="0.25">
      <c r="E798" t="str">
        <f>""</f>
        <v/>
      </c>
      <c r="F798" t="str">
        <f>""</f>
        <v/>
      </c>
      <c r="H798" t="str">
        <f>"inv# 1020667"</f>
        <v>inv# 1020667</v>
      </c>
    </row>
    <row r="799" spans="1:8" x14ac:dyDescent="0.25">
      <c r="E799" t="str">
        <f>""</f>
        <v/>
      </c>
      <c r="F799" t="str">
        <f>""</f>
        <v/>
      </c>
      <c r="H799" t="str">
        <f>"inv# 9973665"</f>
        <v>inv# 9973665</v>
      </c>
    </row>
    <row r="800" spans="1:8" x14ac:dyDescent="0.25">
      <c r="E800" t="str">
        <f>""</f>
        <v/>
      </c>
      <c r="F800" t="str">
        <f>""</f>
        <v/>
      </c>
      <c r="H800" t="str">
        <f>"inv# 5023512"</f>
        <v>inv# 5023512</v>
      </c>
    </row>
    <row r="801" spans="1:8" x14ac:dyDescent="0.25">
      <c r="E801" t="str">
        <f>""</f>
        <v/>
      </c>
      <c r="F801" t="str">
        <f>""</f>
        <v/>
      </c>
      <c r="H801" t="str">
        <f>"inv# 5092679"</f>
        <v>inv# 5092679</v>
      </c>
    </row>
    <row r="802" spans="1:8" x14ac:dyDescent="0.25">
      <c r="E802" t="str">
        <f>""</f>
        <v/>
      </c>
      <c r="F802" t="str">
        <f>""</f>
        <v/>
      </c>
      <c r="H802" t="str">
        <f>"inv# 6152635"</f>
        <v>inv# 6152635</v>
      </c>
    </row>
    <row r="803" spans="1:8" x14ac:dyDescent="0.25">
      <c r="E803" t="str">
        <f>""</f>
        <v/>
      </c>
      <c r="F803" t="str">
        <f>""</f>
        <v/>
      </c>
      <c r="H803" t="str">
        <f>"inv# 152659"</f>
        <v>inv# 152659</v>
      </c>
    </row>
    <row r="804" spans="1:8" x14ac:dyDescent="0.25">
      <c r="E804" t="str">
        <f>""</f>
        <v/>
      </c>
      <c r="F804" t="str">
        <f>""</f>
        <v/>
      </c>
      <c r="H804" t="str">
        <f>"inv# 152659"</f>
        <v>inv# 152659</v>
      </c>
    </row>
    <row r="805" spans="1:8" x14ac:dyDescent="0.25">
      <c r="E805" t="str">
        <f>""</f>
        <v/>
      </c>
      <c r="F805" t="str">
        <f>""</f>
        <v/>
      </c>
      <c r="H805" t="str">
        <f>"inv# 9152666"</f>
        <v>inv# 9152666</v>
      </c>
    </row>
    <row r="806" spans="1:8" x14ac:dyDescent="0.25">
      <c r="E806" t="str">
        <f>""</f>
        <v/>
      </c>
      <c r="F806" t="str">
        <f>""</f>
        <v/>
      </c>
      <c r="H806" t="str">
        <f>"inv# 9152667"</f>
        <v>inv# 9152667</v>
      </c>
    </row>
    <row r="807" spans="1:8" x14ac:dyDescent="0.25">
      <c r="E807" t="str">
        <f>""</f>
        <v/>
      </c>
      <c r="F807" t="str">
        <f>""</f>
        <v/>
      </c>
      <c r="H807" t="str">
        <f>"inv# 1093910"</f>
        <v>inv# 1093910</v>
      </c>
    </row>
    <row r="808" spans="1:8" x14ac:dyDescent="0.25">
      <c r="E808" t="str">
        <f>""</f>
        <v/>
      </c>
      <c r="F808" t="str">
        <f>""</f>
        <v/>
      </c>
      <c r="H808" t="str">
        <f>"inv# 20791"</f>
        <v>inv# 20791</v>
      </c>
    </row>
    <row r="809" spans="1:8" x14ac:dyDescent="0.25">
      <c r="E809" t="str">
        <f>""</f>
        <v/>
      </c>
      <c r="F809" t="str">
        <f>""</f>
        <v/>
      </c>
      <c r="H809" t="str">
        <f>"inv# 20835"</f>
        <v>inv# 20835</v>
      </c>
    </row>
    <row r="810" spans="1:8" x14ac:dyDescent="0.25">
      <c r="E810" t="str">
        <f>""</f>
        <v/>
      </c>
      <c r="F810" t="str">
        <f>""</f>
        <v/>
      </c>
      <c r="H810" t="str">
        <f>"inv# 8020939"</f>
        <v>inv# 8020939</v>
      </c>
    </row>
    <row r="811" spans="1:8" x14ac:dyDescent="0.25">
      <c r="A811" t="s">
        <v>200</v>
      </c>
      <c r="B811">
        <v>82152</v>
      </c>
      <c r="C811" s="2">
        <v>320</v>
      </c>
      <c r="D811" s="1">
        <v>43598</v>
      </c>
      <c r="E811" t="str">
        <f>"SL2019-04_00003"</f>
        <v>SL2019-04_00003</v>
      </c>
      <c r="F811" t="str">
        <f>"SHELTERLUV SOFTWARE"</f>
        <v>SHELTERLUV SOFTWARE</v>
      </c>
      <c r="G811" s="2">
        <v>320</v>
      </c>
      <c r="H811" t="str">
        <f>"SHELTERLUV SOFTWARE"</f>
        <v>SHELTERLUV SOFTWARE</v>
      </c>
    </row>
    <row r="812" spans="1:8" x14ac:dyDescent="0.25">
      <c r="A812" t="s">
        <v>201</v>
      </c>
      <c r="B812">
        <v>82042</v>
      </c>
      <c r="C812" s="2">
        <v>123.31</v>
      </c>
      <c r="D812" s="1">
        <v>43586</v>
      </c>
      <c r="E812" t="str">
        <f>"201904308905"</f>
        <v>201904308905</v>
      </c>
      <c r="F812" t="str">
        <f>"ACCT#100402264 / PUC FEES"</f>
        <v>ACCT#100402264 / PUC FEES</v>
      </c>
      <c r="G812" s="2">
        <v>123.31</v>
      </c>
      <c r="H812" t="str">
        <f>"ACCT#100402264 / PUC FEES"</f>
        <v>ACCT#100402264 / PUC FEES</v>
      </c>
    </row>
    <row r="813" spans="1:8" x14ac:dyDescent="0.25">
      <c r="E813" t="str">
        <f>""</f>
        <v/>
      </c>
      <c r="F813" t="str">
        <f>""</f>
        <v/>
      </c>
      <c r="H813" t="str">
        <f>"ACCT#100402264 / PUC FEES"</f>
        <v>ACCT#100402264 / PUC FEES</v>
      </c>
    </row>
    <row r="814" spans="1:8" x14ac:dyDescent="0.25">
      <c r="E814" t="str">
        <f>""</f>
        <v/>
      </c>
      <c r="F814" t="str">
        <f>""</f>
        <v/>
      </c>
      <c r="H814" t="str">
        <f>"ACCT#100402264 / PUC FEES"</f>
        <v>ACCT#100402264 / PUC FEES</v>
      </c>
    </row>
    <row r="815" spans="1:8" x14ac:dyDescent="0.25">
      <c r="A815" t="s">
        <v>201</v>
      </c>
      <c r="B815">
        <v>82046</v>
      </c>
      <c r="C815" s="2">
        <v>1891.15</v>
      </c>
      <c r="D815" s="1">
        <v>43594</v>
      </c>
      <c r="E815" t="str">
        <f>"S1905020001-00046"</f>
        <v>S1905020001-00046</v>
      </c>
      <c r="F815" t="str">
        <f>"ACCT#100402264 / 05022019"</f>
        <v>ACCT#100402264 / 05022019</v>
      </c>
      <c r="G815" s="2">
        <v>1891.15</v>
      </c>
      <c r="H815" t="str">
        <f>"ACCT#100402264 / 05022019"</f>
        <v>ACCT#100402264 / 05022019</v>
      </c>
    </row>
    <row r="816" spans="1:8" x14ac:dyDescent="0.25">
      <c r="E816" t="str">
        <f>""</f>
        <v/>
      </c>
      <c r="F816" t="str">
        <f>""</f>
        <v/>
      </c>
      <c r="H816" t="str">
        <f>"ACCT#100402264 / 05022019"</f>
        <v>ACCT#100402264 / 05022019</v>
      </c>
    </row>
    <row r="817" spans="1:8" x14ac:dyDescent="0.25">
      <c r="E817" t="str">
        <f>""</f>
        <v/>
      </c>
      <c r="F817" t="str">
        <f>""</f>
        <v/>
      </c>
      <c r="H817" t="str">
        <f>"ACCT#100402264 / 05022019"</f>
        <v>ACCT#100402264 / 05022019</v>
      </c>
    </row>
    <row r="818" spans="1:8" x14ac:dyDescent="0.25">
      <c r="A818" t="s">
        <v>202</v>
      </c>
      <c r="B818">
        <v>755</v>
      </c>
      <c r="C818" s="2">
        <v>549.01</v>
      </c>
      <c r="D818" s="1">
        <v>43599</v>
      </c>
      <c r="E818" t="str">
        <f>"200051"</f>
        <v>200051</v>
      </c>
      <c r="F818" t="str">
        <f>"BALCRANK OIL METER/PCT#3"</f>
        <v>BALCRANK OIL METER/PCT#3</v>
      </c>
      <c r="G818" s="2">
        <v>250</v>
      </c>
      <c r="H818" t="str">
        <f>"BALCRANK OIL METER/PCT#3"</f>
        <v>BALCRANK OIL METER/PCT#3</v>
      </c>
    </row>
    <row r="819" spans="1:8" x14ac:dyDescent="0.25">
      <c r="E819" t="str">
        <f>"308"</f>
        <v>308</v>
      </c>
      <c r="F819" t="str">
        <f>"PARTS/PCT#1"</f>
        <v>PARTS/PCT#1</v>
      </c>
      <c r="G819" s="2">
        <v>299.01</v>
      </c>
      <c r="H819" t="str">
        <f>"PARTS/PCT#1"</f>
        <v>PARTS/PCT#1</v>
      </c>
    </row>
    <row r="820" spans="1:8" x14ac:dyDescent="0.25">
      <c r="A820" t="s">
        <v>202</v>
      </c>
      <c r="B820">
        <v>826</v>
      </c>
      <c r="C820" s="2">
        <v>550</v>
      </c>
      <c r="D820" s="1">
        <v>43614</v>
      </c>
      <c r="E820" t="str">
        <f>"200414"</f>
        <v>200414</v>
      </c>
      <c r="F820" t="str">
        <f>"REPACK &amp; TESTED/PCT#3"</f>
        <v>REPACK &amp; TESTED/PCT#3</v>
      </c>
      <c r="G820" s="2">
        <v>550</v>
      </c>
      <c r="H820" t="str">
        <f>"REPACK &amp; TESTED/PCT#3"</f>
        <v>REPACK &amp; TESTED/PCT#3</v>
      </c>
    </row>
    <row r="821" spans="1:8" x14ac:dyDescent="0.25">
      <c r="A821" t="s">
        <v>203</v>
      </c>
      <c r="B821">
        <v>82153</v>
      </c>
      <c r="C821" s="2">
        <v>4080</v>
      </c>
      <c r="D821" s="1">
        <v>43598</v>
      </c>
      <c r="E821" t="str">
        <f>"201905079163"</f>
        <v>201905079163</v>
      </c>
      <c r="F821" t="str">
        <f>"Rhodium Renewal"</f>
        <v>Rhodium Renewal</v>
      </c>
      <c r="G821" s="2">
        <v>4080</v>
      </c>
      <c r="H821" t="str">
        <f>"Rhodium Renewal"</f>
        <v>Rhodium Renewal</v>
      </c>
    </row>
    <row r="822" spans="1:8" x14ac:dyDescent="0.25">
      <c r="E822" t="str">
        <f>""</f>
        <v/>
      </c>
      <c r="F822" t="str">
        <f>""</f>
        <v/>
      </c>
      <c r="H822" t="str">
        <f>"Fiscal Year 18-19"</f>
        <v>Fiscal Year 18-19</v>
      </c>
    </row>
    <row r="823" spans="1:8" x14ac:dyDescent="0.25">
      <c r="A823" t="s">
        <v>204</v>
      </c>
      <c r="B823">
        <v>872</v>
      </c>
      <c r="C823" s="2">
        <v>2430</v>
      </c>
      <c r="D823" s="1">
        <v>43614</v>
      </c>
      <c r="E823" t="str">
        <f>"67753"</f>
        <v>67753</v>
      </c>
      <c r="F823" t="str">
        <f>"PROF SVCS - JUNE 2019"</f>
        <v>PROF SVCS - JUNE 2019</v>
      </c>
      <c r="G823" s="2">
        <v>2430</v>
      </c>
      <c r="H823" t="str">
        <f>"PROF SVCS - JUNE 2019"</f>
        <v>PROF SVCS - JUNE 2019</v>
      </c>
    </row>
    <row r="824" spans="1:8" x14ac:dyDescent="0.25">
      <c r="E824" t="str">
        <f>""</f>
        <v/>
      </c>
      <c r="F824" t="str">
        <f>""</f>
        <v/>
      </c>
      <c r="H824" t="str">
        <f>"PROF SVCS - JUNE 2019"</f>
        <v>PROF SVCS - JUNE 2019</v>
      </c>
    </row>
    <row r="825" spans="1:8" x14ac:dyDescent="0.25">
      <c r="A825" t="s">
        <v>205</v>
      </c>
      <c r="B825">
        <v>82344</v>
      </c>
      <c r="C825" s="2">
        <v>2430</v>
      </c>
      <c r="D825" s="1">
        <v>43613</v>
      </c>
      <c r="E825" t="str">
        <f>"67753"</f>
        <v>67753</v>
      </c>
      <c r="F825" t="str">
        <f>"PROF SVCS-JUNE 2019"</f>
        <v>PROF SVCS-JUNE 2019</v>
      </c>
      <c r="G825" s="2">
        <v>2430</v>
      </c>
    </row>
    <row r="826" spans="1:8" x14ac:dyDescent="0.25">
      <c r="A826" t="s">
        <v>205</v>
      </c>
      <c r="B826">
        <v>82344</v>
      </c>
      <c r="C826" s="2">
        <v>2430</v>
      </c>
      <c r="D826" s="1">
        <v>43613</v>
      </c>
      <c r="E826" t="str">
        <f>"CHECK"</f>
        <v>CHECK</v>
      </c>
      <c r="F826" t="str">
        <f>""</f>
        <v/>
      </c>
      <c r="G826" s="2">
        <v>2430</v>
      </c>
    </row>
    <row r="827" spans="1:8" x14ac:dyDescent="0.25">
      <c r="A827" t="s">
        <v>206</v>
      </c>
      <c r="B827">
        <v>82154</v>
      </c>
      <c r="C827" s="2">
        <v>68.760000000000005</v>
      </c>
      <c r="D827" s="1">
        <v>43598</v>
      </c>
      <c r="E827" t="str">
        <f>"APGJ510"</f>
        <v>APGJ510</v>
      </c>
      <c r="F827" t="str">
        <f>"CUST ID:AX773/COUNTY CLERK"</f>
        <v>CUST ID:AX773/COUNTY CLERK</v>
      </c>
      <c r="G827" s="2">
        <v>68.760000000000005</v>
      </c>
      <c r="H827" t="str">
        <f>"CUST ID:AX773/COUNTY CLERK"</f>
        <v>CUST ID:AX773/COUNTY CLERK</v>
      </c>
    </row>
    <row r="828" spans="1:8" x14ac:dyDescent="0.25">
      <c r="A828" t="s">
        <v>207</v>
      </c>
      <c r="B828">
        <v>767</v>
      </c>
      <c r="C828" s="2">
        <v>95.12</v>
      </c>
      <c r="D828" s="1">
        <v>43599</v>
      </c>
      <c r="E828" t="str">
        <f>"201904248774"</f>
        <v>201904248774</v>
      </c>
      <c r="F828" t="str">
        <f>"MILEAGE REIMBURSMENT"</f>
        <v>MILEAGE REIMBURSMENT</v>
      </c>
      <c r="G828" s="2">
        <v>95.12</v>
      </c>
      <c r="H828" t="str">
        <f>"MILEAGE REIMBURSMENT"</f>
        <v>MILEAGE REIMBURSMENT</v>
      </c>
    </row>
    <row r="829" spans="1:8" x14ac:dyDescent="0.25">
      <c r="A829" t="s">
        <v>208</v>
      </c>
      <c r="B829">
        <v>82155</v>
      </c>
      <c r="C829" s="2">
        <v>145</v>
      </c>
      <c r="D829" s="1">
        <v>43598</v>
      </c>
      <c r="E829" t="str">
        <f>"201904248757"</f>
        <v>201904248757</v>
      </c>
      <c r="F829" t="str">
        <f>"TRAVEL ADVANCE-MEALS"</f>
        <v>TRAVEL ADVANCE-MEALS</v>
      </c>
      <c r="G829" s="2">
        <v>145</v>
      </c>
      <c r="H829" t="str">
        <f>"TRAVEL ADVANCE-MEALS"</f>
        <v>TRAVEL ADVANCE-MEALS</v>
      </c>
    </row>
    <row r="830" spans="1:8" x14ac:dyDescent="0.25">
      <c r="A830" t="s">
        <v>209</v>
      </c>
      <c r="B830">
        <v>82156</v>
      </c>
      <c r="C830" s="2">
        <v>25</v>
      </c>
      <c r="D830" s="1">
        <v>43598</v>
      </c>
      <c r="E830" t="str">
        <f>"201905089229"</f>
        <v>201905089229</v>
      </c>
      <c r="F830" t="str">
        <f>"FERAL HOGS"</f>
        <v>FERAL HOGS</v>
      </c>
      <c r="G830" s="2">
        <v>25</v>
      </c>
      <c r="H830" t="str">
        <f>"FERAL HOGS"</f>
        <v>FERAL HOGS</v>
      </c>
    </row>
    <row r="831" spans="1:8" x14ac:dyDescent="0.25">
      <c r="A831" t="s">
        <v>210</v>
      </c>
      <c r="B831">
        <v>82345</v>
      </c>
      <c r="C831" s="2">
        <v>198.36</v>
      </c>
      <c r="D831" s="1">
        <v>43613</v>
      </c>
      <c r="E831" t="str">
        <f>"201905159294"</f>
        <v>201905159294</v>
      </c>
      <c r="F831" t="str">
        <f>"MILEAGE REIMBURSEMENT"</f>
        <v>MILEAGE REIMBURSEMENT</v>
      </c>
      <c r="G831" s="2">
        <v>198.36</v>
      </c>
      <c r="H831" t="str">
        <f>"MILEAGE REIMBURSEMENT"</f>
        <v>MILEAGE REIMBURSEMENT</v>
      </c>
    </row>
    <row r="832" spans="1:8" x14ac:dyDescent="0.25">
      <c r="A832" t="s">
        <v>211</v>
      </c>
      <c r="B832">
        <v>82157</v>
      </c>
      <c r="C832" s="2">
        <v>875</v>
      </c>
      <c r="D832" s="1">
        <v>43598</v>
      </c>
      <c r="E832" t="str">
        <f>"201905079098"</f>
        <v>201905079098</v>
      </c>
      <c r="F832" t="str">
        <f>"4122083"</f>
        <v>4122083</v>
      </c>
      <c r="G832" s="2">
        <v>250</v>
      </c>
      <c r="H832" t="str">
        <f>"4122083"</f>
        <v>4122083</v>
      </c>
    </row>
    <row r="833" spans="1:8" x14ac:dyDescent="0.25">
      <c r="E833" t="str">
        <f>"201905079099"</f>
        <v>201905079099</v>
      </c>
      <c r="F833" t="str">
        <f>"CH20131220B  CH20131220"</f>
        <v>CH20131220B  CH20131220</v>
      </c>
      <c r="G833" s="2">
        <v>375</v>
      </c>
      <c r="H833" t="str">
        <f>"CH20131220B  CH20131220"</f>
        <v>CH20131220B  CH20131220</v>
      </c>
    </row>
    <row r="834" spans="1:8" x14ac:dyDescent="0.25">
      <c r="E834" t="str">
        <f>"201905079145"</f>
        <v>201905079145</v>
      </c>
      <c r="F834" t="str">
        <f>"J-3176"</f>
        <v>J-3176</v>
      </c>
      <c r="G834" s="2">
        <v>250</v>
      </c>
      <c r="H834" t="str">
        <f>"J-3176"</f>
        <v>J-3176</v>
      </c>
    </row>
    <row r="835" spans="1:8" x14ac:dyDescent="0.25">
      <c r="A835" t="s">
        <v>211</v>
      </c>
      <c r="B835">
        <v>82346</v>
      </c>
      <c r="C835" s="2">
        <v>2500</v>
      </c>
      <c r="D835" s="1">
        <v>43613</v>
      </c>
      <c r="E835" t="str">
        <f>"201905219366"</f>
        <v>201905219366</v>
      </c>
      <c r="F835" t="str">
        <f>"G-303"</f>
        <v>G-303</v>
      </c>
      <c r="G835" s="2">
        <v>1000</v>
      </c>
      <c r="H835" t="str">
        <f>"G-303"</f>
        <v>G-303</v>
      </c>
    </row>
    <row r="836" spans="1:8" x14ac:dyDescent="0.25">
      <c r="E836" t="str">
        <f>"201905219385"</f>
        <v>201905219385</v>
      </c>
      <c r="F836" t="str">
        <f>"G-273"</f>
        <v>G-273</v>
      </c>
      <c r="G836" s="2">
        <v>500</v>
      </c>
      <c r="H836" t="str">
        <f>"G-273"</f>
        <v>G-273</v>
      </c>
    </row>
    <row r="837" spans="1:8" x14ac:dyDescent="0.25">
      <c r="E837" t="str">
        <f>"201905219416"</f>
        <v>201905219416</v>
      </c>
      <c r="F837" t="str">
        <f>"AC20181024"</f>
        <v>AC20181024</v>
      </c>
      <c r="G837" s="2">
        <v>250</v>
      </c>
      <c r="H837" t="str">
        <f>"AC20181024"</f>
        <v>AC20181024</v>
      </c>
    </row>
    <row r="838" spans="1:8" x14ac:dyDescent="0.25">
      <c r="E838" t="str">
        <f>"201905219417"</f>
        <v>201905219417</v>
      </c>
      <c r="F838" t="str">
        <f>"411073.4"</f>
        <v>411073.4</v>
      </c>
      <c r="G838" s="2">
        <v>250</v>
      </c>
      <c r="H838" t="str">
        <f>"411073.4"</f>
        <v>411073.4</v>
      </c>
    </row>
    <row r="839" spans="1:8" x14ac:dyDescent="0.25">
      <c r="E839" t="str">
        <f>"201905219418"</f>
        <v>201905219418</v>
      </c>
      <c r="F839" t="str">
        <f>"402069.10"</f>
        <v>402069.10</v>
      </c>
      <c r="G839" s="2">
        <v>250</v>
      </c>
      <c r="H839" t="str">
        <f>"402069.10"</f>
        <v>402069.10</v>
      </c>
    </row>
    <row r="840" spans="1:8" x14ac:dyDescent="0.25">
      <c r="E840" t="str">
        <f>"201905219419"</f>
        <v>201905219419</v>
      </c>
      <c r="F840" t="str">
        <f>"0203314"</f>
        <v>0203314</v>
      </c>
      <c r="G840" s="2">
        <v>250</v>
      </c>
      <c r="H840" t="str">
        <f>"0203314"</f>
        <v>0203314</v>
      </c>
    </row>
    <row r="841" spans="1:8" x14ac:dyDescent="0.25">
      <c r="A841" t="s">
        <v>212</v>
      </c>
      <c r="B841">
        <v>82158</v>
      </c>
      <c r="C841" s="2">
        <v>127.08</v>
      </c>
      <c r="D841" s="1">
        <v>43598</v>
      </c>
      <c r="E841" t="str">
        <f>"201905089210"</f>
        <v>201905089210</v>
      </c>
      <c r="F841" t="str">
        <f>"REIMBURSE-MEDICINE COST"</f>
        <v>REIMBURSE-MEDICINE COST</v>
      </c>
      <c r="G841" s="2">
        <v>73.7</v>
      </c>
      <c r="H841" t="str">
        <f>"REIMBURSE-MEDICINE COST"</f>
        <v>REIMBURSE-MEDICINE COST</v>
      </c>
    </row>
    <row r="842" spans="1:8" x14ac:dyDescent="0.25">
      <c r="E842" t="str">
        <f>"201905089211"</f>
        <v>201905089211</v>
      </c>
      <c r="F842" t="str">
        <f>"REIMBURSE-SUPPLIES"</f>
        <v>REIMBURSE-SUPPLIES</v>
      </c>
      <c r="G842" s="2">
        <v>53.38</v>
      </c>
      <c r="H842" t="str">
        <f>"REIMBURSE-SUPPLIES"</f>
        <v>REIMBURSE-SUPPLIES</v>
      </c>
    </row>
    <row r="843" spans="1:8" x14ac:dyDescent="0.25">
      <c r="A843" t="s">
        <v>212</v>
      </c>
      <c r="B843">
        <v>82347</v>
      </c>
      <c r="C843" s="2">
        <v>75</v>
      </c>
      <c r="D843" s="1">
        <v>43613</v>
      </c>
      <c r="E843" t="str">
        <f>"201905229472"</f>
        <v>201905229472</v>
      </c>
      <c r="F843" t="str">
        <f>"REIMBURSE PER DIEM"</f>
        <v>REIMBURSE PER DIEM</v>
      </c>
      <c r="G843" s="2">
        <v>75</v>
      </c>
      <c r="H843" t="str">
        <f>"REIMBURSE PER DIEM"</f>
        <v>REIMBURSE PER DIEM</v>
      </c>
    </row>
    <row r="844" spans="1:8" x14ac:dyDescent="0.25">
      <c r="A844" t="s">
        <v>213</v>
      </c>
      <c r="B844">
        <v>82159</v>
      </c>
      <c r="C844" s="2">
        <v>454.28</v>
      </c>
      <c r="D844" s="1">
        <v>43598</v>
      </c>
      <c r="E844" t="str">
        <f>"201904248749"</f>
        <v>201904248749</v>
      </c>
      <c r="F844" t="str">
        <f>"16 635"</f>
        <v>16 635</v>
      </c>
      <c r="G844" s="2">
        <v>454.28</v>
      </c>
      <c r="H844" t="str">
        <f>"16 635"</f>
        <v>16 635</v>
      </c>
    </row>
    <row r="845" spans="1:8" x14ac:dyDescent="0.25">
      <c r="A845" t="s">
        <v>214</v>
      </c>
      <c r="B845">
        <v>82160</v>
      </c>
      <c r="C845" s="2">
        <v>265</v>
      </c>
      <c r="D845" s="1">
        <v>43598</v>
      </c>
      <c r="E845" t="str">
        <f>"201905089230"</f>
        <v>201905089230</v>
      </c>
      <c r="F845" t="str">
        <f>"FERAL HOGS"</f>
        <v>FERAL HOGS</v>
      </c>
      <c r="G845" s="2">
        <v>265</v>
      </c>
      <c r="H845" t="str">
        <f>"FERAL HOGS"</f>
        <v>FERAL HOGS</v>
      </c>
    </row>
    <row r="846" spans="1:8" x14ac:dyDescent="0.25">
      <c r="A846" t="s">
        <v>215</v>
      </c>
      <c r="B846">
        <v>806</v>
      </c>
      <c r="C846" s="2">
        <v>1500</v>
      </c>
      <c r="D846" s="1">
        <v>43599</v>
      </c>
      <c r="E846" t="str">
        <f>"10383"</f>
        <v>10383</v>
      </c>
      <c r="F846" t="str">
        <f>"AD LITEM FEE"</f>
        <v>AD LITEM FEE</v>
      </c>
      <c r="G846" s="2">
        <v>50</v>
      </c>
      <c r="H846" t="str">
        <f>"AD LITEM FEE"</f>
        <v>AD LITEM FEE</v>
      </c>
    </row>
    <row r="847" spans="1:8" x14ac:dyDescent="0.25">
      <c r="E847" t="str">
        <f>"12533"</f>
        <v>12533</v>
      </c>
      <c r="F847" t="str">
        <f>"AD LITEM FEE"</f>
        <v>AD LITEM FEE</v>
      </c>
      <c r="G847" s="2">
        <v>150</v>
      </c>
      <c r="H847" t="str">
        <f>"AD LITEM FEE"</f>
        <v>AD LITEM FEE</v>
      </c>
    </row>
    <row r="848" spans="1:8" x14ac:dyDescent="0.25">
      <c r="E848" t="str">
        <f>"12723"</f>
        <v>12723</v>
      </c>
      <c r="F848" t="str">
        <f>"AD LITEM FEE  03/01/19"</f>
        <v>AD LITEM FEE  03/01/19</v>
      </c>
      <c r="G848" s="2">
        <v>150</v>
      </c>
      <c r="H848" t="str">
        <f>"AD LITEM FEE  03/01/19"</f>
        <v>AD LITEM FEE  03/01/19</v>
      </c>
    </row>
    <row r="849" spans="1:8" x14ac:dyDescent="0.25">
      <c r="E849" t="str">
        <f>"12844"</f>
        <v>12844</v>
      </c>
      <c r="F849" t="str">
        <f>"AD LITEM FEE  02/26/19"</f>
        <v>AD LITEM FEE  02/26/19</v>
      </c>
      <c r="G849" s="2">
        <v>150</v>
      </c>
      <c r="H849" t="str">
        <f>"AD LITEM FEE  02/26/19"</f>
        <v>AD LITEM FEE  02/26/19</v>
      </c>
    </row>
    <row r="850" spans="1:8" x14ac:dyDescent="0.25">
      <c r="E850" t="str">
        <f>"201904248803"</f>
        <v>201904248803</v>
      </c>
      <c r="F850" t="str">
        <f>"19-19465"</f>
        <v>19-19465</v>
      </c>
      <c r="G850" s="2">
        <v>100</v>
      </c>
      <c r="H850" t="str">
        <f>"19-19465"</f>
        <v>19-19465</v>
      </c>
    </row>
    <row r="851" spans="1:8" x14ac:dyDescent="0.25">
      <c r="E851" t="str">
        <f>"201904248804"</f>
        <v>201904248804</v>
      </c>
      <c r="F851" t="str">
        <f>"18-19156"</f>
        <v>18-19156</v>
      </c>
      <c r="G851" s="2">
        <v>100</v>
      </c>
      <c r="H851" t="str">
        <f>"18-19156"</f>
        <v>18-19156</v>
      </c>
    </row>
    <row r="852" spans="1:8" x14ac:dyDescent="0.25">
      <c r="E852" t="str">
        <f>"201904248805"</f>
        <v>201904248805</v>
      </c>
      <c r="F852" t="str">
        <f>"18-19411"</f>
        <v>18-19411</v>
      </c>
      <c r="G852" s="2">
        <v>100</v>
      </c>
      <c r="H852" t="str">
        <f>"18-19411"</f>
        <v>18-19411</v>
      </c>
    </row>
    <row r="853" spans="1:8" x14ac:dyDescent="0.25">
      <c r="E853" t="str">
        <f>"201904248806"</f>
        <v>201904248806</v>
      </c>
      <c r="F853" t="str">
        <f>"19-19572"</f>
        <v>19-19572</v>
      </c>
      <c r="G853" s="2">
        <v>100</v>
      </c>
      <c r="H853" t="str">
        <f>"19-19572"</f>
        <v>19-19572</v>
      </c>
    </row>
    <row r="854" spans="1:8" x14ac:dyDescent="0.25">
      <c r="E854" t="str">
        <f>"201904248827"</f>
        <v>201904248827</v>
      </c>
      <c r="F854" t="str">
        <f>"55 760"</f>
        <v>55 760</v>
      </c>
      <c r="G854" s="2">
        <v>250</v>
      </c>
      <c r="H854" t="str">
        <f>"55 760"</f>
        <v>55 760</v>
      </c>
    </row>
    <row r="855" spans="1:8" x14ac:dyDescent="0.25">
      <c r="E855" t="str">
        <f>"201905079067"</f>
        <v>201905079067</v>
      </c>
      <c r="F855" t="str">
        <f>"18-19411"</f>
        <v>18-19411</v>
      </c>
      <c r="G855" s="2">
        <v>100</v>
      </c>
      <c r="H855" t="str">
        <f>"18-19411"</f>
        <v>18-19411</v>
      </c>
    </row>
    <row r="856" spans="1:8" x14ac:dyDescent="0.25">
      <c r="E856" t="str">
        <f>"201905079083"</f>
        <v>201905079083</v>
      </c>
      <c r="F856" t="str">
        <f>"55 665"</f>
        <v>55 665</v>
      </c>
      <c r="G856" s="2">
        <v>250</v>
      </c>
      <c r="H856" t="str">
        <f>"55 665"</f>
        <v>55 665</v>
      </c>
    </row>
    <row r="857" spans="1:8" x14ac:dyDescent="0.25">
      <c r="A857" t="s">
        <v>215</v>
      </c>
      <c r="B857">
        <v>865</v>
      </c>
      <c r="C857" s="2">
        <v>1200</v>
      </c>
      <c r="D857" s="1">
        <v>43614</v>
      </c>
      <c r="E857" t="str">
        <f>"201905219391"</f>
        <v>201905219391</v>
      </c>
      <c r="F857" t="str">
        <f>"56 748"</f>
        <v>56 748</v>
      </c>
      <c r="G857" s="2">
        <v>250</v>
      </c>
      <c r="H857" t="str">
        <f>"56 748"</f>
        <v>56 748</v>
      </c>
    </row>
    <row r="858" spans="1:8" x14ac:dyDescent="0.25">
      <c r="E858" t="str">
        <f>"201905219392"</f>
        <v>201905219392</v>
      </c>
      <c r="F858" t="str">
        <f>"37 281"</f>
        <v>37 281</v>
      </c>
      <c r="G858" s="2">
        <v>250</v>
      </c>
      <c r="H858" t="str">
        <f>"37 281"</f>
        <v>37 281</v>
      </c>
    </row>
    <row r="859" spans="1:8" x14ac:dyDescent="0.25">
      <c r="E859" t="str">
        <f>"201905219413"</f>
        <v>201905219413</v>
      </c>
      <c r="F859" t="str">
        <f>"402069.12 TRN925-351-8960-1900"</f>
        <v>402069.12 TRN925-351-8960-1900</v>
      </c>
      <c r="G859" s="2">
        <v>250</v>
      </c>
      <c r="H859" t="str">
        <f>"402069.12 TRN925-351-8960-1900"</f>
        <v>402069.12 TRN925-351-8960-1900</v>
      </c>
    </row>
    <row r="860" spans="1:8" x14ac:dyDescent="0.25">
      <c r="E860" t="str">
        <f>"201905219414"</f>
        <v>201905219414</v>
      </c>
      <c r="F860" t="str">
        <f>"20170413 TRN9253469552A001"</f>
        <v>20170413 TRN9253469552A001</v>
      </c>
      <c r="G860" s="2">
        <v>250</v>
      </c>
      <c r="H860" t="str">
        <f>"20170413 TRN9253469552A001"</f>
        <v>20170413 TRN9253469552A001</v>
      </c>
    </row>
    <row r="861" spans="1:8" x14ac:dyDescent="0.25">
      <c r="E861" t="str">
        <f>"201905219434"</f>
        <v>201905219434</v>
      </c>
      <c r="F861" t="str">
        <f>"18-19016"</f>
        <v>18-19016</v>
      </c>
      <c r="G861" s="2">
        <v>100</v>
      </c>
      <c r="H861" t="str">
        <f>"18-19016"</f>
        <v>18-19016</v>
      </c>
    </row>
    <row r="862" spans="1:8" x14ac:dyDescent="0.25">
      <c r="E862" t="str">
        <f>"201905219435"</f>
        <v>201905219435</v>
      </c>
      <c r="F862" t="str">
        <f>"18-19240"</f>
        <v>18-19240</v>
      </c>
      <c r="G862" s="2">
        <v>100</v>
      </c>
      <c r="H862" t="str">
        <f>"18-19240"</f>
        <v>18-19240</v>
      </c>
    </row>
    <row r="863" spans="1:8" x14ac:dyDescent="0.25">
      <c r="A863" t="s">
        <v>216</v>
      </c>
      <c r="B863">
        <v>82348</v>
      </c>
      <c r="C863" s="2">
        <v>18763</v>
      </c>
      <c r="D863" s="1">
        <v>43613</v>
      </c>
      <c r="E863" t="str">
        <f>"1103"</f>
        <v>1103</v>
      </c>
      <c r="F863" t="str">
        <f>"INV 1103"</f>
        <v>INV 1103</v>
      </c>
      <c r="G863" s="2">
        <v>18040</v>
      </c>
      <c r="H863" t="str">
        <f>"INV 1103"</f>
        <v>INV 1103</v>
      </c>
    </row>
    <row r="864" spans="1:8" x14ac:dyDescent="0.25">
      <c r="E864" t="str">
        <f>"1117"</f>
        <v>1117</v>
      </c>
      <c r="F864" t="str">
        <f>"INV 1117 / TRAILER"</f>
        <v>INV 1117 / TRAILER</v>
      </c>
      <c r="G864" s="2">
        <v>173</v>
      </c>
      <c r="H864" t="str">
        <f>"INV 1117 / TRAILER"</f>
        <v>INV 1117 / TRAILER</v>
      </c>
    </row>
    <row r="865" spans="1:8" x14ac:dyDescent="0.25">
      <c r="E865" t="str">
        <f>"1127"</f>
        <v>1127</v>
      </c>
      <c r="F865" t="str">
        <f>"INV 1127 / UNIT 1673"</f>
        <v>INV 1127 / UNIT 1673</v>
      </c>
      <c r="G865" s="2">
        <v>550</v>
      </c>
      <c r="H865" t="str">
        <f>"INV 1127"</f>
        <v>INV 1127</v>
      </c>
    </row>
    <row r="866" spans="1:8" x14ac:dyDescent="0.25">
      <c r="A866" t="s">
        <v>217</v>
      </c>
      <c r="B866">
        <v>82349</v>
      </c>
      <c r="C866" s="2">
        <v>941.12</v>
      </c>
      <c r="D866" s="1">
        <v>43613</v>
      </c>
      <c r="E866" t="str">
        <f>"453971"</f>
        <v>453971</v>
      </c>
      <c r="F866" t="str">
        <f>"Filter Order"</f>
        <v>Filter Order</v>
      </c>
      <c r="G866" s="2">
        <v>941.12</v>
      </c>
      <c r="H866" t="str">
        <f>"Order"</f>
        <v>Order</v>
      </c>
    </row>
    <row r="867" spans="1:8" x14ac:dyDescent="0.25">
      <c r="A867" t="s">
        <v>218</v>
      </c>
      <c r="B867">
        <v>82161</v>
      </c>
      <c r="C867" s="2">
        <v>283.14999999999998</v>
      </c>
      <c r="D867" s="1">
        <v>43598</v>
      </c>
      <c r="E867" t="str">
        <f>"201905069044"</f>
        <v>201905069044</v>
      </c>
      <c r="F867" t="str">
        <f>"CUTTING ED/BOLT/PCT#2"</f>
        <v>CUTTING ED/BOLT/PCT#2</v>
      </c>
      <c r="G867" s="2">
        <v>283.14999999999998</v>
      </c>
      <c r="H867" t="str">
        <f>"CUTTING ED/BOLT/PCT#2"</f>
        <v>CUTTING ED/BOLT/PCT#2</v>
      </c>
    </row>
    <row r="868" spans="1:8" x14ac:dyDescent="0.25">
      <c r="A868" t="s">
        <v>219</v>
      </c>
      <c r="B868">
        <v>82162</v>
      </c>
      <c r="C868" s="2">
        <v>250</v>
      </c>
      <c r="D868" s="1">
        <v>43598</v>
      </c>
      <c r="E868" t="str">
        <f>"201905079148"</f>
        <v>201905079148</v>
      </c>
      <c r="F868" t="str">
        <f>"J-3177"</f>
        <v>J-3177</v>
      </c>
      <c r="G868" s="2">
        <v>250</v>
      </c>
      <c r="H868" t="str">
        <f>"J-3177"</f>
        <v>J-3177</v>
      </c>
    </row>
    <row r="869" spans="1:8" x14ac:dyDescent="0.25">
      <c r="A869" t="s">
        <v>220</v>
      </c>
      <c r="B869">
        <v>82163</v>
      </c>
      <c r="C869" s="2">
        <v>160</v>
      </c>
      <c r="D869" s="1">
        <v>43598</v>
      </c>
      <c r="E869" t="str">
        <f>"201905018925"</f>
        <v>201905018925</v>
      </c>
      <c r="F869" t="str">
        <f>"REIMBURSEMENT-PER DIEM"</f>
        <v>REIMBURSEMENT-PER DIEM</v>
      </c>
      <c r="G869" s="2">
        <v>160</v>
      </c>
      <c r="H869" t="str">
        <f>"REIMBURSEMENT-PER DIEM"</f>
        <v>REIMBURSEMENT-PER DIEM</v>
      </c>
    </row>
    <row r="870" spans="1:8" x14ac:dyDescent="0.25">
      <c r="A870" t="s">
        <v>221</v>
      </c>
      <c r="B870">
        <v>745</v>
      </c>
      <c r="C870" s="2">
        <v>400</v>
      </c>
      <c r="D870" s="1">
        <v>43599</v>
      </c>
      <c r="E870" t="str">
        <f>"1902"</f>
        <v>1902</v>
      </c>
      <c r="F870" t="str">
        <f>"MOWING MAINTENANCE/OEM"</f>
        <v>MOWING MAINTENANCE/OEM</v>
      </c>
      <c r="G870" s="2">
        <v>400</v>
      </c>
      <c r="H870" t="str">
        <f>"MOWING MAINTENANCE/OEM"</f>
        <v>MOWING MAINTENANCE/OEM</v>
      </c>
    </row>
    <row r="871" spans="1:8" x14ac:dyDescent="0.25">
      <c r="A871" t="s">
        <v>221</v>
      </c>
      <c r="B871">
        <v>817</v>
      </c>
      <c r="C871" s="2">
        <v>400</v>
      </c>
      <c r="D871" s="1">
        <v>43614</v>
      </c>
      <c r="E871" t="str">
        <f>"1901"</f>
        <v>1901</v>
      </c>
      <c r="F871" t="str">
        <f>"MOWING MAINTENANCE"</f>
        <v>MOWING MAINTENANCE</v>
      </c>
      <c r="G871" s="2">
        <v>400</v>
      </c>
      <c r="H871" t="str">
        <f>"MOWING MAINTENANCE"</f>
        <v>MOWING MAINTENANCE</v>
      </c>
    </row>
    <row r="872" spans="1:8" x14ac:dyDescent="0.25">
      <c r="A872" t="s">
        <v>222</v>
      </c>
      <c r="B872">
        <v>82350</v>
      </c>
      <c r="C872" s="2">
        <v>265</v>
      </c>
      <c r="D872" s="1">
        <v>43613</v>
      </c>
      <c r="E872" t="str">
        <f>"201905219462"</f>
        <v>201905219462</v>
      </c>
      <c r="F872" t="str">
        <f>"TOW TO BCSO IMPOUND"</f>
        <v>TOW TO BCSO IMPOUND</v>
      </c>
      <c r="G872" s="2">
        <v>265</v>
      </c>
      <c r="H872" t="str">
        <f>"TOW TO BCSO IMPOUND"</f>
        <v>TOW TO BCSO IMPOUND</v>
      </c>
    </row>
    <row r="873" spans="1:8" x14ac:dyDescent="0.25">
      <c r="A873" t="s">
        <v>223</v>
      </c>
      <c r="B873">
        <v>799</v>
      </c>
      <c r="C873" s="2">
        <v>1925</v>
      </c>
      <c r="D873" s="1">
        <v>43599</v>
      </c>
      <c r="E873" t="str">
        <f>"201904248810"</f>
        <v>201904248810</v>
      </c>
      <c r="F873" t="str">
        <f>"19-19585"</f>
        <v>19-19585</v>
      </c>
      <c r="G873" s="2">
        <v>100</v>
      </c>
      <c r="H873" t="str">
        <f>"19-19585"</f>
        <v>19-19585</v>
      </c>
    </row>
    <row r="874" spans="1:8" x14ac:dyDescent="0.25">
      <c r="E874" t="str">
        <f>"201904248825"</f>
        <v>201904248825</v>
      </c>
      <c r="F874" t="str">
        <f>"1960055"</f>
        <v>1960055</v>
      </c>
      <c r="G874" s="2">
        <v>100</v>
      </c>
      <c r="H874" t="str">
        <f>"1960055"</f>
        <v>1960055</v>
      </c>
    </row>
    <row r="875" spans="1:8" x14ac:dyDescent="0.25">
      <c r="E875" t="str">
        <f>"201904248826"</f>
        <v>201904248826</v>
      </c>
      <c r="F875" t="str">
        <f>"56362  56363"</f>
        <v>56362  56363</v>
      </c>
      <c r="G875" s="2">
        <v>375</v>
      </c>
      <c r="H875" t="str">
        <f>"56362  56363"</f>
        <v>56362  56363</v>
      </c>
    </row>
    <row r="876" spans="1:8" x14ac:dyDescent="0.25">
      <c r="E876" t="str">
        <f>"201904248853"</f>
        <v>201904248853</v>
      </c>
      <c r="F876" t="str">
        <f>"405136-3M"</f>
        <v>405136-3M</v>
      </c>
      <c r="G876" s="2">
        <v>250</v>
      </c>
      <c r="H876" t="str">
        <f>"405136-3M"</f>
        <v>405136-3M</v>
      </c>
    </row>
    <row r="877" spans="1:8" x14ac:dyDescent="0.25">
      <c r="E877" t="str">
        <f>"201904248854"</f>
        <v>201904248854</v>
      </c>
      <c r="F877" t="str">
        <f>"AC-2017-0515A"</f>
        <v>AC-2017-0515A</v>
      </c>
      <c r="G877" s="2">
        <v>250</v>
      </c>
      <c r="H877" t="str">
        <f>"AC-2017-0515A"</f>
        <v>AC-2017-0515A</v>
      </c>
    </row>
    <row r="878" spans="1:8" x14ac:dyDescent="0.25">
      <c r="E878" t="str">
        <f>"201904248855"</f>
        <v>201904248855</v>
      </c>
      <c r="F878" t="str">
        <f>"1JP33017D"</f>
        <v>1JP33017D</v>
      </c>
      <c r="G878" s="2">
        <v>250</v>
      </c>
      <c r="H878" t="str">
        <f>"1JP33017D"</f>
        <v>1JP33017D</v>
      </c>
    </row>
    <row r="879" spans="1:8" x14ac:dyDescent="0.25">
      <c r="E879" t="str">
        <f>"201904268872"</f>
        <v>201904268872</v>
      </c>
      <c r="F879" t="str">
        <f>"1123-21"</f>
        <v>1123-21</v>
      </c>
      <c r="G879" s="2">
        <v>100</v>
      </c>
      <c r="H879" t="str">
        <f>"1123-21"</f>
        <v>1123-21</v>
      </c>
    </row>
    <row r="880" spans="1:8" x14ac:dyDescent="0.25">
      <c r="E880" t="str">
        <f>"201904268873"</f>
        <v>201904268873</v>
      </c>
      <c r="F880" t="str">
        <f>"312242017B"</f>
        <v>312242017B</v>
      </c>
      <c r="G880" s="2">
        <v>400</v>
      </c>
      <c r="H880" t="str">
        <f>"312242017B"</f>
        <v>312242017B</v>
      </c>
    </row>
    <row r="881" spans="1:9" x14ac:dyDescent="0.25">
      <c r="E881" t="str">
        <f>"201905079131"</f>
        <v>201905079131</v>
      </c>
      <c r="F881" t="str">
        <f>"19-19598"</f>
        <v>19-19598</v>
      </c>
      <c r="G881" s="2">
        <v>100</v>
      </c>
      <c r="H881" t="str">
        <f>"19-19598"</f>
        <v>19-19598</v>
      </c>
    </row>
    <row r="882" spans="1:9" x14ac:dyDescent="0.25">
      <c r="A882" t="s">
        <v>223</v>
      </c>
      <c r="B882">
        <v>860</v>
      </c>
      <c r="C882" s="2">
        <v>1300</v>
      </c>
      <c r="D882" s="1">
        <v>43614</v>
      </c>
      <c r="E882" t="str">
        <f>"201905159289"</f>
        <v>201905159289</v>
      </c>
      <c r="F882" t="str">
        <f>"423-6492"</f>
        <v>423-6492</v>
      </c>
      <c r="G882" s="2">
        <v>100</v>
      </c>
      <c r="H882" t="str">
        <f>"423-6492"</f>
        <v>423-6492</v>
      </c>
    </row>
    <row r="883" spans="1:9" x14ac:dyDescent="0.25">
      <c r="E883" t="str">
        <f>"201905169316"</f>
        <v>201905169316</v>
      </c>
      <c r="F883" t="str">
        <f>"16730"</f>
        <v>16730</v>
      </c>
      <c r="G883" s="2">
        <v>400</v>
      </c>
      <c r="H883" t="str">
        <f>"16730"</f>
        <v>16730</v>
      </c>
    </row>
    <row r="884" spans="1:9" x14ac:dyDescent="0.25">
      <c r="E884" t="str">
        <f>"201905219450"</f>
        <v>201905219450</v>
      </c>
      <c r="F884" t="str">
        <f>"16779"</f>
        <v>16779</v>
      </c>
      <c r="G884" s="2">
        <v>400</v>
      </c>
      <c r="H884" t="str">
        <f>"16779"</f>
        <v>16779</v>
      </c>
    </row>
    <row r="885" spans="1:9" x14ac:dyDescent="0.25">
      <c r="E885" t="str">
        <f>"201905219451"</f>
        <v>201905219451</v>
      </c>
      <c r="F885" t="str">
        <f>"16748"</f>
        <v>16748</v>
      </c>
      <c r="G885" s="2">
        <v>400</v>
      </c>
      <c r="H885" t="str">
        <f>"16748"</f>
        <v>16748</v>
      </c>
    </row>
    <row r="886" spans="1:9" x14ac:dyDescent="0.25">
      <c r="A886" t="s">
        <v>224</v>
      </c>
      <c r="B886">
        <v>82351</v>
      </c>
      <c r="C886" s="2">
        <v>540</v>
      </c>
      <c r="D886" s="1">
        <v>43613</v>
      </c>
      <c r="E886" t="str">
        <f>"R1905-12"</f>
        <v>R1905-12</v>
      </c>
      <c r="F886" t="str">
        <f>"INV R1905-12"</f>
        <v>INV R1905-12</v>
      </c>
      <c r="G886" s="2">
        <v>540</v>
      </c>
      <c r="H886" t="str">
        <f>"INV R1905-12"</f>
        <v>INV R1905-12</v>
      </c>
    </row>
    <row r="887" spans="1:9" x14ac:dyDescent="0.25">
      <c r="A887" t="s">
        <v>225</v>
      </c>
      <c r="B887">
        <v>82352</v>
      </c>
      <c r="C887" s="2">
        <v>505</v>
      </c>
      <c r="D887" s="1">
        <v>43613</v>
      </c>
      <c r="E887" t="str">
        <f>"201905209341"</f>
        <v>201905209341</v>
      </c>
      <c r="F887" t="str">
        <f>"18-19013"</f>
        <v>18-19013</v>
      </c>
      <c r="G887" s="2">
        <v>60</v>
      </c>
      <c r="H887" t="str">
        <f>"18-19013"</f>
        <v>18-19013</v>
      </c>
    </row>
    <row r="888" spans="1:9" x14ac:dyDescent="0.25">
      <c r="E888" t="str">
        <f>"201905209342"</f>
        <v>201905209342</v>
      </c>
      <c r="F888" t="str">
        <f>"423-2327"</f>
        <v>423-2327</v>
      </c>
      <c r="G888" s="2">
        <v>445</v>
      </c>
      <c r="H888" t="str">
        <f>"423-2327"</f>
        <v>423-2327</v>
      </c>
    </row>
    <row r="889" spans="1:9" x14ac:dyDescent="0.25">
      <c r="A889" t="s">
        <v>226</v>
      </c>
      <c r="B889">
        <v>82353</v>
      </c>
      <c r="C889" s="2">
        <v>45</v>
      </c>
      <c r="D889" s="1">
        <v>43613</v>
      </c>
      <c r="E889" t="str">
        <f>"201905219461"</f>
        <v>201905219461</v>
      </c>
      <c r="F889" t="str">
        <f>"PER DIEM"</f>
        <v>PER DIEM</v>
      </c>
      <c r="G889" s="2">
        <v>45</v>
      </c>
      <c r="H889" t="str">
        <f>"PER DIEM"</f>
        <v>PER DIEM</v>
      </c>
    </row>
    <row r="890" spans="1:9" x14ac:dyDescent="0.25">
      <c r="A890" t="s">
        <v>227</v>
      </c>
      <c r="B890">
        <v>82354</v>
      </c>
      <c r="C890" s="2">
        <v>360</v>
      </c>
      <c r="D890" s="1">
        <v>43613</v>
      </c>
      <c r="E890" t="str">
        <f>"228898"</f>
        <v>228898</v>
      </c>
      <c r="F890" t="str">
        <f>"TRASH PICK UP/PCT#1"</f>
        <v>TRASH PICK UP/PCT#1</v>
      </c>
      <c r="G890" s="2">
        <v>360</v>
      </c>
      <c r="H890" t="str">
        <f>"TRASH PICK UP/PCT#1"</f>
        <v>TRASH PICK UP/PCT#1</v>
      </c>
    </row>
    <row r="891" spans="1:9" x14ac:dyDescent="0.25">
      <c r="A891" t="s">
        <v>228</v>
      </c>
      <c r="B891">
        <v>82164</v>
      </c>
      <c r="C891" s="2">
        <v>25</v>
      </c>
      <c r="D891" s="1">
        <v>43598</v>
      </c>
      <c r="E891" t="s">
        <v>229</v>
      </c>
      <c r="F891" t="s">
        <v>230</v>
      </c>
      <c r="G891" s="2" t="str">
        <f>"RESTITUTION-COY FERRIS"</f>
        <v>RESTITUTION-COY FERRIS</v>
      </c>
      <c r="H891" t="str">
        <f>"210-0000"</f>
        <v>210-0000</v>
      </c>
      <c r="I891" t="str">
        <f>""</f>
        <v/>
      </c>
    </row>
    <row r="892" spans="1:9" x14ac:dyDescent="0.25">
      <c r="A892" t="s">
        <v>231</v>
      </c>
      <c r="B892">
        <v>82165</v>
      </c>
      <c r="C892" s="2">
        <v>330</v>
      </c>
      <c r="D892" s="1">
        <v>43598</v>
      </c>
      <c r="E892" t="str">
        <f>"228895"</f>
        <v>228895</v>
      </c>
      <c r="F892" t="str">
        <f>"TRASH REMOVAL/PCT#1"</f>
        <v>TRASH REMOVAL/PCT#1</v>
      </c>
      <c r="G892" s="2">
        <v>330</v>
      </c>
      <c r="H892" t="str">
        <f>"TRASH REMOVAL/PCT#1"</f>
        <v>TRASH REMOVAL/PCT#1</v>
      </c>
    </row>
    <row r="893" spans="1:9" x14ac:dyDescent="0.25">
      <c r="A893" t="s">
        <v>232</v>
      </c>
      <c r="B893">
        <v>786</v>
      </c>
      <c r="C893" s="2">
        <v>2617</v>
      </c>
      <c r="D893" s="1">
        <v>43599</v>
      </c>
      <c r="E893" t="str">
        <f>"187"</f>
        <v>187</v>
      </c>
      <c r="F893" t="str">
        <f>"TOWER RENT-MAY"</f>
        <v>TOWER RENT-MAY</v>
      </c>
      <c r="G893" s="2">
        <v>2617</v>
      </c>
      <c r="H893" t="str">
        <f>"TOWER RENT-MAY"</f>
        <v>TOWER RENT-MAY</v>
      </c>
    </row>
    <row r="894" spans="1:9" x14ac:dyDescent="0.25">
      <c r="A894" t="s">
        <v>233</v>
      </c>
      <c r="B894">
        <v>82166</v>
      </c>
      <c r="C894" s="2">
        <v>240</v>
      </c>
      <c r="D894" s="1">
        <v>43598</v>
      </c>
      <c r="E894" t="str">
        <f>"1196"</f>
        <v>1196</v>
      </c>
      <c r="F894" t="str">
        <f>"PORTABLE TOILET/HANDICAP"</f>
        <v>PORTABLE TOILET/HANDICAP</v>
      </c>
      <c r="G894" s="2">
        <v>240</v>
      </c>
      <c r="H894" t="str">
        <f>"PORTABLE TOILET/HANDICAP"</f>
        <v>PORTABLE TOILET/HANDICAP</v>
      </c>
    </row>
    <row r="895" spans="1:9" x14ac:dyDescent="0.25">
      <c r="A895" t="s">
        <v>234</v>
      </c>
      <c r="B895">
        <v>760</v>
      </c>
      <c r="C895" s="2">
        <v>420</v>
      </c>
      <c r="D895" s="1">
        <v>43599</v>
      </c>
      <c r="E895" t="str">
        <f>"270412"</f>
        <v>270412</v>
      </c>
      <c r="F895" t="str">
        <f>"ORD#1269-9983/FIRE MONITORING"</f>
        <v>ORD#1269-9983/FIRE MONITORING</v>
      </c>
      <c r="G895" s="2">
        <v>420</v>
      </c>
      <c r="H895" t="str">
        <f>"ORD#1269-9983/FIRE MONITORING"</f>
        <v>ORD#1269-9983/FIRE MONITORING</v>
      </c>
    </row>
    <row r="896" spans="1:9" x14ac:dyDescent="0.25">
      <c r="A896" t="s">
        <v>235</v>
      </c>
      <c r="B896">
        <v>843</v>
      </c>
      <c r="C896" s="2">
        <v>59710.5</v>
      </c>
      <c r="D896" s="1">
        <v>43614</v>
      </c>
      <c r="E896" t="str">
        <f>"227248"</f>
        <v>227248</v>
      </c>
      <c r="F896" t="str">
        <f>"CUST#TXBASTROPDC/ORD#119305"</f>
        <v>CUST#TXBASTROPDC/ORD#119305</v>
      </c>
      <c r="G896" s="2">
        <v>59710.5</v>
      </c>
      <c r="H896" t="str">
        <f>"CUST#TXBASTROPDC/ORD#119305"</f>
        <v>CUST#TXBASTROPDC/ORD#119305</v>
      </c>
    </row>
    <row r="897" spans="1:8" x14ac:dyDescent="0.25">
      <c r="A897" t="s">
        <v>236</v>
      </c>
      <c r="B897">
        <v>868</v>
      </c>
      <c r="C897" s="2">
        <v>162.61000000000001</v>
      </c>
      <c r="D897" s="1">
        <v>43614</v>
      </c>
      <c r="E897" t="str">
        <f>"201905179335"</f>
        <v>201905179335</v>
      </c>
      <c r="F897" t="str">
        <f>"MILEAGE REIMBURSEMENT"</f>
        <v>MILEAGE REIMBURSEMENT</v>
      </c>
      <c r="G897" s="2">
        <v>162.61000000000001</v>
      </c>
      <c r="H897" t="str">
        <f>"MILEAGE REIMBURSEMENT"</f>
        <v>MILEAGE REIMBURSEMENT</v>
      </c>
    </row>
    <row r="898" spans="1:8" x14ac:dyDescent="0.25">
      <c r="A898" t="s">
        <v>237</v>
      </c>
      <c r="B898">
        <v>82167</v>
      </c>
      <c r="C898" s="2">
        <v>3066.48</v>
      </c>
      <c r="D898" s="1">
        <v>43598</v>
      </c>
      <c r="E898" t="str">
        <f>"201905028948"</f>
        <v>201905028948</v>
      </c>
      <c r="F898" t="str">
        <f>"ACCT#1700/PCT#2"</f>
        <v>ACCT#1700/PCT#2</v>
      </c>
      <c r="G898" s="2">
        <v>-20</v>
      </c>
      <c r="H898" t="str">
        <f>"ACCT#1700/PCT#2"</f>
        <v>ACCT#1700/PCT#2</v>
      </c>
    </row>
    <row r="899" spans="1:8" x14ac:dyDescent="0.25">
      <c r="E899" t="str">
        <f>"201905028944"</f>
        <v>201905028944</v>
      </c>
      <c r="F899" t="str">
        <f>"ACCT#1650/GEN SVCS"</f>
        <v>ACCT#1650/GEN SVCS</v>
      </c>
      <c r="G899" s="2">
        <v>279.37</v>
      </c>
      <c r="H899" t="str">
        <f>"ACCT#1650/GEN SVCS"</f>
        <v>ACCT#1650/GEN SVCS</v>
      </c>
    </row>
    <row r="900" spans="1:8" x14ac:dyDescent="0.25">
      <c r="E900" t="str">
        <f>"201905028946"</f>
        <v>201905028946</v>
      </c>
      <c r="F900" t="str">
        <f>"ACCT#1650/PCT#1"</f>
        <v>ACCT#1650/PCT#1</v>
      </c>
      <c r="G900" s="2">
        <v>155.11000000000001</v>
      </c>
      <c r="H900" t="str">
        <f>"ACCT#1650/PCT#1"</f>
        <v>ACCT#1650/PCT#1</v>
      </c>
    </row>
    <row r="901" spans="1:8" x14ac:dyDescent="0.25">
      <c r="E901" t="str">
        <f>"201905028949"</f>
        <v>201905028949</v>
      </c>
      <c r="F901" t="str">
        <f>"ACCT#1800/PCT#4"</f>
        <v>ACCT#1800/PCT#4</v>
      </c>
      <c r="G901" s="2">
        <v>154.26</v>
      </c>
      <c r="H901" t="str">
        <f>"ACCT#1800/PCT#4"</f>
        <v>ACCT#1800/PCT#4</v>
      </c>
    </row>
    <row r="902" spans="1:8" x14ac:dyDescent="0.25">
      <c r="E902" t="str">
        <f>"201905069045"</f>
        <v>201905069045</v>
      </c>
      <c r="F902" t="str">
        <f>"ACCT#1750/PCT#3"</f>
        <v>ACCT#1750/PCT#3</v>
      </c>
      <c r="G902" s="2">
        <v>2497.7399999999998</v>
      </c>
      <c r="H902" t="str">
        <f>"ACCT#1750/PCT#3"</f>
        <v>ACCT#1750/PCT#3</v>
      </c>
    </row>
    <row r="903" spans="1:8" x14ac:dyDescent="0.25">
      <c r="A903" t="s">
        <v>238</v>
      </c>
      <c r="B903">
        <v>82168</v>
      </c>
      <c r="C903" s="2">
        <v>3416.35</v>
      </c>
      <c r="D903" s="1">
        <v>43598</v>
      </c>
      <c r="E903" t="str">
        <f>"04177470 04245394"</f>
        <v>04177470 04245394</v>
      </c>
      <c r="F903" t="str">
        <f>"INV 04177470"</f>
        <v>INV 04177470</v>
      </c>
      <c r="G903" s="2">
        <v>3416.35</v>
      </c>
      <c r="H903" t="str">
        <f>"INV 04177470"</f>
        <v>INV 04177470</v>
      </c>
    </row>
    <row r="904" spans="1:8" x14ac:dyDescent="0.25">
      <c r="E904" t="str">
        <f>""</f>
        <v/>
      </c>
      <c r="F904" t="str">
        <f>""</f>
        <v/>
      </c>
      <c r="H904" t="str">
        <f>"INV 04245394"</f>
        <v>INV 04245394</v>
      </c>
    </row>
    <row r="905" spans="1:8" x14ac:dyDescent="0.25">
      <c r="E905" t="str">
        <f>""</f>
        <v/>
      </c>
      <c r="F905" t="str">
        <f>""</f>
        <v/>
      </c>
      <c r="H905" t="str">
        <f>"INV 05015022"</f>
        <v>INV 05015022</v>
      </c>
    </row>
    <row r="906" spans="1:8" x14ac:dyDescent="0.25">
      <c r="A906" t="s">
        <v>238</v>
      </c>
      <c r="B906">
        <v>82355</v>
      </c>
      <c r="C906" s="2">
        <v>2429.5500000000002</v>
      </c>
      <c r="D906" s="1">
        <v>43613</v>
      </c>
      <c r="E906" t="str">
        <f>"05084748 05153675"</f>
        <v>05084748 05153675</v>
      </c>
      <c r="F906" t="str">
        <f>"INV 05084748"</f>
        <v>INV 05084748</v>
      </c>
      <c r="G906" s="2">
        <v>2429.5500000000002</v>
      </c>
      <c r="H906" t="str">
        <f>"INV 05084748"</f>
        <v>INV 05084748</v>
      </c>
    </row>
    <row r="907" spans="1:8" x14ac:dyDescent="0.25">
      <c r="E907" t="str">
        <f>""</f>
        <v/>
      </c>
      <c r="F907" t="str">
        <f>""</f>
        <v/>
      </c>
      <c r="H907" t="str">
        <f>"INV 05153675"</f>
        <v>INV 05153675</v>
      </c>
    </row>
    <row r="908" spans="1:8" x14ac:dyDescent="0.25">
      <c r="A908" t="s">
        <v>239</v>
      </c>
      <c r="B908">
        <v>773</v>
      </c>
      <c r="C908" s="2">
        <v>300</v>
      </c>
      <c r="D908" s="1">
        <v>43599</v>
      </c>
      <c r="E908" t="str">
        <f>"201904248770"</f>
        <v>201904248770</v>
      </c>
      <c r="F908" t="str">
        <f>"CLEANING SERVICE/PCT#2"</f>
        <v>CLEANING SERVICE/PCT#2</v>
      </c>
      <c r="G908" s="2">
        <v>150</v>
      </c>
      <c r="H908" t="str">
        <f>"CLEANING SERVICE"</f>
        <v>CLEANING SERVICE</v>
      </c>
    </row>
    <row r="909" spans="1:8" x14ac:dyDescent="0.25">
      <c r="E909" t="str">
        <f>"201905069034"</f>
        <v>201905069034</v>
      </c>
      <c r="F909" t="str">
        <f>"CLEANING SERVICE/PCT#2"</f>
        <v>CLEANING SERVICE/PCT#2</v>
      </c>
      <c r="G909" s="2">
        <v>150</v>
      </c>
      <c r="H909" t="str">
        <f>"CLEANING SERVICE/PCT#2"</f>
        <v>CLEANING SERVICE/PCT#2</v>
      </c>
    </row>
    <row r="910" spans="1:8" x14ac:dyDescent="0.25">
      <c r="A910" t="s">
        <v>239</v>
      </c>
      <c r="B910">
        <v>841</v>
      </c>
      <c r="C910" s="2">
        <v>150</v>
      </c>
      <c r="D910" s="1">
        <v>43614</v>
      </c>
      <c r="E910" t="str">
        <f>"201905169320"</f>
        <v>201905169320</v>
      </c>
      <c r="F910" t="str">
        <f>"CLEANING SVC/PCT#2"</f>
        <v>CLEANING SVC/PCT#2</v>
      </c>
      <c r="G910" s="2">
        <v>150</v>
      </c>
      <c r="H910" t="str">
        <f>"CLEANING SVC/PCT#2"</f>
        <v>CLEANING SVC/PCT#2</v>
      </c>
    </row>
    <row r="911" spans="1:8" x14ac:dyDescent="0.25">
      <c r="A911" t="s">
        <v>240</v>
      </c>
      <c r="B911">
        <v>82169</v>
      </c>
      <c r="C911" s="2">
        <v>365</v>
      </c>
      <c r="D911" s="1">
        <v>43598</v>
      </c>
      <c r="E911" t="str">
        <f>"201905079058"</f>
        <v>201905079058</v>
      </c>
      <c r="F911" t="str">
        <f>"TIRE SVCS/PCT#4"</f>
        <v>TIRE SVCS/PCT#4</v>
      </c>
      <c r="G911" s="2">
        <v>365</v>
      </c>
      <c r="H911" t="str">
        <f>"TIRE SVCS/PCT#4"</f>
        <v>TIRE SVCS/PCT#4</v>
      </c>
    </row>
    <row r="912" spans="1:8" x14ac:dyDescent="0.25">
      <c r="A912" t="s">
        <v>241</v>
      </c>
      <c r="B912">
        <v>82043</v>
      </c>
      <c r="C912" s="2">
        <v>50.25</v>
      </c>
      <c r="D912" s="1">
        <v>43586</v>
      </c>
      <c r="E912" t="str">
        <f>"201904308888"</f>
        <v>201904308888</v>
      </c>
      <c r="F912" t="str">
        <f>"ACCT#1-09-00072-02 1 /04252019"</f>
        <v>ACCT#1-09-00072-02 1 /04252019</v>
      </c>
      <c r="G912" s="2">
        <v>50.25</v>
      </c>
      <c r="H912" t="str">
        <f>"ACCT#1-09-00072-02 1 /04252019"</f>
        <v>ACCT#1-09-00072-02 1 /04252019</v>
      </c>
    </row>
    <row r="913" spans="1:8" x14ac:dyDescent="0.25">
      <c r="A913" t="s">
        <v>241</v>
      </c>
      <c r="B913">
        <v>82440</v>
      </c>
      <c r="C913" s="2">
        <v>50.25</v>
      </c>
      <c r="D913" s="1">
        <v>43616</v>
      </c>
      <c r="E913" t="str">
        <f>"201905319536"</f>
        <v>201905319536</v>
      </c>
      <c r="F913" t="str">
        <f>"ACCT#1-09-00072-02 1/05242019"</f>
        <v>ACCT#1-09-00072-02 1/05242019</v>
      </c>
      <c r="G913" s="2">
        <v>50.25</v>
      </c>
      <c r="H913" t="str">
        <f>"ACCT#1-09-00072-02 1/05242019"</f>
        <v>ACCT#1-09-00072-02 1/05242019</v>
      </c>
    </row>
    <row r="914" spans="1:8" x14ac:dyDescent="0.25">
      <c r="A914" t="s">
        <v>242</v>
      </c>
      <c r="B914">
        <v>833</v>
      </c>
      <c r="C914" s="2">
        <v>157.5</v>
      </c>
      <c r="D914" s="1">
        <v>43614</v>
      </c>
      <c r="E914" t="str">
        <f>"201905179328"</f>
        <v>201905179328</v>
      </c>
      <c r="F914" t="str">
        <f>"TRAVEL REIMBURSEMENT"</f>
        <v>TRAVEL REIMBURSEMENT</v>
      </c>
      <c r="G914" s="2">
        <v>157.5</v>
      </c>
      <c r="H914" t="str">
        <f>"TRAVEL REIMBURSEMENT"</f>
        <v>TRAVEL REIMBURSEMENT</v>
      </c>
    </row>
    <row r="915" spans="1:8" x14ac:dyDescent="0.25">
      <c r="A915" t="s">
        <v>243</v>
      </c>
      <c r="B915">
        <v>82170</v>
      </c>
      <c r="C915" s="2">
        <v>1295.45</v>
      </c>
      <c r="D915" s="1">
        <v>43598</v>
      </c>
      <c r="E915" t="str">
        <f>"1211621-20190430"</f>
        <v>1211621-20190430</v>
      </c>
      <c r="F915" t="str">
        <f>"BILLING ID:1211621/HEALTH SVCS"</f>
        <v>BILLING ID:1211621/HEALTH SVCS</v>
      </c>
      <c r="G915" s="2">
        <v>759</v>
      </c>
      <c r="H915" t="str">
        <f>"BILLING ID:1211621/HEALTH SVCS"</f>
        <v>BILLING ID:1211621/HEALTH SVCS</v>
      </c>
    </row>
    <row r="916" spans="1:8" x14ac:dyDescent="0.25">
      <c r="E916" t="str">
        <f>"1361725-20190430"</f>
        <v>1361725-20190430</v>
      </c>
      <c r="F916" t="str">
        <f>"BILLING ID:1361725/INDIGENT HL"</f>
        <v>BILLING ID:1361725/INDIGENT HL</v>
      </c>
      <c r="G916" s="2">
        <v>31.75</v>
      </c>
      <c r="H916" t="str">
        <f>"BILLING ID:1361725/INDIGENT HL"</f>
        <v>BILLING ID:1361725/INDIGENT HL</v>
      </c>
    </row>
    <row r="917" spans="1:8" x14ac:dyDescent="0.25">
      <c r="E917" t="str">
        <f>"1394645-20190430"</f>
        <v>1394645-20190430</v>
      </c>
      <c r="F917" t="str">
        <f>"BILLING ID:1394645/COUNTY CLRK"</f>
        <v>BILLING ID:1394645/COUNTY CLRK</v>
      </c>
      <c r="G917" s="2">
        <v>162</v>
      </c>
      <c r="H917" t="str">
        <f>"BILLING ID:1394645/COUNTY CLRK"</f>
        <v>BILLING ID:1394645/COUNTY CLRK</v>
      </c>
    </row>
    <row r="918" spans="1:8" x14ac:dyDescent="0.25">
      <c r="E918" t="str">
        <f>"1420944-20190430"</f>
        <v>1420944-20190430</v>
      </c>
      <c r="F918" t="str">
        <f>"BILLING ID:1420944/SHERIFF"</f>
        <v>BILLING ID:1420944/SHERIFF</v>
      </c>
      <c r="G918" s="2">
        <v>292.7</v>
      </c>
      <c r="H918" t="str">
        <f>"BILLING ID:1420944/SHERIFF"</f>
        <v>BILLING ID:1420944/SHERIFF</v>
      </c>
    </row>
    <row r="919" spans="1:8" x14ac:dyDescent="0.25">
      <c r="E919" t="str">
        <f>"1489870-20190430"</f>
        <v>1489870-20190430</v>
      </c>
      <c r="F919" t="str">
        <f>"BILLING ID:1489870/DIST CLERK"</f>
        <v>BILLING ID:1489870/DIST CLERK</v>
      </c>
      <c r="G919" s="2">
        <v>50</v>
      </c>
      <c r="H919" t="str">
        <f>"BILLING ID:1489870/DIST CLERK"</f>
        <v>BILLING ID:1489870/DIST CLERK</v>
      </c>
    </row>
    <row r="920" spans="1:8" x14ac:dyDescent="0.25">
      <c r="A920" t="s">
        <v>244</v>
      </c>
      <c r="B920">
        <v>792</v>
      </c>
      <c r="C920" s="2">
        <v>207</v>
      </c>
      <c r="D920" s="1">
        <v>43599</v>
      </c>
      <c r="E920" t="str">
        <f>"201904248759"</f>
        <v>201904248759</v>
      </c>
      <c r="F920" t="str">
        <f>"VEHICLE REGISTRATION-2003 FORD"</f>
        <v>VEHICLE REGISTRATION-2003 FORD</v>
      </c>
      <c r="G920" s="2">
        <v>7.5</v>
      </c>
      <c r="H920" t="str">
        <f>"VEHICLE REGISTRATION-2003 FORD"</f>
        <v>VEHICLE REGISTRATION-2003 FORD</v>
      </c>
    </row>
    <row r="921" spans="1:8" x14ac:dyDescent="0.25">
      <c r="E921" t="str">
        <f>"201904248761"</f>
        <v>201904248761</v>
      </c>
      <c r="F921" t="str">
        <f>"VEHICLE REGISTRATION-2009 FORD"</f>
        <v>VEHICLE REGISTRATION-2009 FORD</v>
      </c>
      <c r="G921" s="2">
        <v>7.5</v>
      </c>
      <c r="H921" t="str">
        <f>"VEHICLE REGISTRATION-2009 FORD"</f>
        <v>VEHICLE REGISTRATION-2009 FORD</v>
      </c>
    </row>
    <row r="922" spans="1:8" x14ac:dyDescent="0.25">
      <c r="E922" t="str">
        <f>"201904248769"</f>
        <v>201904248769</v>
      </c>
      <c r="F922" t="str">
        <f>"TITLE/BUYER'S FEE/PCT#2"</f>
        <v>TITLE/BUYER'S FEE/PCT#2</v>
      </c>
      <c r="G922" s="2">
        <v>12.5</v>
      </c>
      <c r="H922" t="str">
        <f>"TITLE/BUYER'S FEE/PCT#2"</f>
        <v>TITLE/BUYER'S FEE/PCT#2</v>
      </c>
    </row>
    <row r="923" spans="1:8" x14ac:dyDescent="0.25">
      <c r="E923" t="str">
        <f>"201904248864"</f>
        <v>201904248864</v>
      </c>
      <c r="F923" t="str">
        <f>"VEHICLE REG-2008 FRHT/PCT#4"</f>
        <v>VEHICLE REG-2008 FRHT/PCT#4</v>
      </c>
      <c r="G923" s="2">
        <v>22</v>
      </c>
      <c r="H923" t="str">
        <f>"VEHICLE REG-2008 FRHT/PCT#4"</f>
        <v>VEHICLE REG-2008 FRHT/PCT#4</v>
      </c>
    </row>
    <row r="924" spans="1:8" x14ac:dyDescent="0.25">
      <c r="E924" t="str">
        <f>"201904258867"</f>
        <v>201904258867</v>
      </c>
      <c r="F924" t="str">
        <f>"VEHICLE REGISTRATIONS-A/C"</f>
        <v>VEHICLE REGISTRATIONS-A/C</v>
      </c>
      <c r="G924" s="2">
        <v>15</v>
      </c>
      <c r="H924" t="str">
        <f>"VEHICLE REGISTRATIONS-A/C"</f>
        <v>VEHICLE REGISTRATIONS-A/C</v>
      </c>
    </row>
    <row r="925" spans="1:8" x14ac:dyDescent="0.25">
      <c r="E925" t="str">
        <f>"201905018923"</f>
        <v>201905018923</v>
      </c>
      <c r="F925" t="str">
        <f>"VEHICLE REGISTRATION/GEN SVCS"</f>
        <v>VEHICLE REGISTRATION/GEN SVCS</v>
      </c>
      <c r="G925" s="2">
        <v>7.5</v>
      </c>
      <c r="H925" t="str">
        <f>"VEHICLE REGISTRATION/GEN SVCS"</f>
        <v>VEHICLE REGISTRATION/GEN SVCS</v>
      </c>
    </row>
    <row r="926" spans="1:8" x14ac:dyDescent="0.25">
      <c r="E926" t="str">
        <f>"201905018936"</f>
        <v>201905018936</v>
      </c>
      <c r="F926" t="str">
        <f>"VEHICLE REGISTRATIONS/PCT#3"</f>
        <v>VEHICLE REGISTRATIONS/PCT#3</v>
      </c>
      <c r="G926" s="2">
        <v>15</v>
      </c>
      <c r="H926" t="str">
        <f>"VEHICLE REGISTRATIONS/PCT#3"</f>
        <v>VEHICLE REGISTRATIONS/PCT#3</v>
      </c>
    </row>
    <row r="927" spans="1:8" x14ac:dyDescent="0.25">
      <c r="E927" t="str">
        <f>"201905069051"</f>
        <v>201905069051</v>
      </c>
      <c r="F927" t="str">
        <f>"VEHICLE REGISTRATIONS/PCT#2"</f>
        <v>VEHICLE REGISTRATIONS/PCT#2</v>
      </c>
      <c r="G927" s="2">
        <v>30</v>
      </c>
      <c r="H927" t="str">
        <f>"VEHICLE REGISTRATIONS/PCT#2"</f>
        <v>VEHICLE REGISTRATIONS/PCT#2</v>
      </c>
    </row>
    <row r="928" spans="1:8" x14ac:dyDescent="0.25">
      <c r="E928" t="str">
        <f>"201905089179"</f>
        <v>201905089179</v>
      </c>
      <c r="F928" t="str">
        <f>"VEHICLE REGISTRATIONS-S/O"</f>
        <v>VEHICLE REGISTRATIONS-S/O</v>
      </c>
      <c r="G928" s="2">
        <v>52.5</v>
      </c>
      <c r="H928" t="str">
        <f>"VEHICLE REGISTRATIONS-S/O"</f>
        <v>VEHICLE REGISTRATIONS-S/O</v>
      </c>
    </row>
    <row r="929" spans="1:8" x14ac:dyDescent="0.25">
      <c r="E929" t="str">
        <f>"201905089186"</f>
        <v>201905089186</v>
      </c>
      <c r="F929" t="str">
        <f>"VEHICLE REGISTRATIONS/PCT#1"</f>
        <v>VEHICLE REGISTRATIONS/PCT#1</v>
      </c>
      <c r="G929" s="2">
        <v>37.5</v>
      </c>
      <c r="H929" t="str">
        <f>"VEHICLE REGISTRATIONS/PCT#1"</f>
        <v>VEHICLE REGISTRATIONS/PCT#1</v>
      </c>
    </row>
    <row r="930" spans="1:8" x14ac:dyDescent="0.25">
      <c r="A930" t="s">
        <v>244</v>
      </c>
      <c r="B930">
        <v>855</v>
      </c>
      <c r="C930" s="2">
        <v>45</v>
      </c>
      <c r="D930" s="1">
        <v>43614</v>
      </c>
      <c r="E930" t="str">
        <f>"201905159296"</f>
        <v>201905159296</v>
      </c>
      <c r="F930" t="str">
        <f>"2006 FORD PK REGISTRATION/P1"</f>
        <v>2006 FORD PK REGISTRATION/P1</v>
      </c>
      <c r="G930" s="2">
        <v>7.5</v>
      </c>
      <c r="H930" t="str">
        <f>"2006 FORD PK REGISTRATION/P1"</f>
        <v>2006 FORD PK REGISTRATION/P1</v>
      </c>
    </row>
    <row r="931" spans="1:8" x14ac:dyDescent="0.25">
      <c r="E931" t="str">
        <f>"201905219456"</f>
        <v>201905219456</v>
      </c>
      <c r="F931" t="str">
        <f>"VEHICLE REGISTRATIONS-SHERIFF"</f>
        <v>VEHICLE REGISTRATIONS-SHERIFF</v>
      </c>
      <c r="G931" s="2">
        <v>37.5</v>
      </c>
      <c r="H931" t="str">
        <f>"VEHICLE REGISTRATIONS-SHERIFF"</f>
        <v>VEHICLE REGISTRATIONS-SHERIFF</v>
      </c>
    </row>
    <row r="932" spans="1:8" x14ac:dyDescent="0.25">
      <c r="A932" t="s">
        <v>245</v>
      </c>
      <c r="B932">
        <v>82356</v>
      </c>
      <c r="C932" s="2">
        <v>154.28</v>
      </c>
      <c r="D932" s="1">
        <v>43613</v>
      </c>
      <c r="E932" t="str">
        <f>"201905159268"</f>
        <v>201905159268</v>
      </c>
      <c r="F932" t="str">
        <f>"MILEAGE REIMBURSEMENT"</f>
        <v>MILEAGE REIMBURSEMENT</v>
      </c>
      <c r="G932" s="2">
        <v>154.28</v>
      </c>
      <c r="H932" t="str">
        <f>"MILEAGE REIMBURSEMENT"</f>
        <v>MILEAGE REIMBURSEMENT</v>
      </c>
    </row>
    <row r="933" spans="1:8" x14ac:dyDescent="0.25">
      <c r="A933" t="s">
        <v>246</v>
      </c>
      <c r="B933">
        <v>82171</v>
      </c>
      <c r="C933" s="2">
        <v>1596.24</v>
      </c>
      <c r="D933" s="1">
        <v>43598</v>
      </c>
      <c r="E933" t="str">
        <f>"SVC0313088"</f>
        <v>SVC0313088</v>
      </c>
      <c r="F933" t="str">
        <f>"INV SVC0313088"</f>
        <v>INV SVC0313088</v>
      </c>
      <c r="G933" s="2">
        <v>1596.24</v>
      </c>
      <c r="H933" t="str">
        <f>"INV SVC0313088"</f>
        <v>INV SVC0313088</v>
      </c>
    </row>
    <row r="934" spans="1:8" x14ac:dyDescent="0.25">
      <c r="A934" t="s">
        <v>247</v>
      </c>
      <c r="B934">
        <v>82172</v>
      </c>
      <c r="C934" s="2">
        <v>1000</v>
      </c>
      <c r="D934" s="1">
        <v>43598</v>
      </c>
      <c r="E934" t="str">
        <f>"201904248781"</f>
        <v>201904248781</v>
      </c>
      <c r="F934" t="str">
        <f>"56 626"</f>
        <v>56 626</v>
      </c>
      <c r="G934" s="2">
        <v>250</v>
      </c>
      <c r="H934" t="str">
        <f>"56 626"</f>
        <v>56 626</v>
      </c>
    </row>
    <row r="935" spans="1:8" x14ac:dyDescent="0.25">
      <c r="E935" t="str">
        <f>"201904248782"</f>
        <v>201904248782</v>
      </c>
      <c r="F935" t="str">
        <f>"56 665"</f>
        <v>56 665</v>
      </c>
      <c r="G935" s="2">
        <v>250</v>
      </c>
      <c r="H935" t="str">
        <f>"56 665"</f>
        <v>56 665</v>
      </c>
    </row>
    <row r="936" spans="1:8" x14ac:dyDescent="0.25">
      <c r="E936" t="str">
        <f>"201904248835"</f>
        <v>201904248835</v>
      </c>
      <c r="F936" t="str">
        <f>"56 800"</f>
        <v>56 800</v>
      </c>
      <c r="G936" s="2">
        <v>250</v>
      </c>
      <c r="H936" t="str">
        <f>"56 800"</f>
        <v>56 800</v>
      </c>
    </row>
    <row r="937" spans="1:8" x14ac:dyDescent="0.25">
      <c r="E937" t="str">
        <f>"201904248842"</f>
        <v>201904248842</v>
      </c>
      <c r="F937" t="str">
        <f>"56 434"</f>
        <v>56 434</v>
      </c>
      <c r="G937" s="2">
        <v>250</v>
      </c>
      <c r="H937" t="str">
        <f>"56 434"</f>
        <v>56 434</v>
      </c>
    </row>
    <row r="938" spans="1:8" x14ac:dyDescent="0.25">
      <c r="A938" t="s">
        <v>247</v>
      </c>
      <c r="B938">
        <v>82357</v>
      </c>
      <c r="C938" s="2">
        <v>250</v>
      </c>
      <c r="D938" s="1">
        <v>43613</v>
      </c>
      <c r="E938" t="str">
        <f>"201905219402"</f>
        <v>201905219402</v>
      </c>
      <c r="F938" t="str">
        <f>"56 473"</f>
        <v>56 473</v>
      </c>
      <c r="G938" s="2">
        <v>250</v>
      </c>
      <c r="H938" t="str">
        <f>"56 473"</f>
        <v>56 473</v>
      </c>
    </row>
    <row r="939" spans="1:8" x14ac:dyDescent="0.25">
      <c r="A939" t="s">
        <v>248</v>
      </c>
      <c r="B939">
        <v>82173</v>
      </c>
      <c r="C939" s="2">
        <v>150</v>
      </c>
      <c r="D939" s="1">
        <v>43598</v>
      </c>
      <c r="E939" t="str">
        <f>"12533"</f>
        <v>12533</v>
      </c>
      <c r="F939" t="str">
        <f>"SERVICE"</f>
        <v>SERVICE</v>
      </c>
      <c r="G939" s="2">
        <v>150</v>
      </c>
      <c r="H939" t="str">
        <f>"SERVICE"</f>
        <v>SERVICE</v>
      </c>
    </row>
    <row r="940" spans="1:8" x14ac:dyDescent="0.25">
      <c r="A940" t="s">
        <v>249</v>
      </c>
      <c r="B940">
        <v>758</v>
      </c>
      <c r="C940" s="2">
        <v>197.5</v>
      </c>
      <c r="D940" s="1">
        <v>43599</v>
      </c>
      <c r="E940" t="str">
        <f>"97500040"</f>
        <v>97500040</v>
      </c>
      <c r="F940" t="str">
        <f>"PROF SVCS THRU 03/31/19"</f>
        <v>PROF SVCS THRU 03/31/19</v>
      </c>
      <c r="G940" s="2">
        <v>197.5</v>
      </c>
      <c r="H940" t="str">
        <f>"PROF SVCS THRU 03/31/19"</f>
        <v>PROF SVCS THRU 03/31/19</v>
      </c>
    </row>
    <row r="941" spans="1:8" x14ac:dyDescent="0.25">
      <c r="A941" t="s">
        <v>250</v>
      </c>
      <c r="B941">
        <v>834</v>
      </c>
      <c r="C941" s="2">
        <v>11978.24</v>
      </c>
      <c r="D941" s="1">
        <v>43614</v>
      </c>
      <c r="E941" t="str">
        <f>"201905159270"</f>
        <v>201905159270</v>
      </c>
      <c r="F941" t="str">
        <f>"GRANT REIMBURSEMENT"</f>
        <v>GRANT REIMBURSEMENT</v>
      </c>
      <c r="G941" s="2">
        <v>11313.16</v>
      </c>
      <c r="H941" t="str">
        <f>"GRANT REIMBURSEMENT"</f>
        <v>GRANT REIMBURSEMENT</v>
      </c>
    </row>
    <row r="942" spans="1:8" x14ac:dyDescent="0.25">
      <c r="E942" t="str">
        <f>"201905219374"</f>
        <v>201905219374</v>
      </c>
      <c r="F942" t="str">
        <f>"INDIGENT HEALTH"</f>
        <v>INDIGENT HEALTH</v>
      </c>
      <c r="G942" s="2">
        <v>665.08</v>
      </c>
      <c r="H942" t="str">
        <f>"INDIGENT HEALTH"</f>
        <v>INDIGENT HEALTH</v>
      </c>
    </row>
    <row r="943" spans="1:8" x14ac:dyDescent="0.25">
      <c r="E943" t="str">
        <f>""</f>
        <v/>
      </c>
      <c r="F943" t="str">
        <f>""</f>
        <v/>
      </c>
      <c r="H943" t="str">
        <f>"INDIGENT HEALTH"</f>
        <v>INDIGENT HEALTH</v>
      </c>
    </row>
    <row r="944" spans="1:8" x14ac:dyDescent="0.25">
      <c r="E944" t="str">
        <f>""</f>
        <v/>
      </c>
      <c r="F944" t="str">
        <f>""</f>
        <v/>
      </c>
      <c r="H944" t="str">
        <f>"INDIGENT HEALTH"</f>
        <v>INDIGENT HEALTH</v>
      </c>
    </row>
    <row r="945" spans="1:8" x14ac:dyDescent="0.25">
      <c r="A945" t="s">
        <v>251</v>
      </c>
      <c r="B945">
        <v>765</v>
      </c>
      <c r="C945" s="2">
        <v>425</v>
      </c>
      <c r="D945" s="1">
        <v>43599</v>
      </c>
      <c r="E945" t="str">
        <f>"LS-TRAILER-BCSO"</f>
        <v>LS-TRAILER-BCSO</v>
      </c>
      <c r="F945" t="str">
        <f>"INV LS-TRAILER-BCSO"</f>
        <v>INV LS-TRAILER-BCSO</v>
      </c>
      <c r="G945" s="2">
        <v>150</v>
      </c>
      <c r="H945" t="str">
        <f>"INV LS-TRAILER-BCSO"</f>
        <v>INV LS-TRAILER-BCSO</v>
      </c>
    </row>
    <row r="946" spans="1:8" x14ac:dyDescent="0.25">
      <c r="E946" t="str">
        <f>"LS-UNIT 84-BCSO"</f>
        <v>LS-UNIT 84-BCSO</v>
      </c>
      <c r="F946" t="str">
        <f>"INV LS-UNIT 84-BCSO"</f>
        <v>INV LS-UNIT 84-BCSO</v>
      </c>
      <c r="G946" s="2">
        <v>275</v>
      </c>
      <c r="H946" t="str">
        <f>"INV LS-UNIT 84-BCSO"</f>
        <v>INV LS-UNIT 84-BCSO</v>
      </c>
    </row>
    <row r="947" spans="1:8" x14ac:dyDescent="0.25">
      <c r="A947" t="s">
        <v>251</v>
      </c>
      <c r="B947">
        <v>832</v>
      </c>
      <c r="C947" s="2">
        <v>397.24</v>
      </c>
      <c r="D947" s="1">
        <v>43614</v>
      </c>
      <c r="E947" t="str">
        <f>"GL-2017EXP-9655"</f>
        <v>GL-2017EXP-9655</v>
      </c>
      <c r="F947" t="str">
        <f>"INV GL-2017EXP-9655"</f>
        <v>INV GL-2017EXP-9655</v>
      </c>
      <c r="G947" s="2">
        <v>397.24</v>
      </c>
      <c r="H947" t="str">
        <f>"INV GL-2017EXP-9655"</f>
        <v>INV GL-2017EXP-9655</v>
      </c>
    </row>
    <row r="948" spans="1:8" x14ac:dyDescent="0.25">
      <c r="A948" t="s">
        <v>252</v>
      </c>
      <c r="B948">
        <v>770</v>
      </c>
      <c r="C948" s="2">
        <v>598</v>
      </c>
      <c r="D948" s="1">
        <v>43599</v>
      </c>
      <c r="E948" t="str">
        <f>"201904308886"</f>
        <v>201904308886</v>
      </c>
      <c r="F948" t="str">
        <f>"TRASH REMOVAL 04/22-04/30/P4"</f>
        <v>TRASH REMOVAL 04/22-04/30/P4</v>
      </c>
      <c r="G948" s="2">
        <v>494</v>
      </c>
      <c r="H948" t="str">
        <f>"TRASH REMOVAL 04/22-04/30/P4"</f>
        <v>TRASH REMOVAL 04/22-04/30/P4</v>
      </c>
    </row>
    <row r="949" spans="1:8" x14ac:dyDescent="0.25">
      <c r="E949" t="str">
        <f>"201904308887"</f>
        <v>201904308887</v>
      </c>
      <c r="F949" t="str">
        <f>"TRASH REMOVAL 05/01-05/02/P4"</f>
        <v>TRASH REMOVAL 05/01-05/02/P4</v>
      </c>
      <c r="G949" s="2">
        <v>104</v>
      </c>
      <c r="H949" t="str">
        <f>"TRASH REMOVAL 05/01-05/02/P4"</f>
        <v>TRASH REMOVAL 05/01-05/02/P4</v>
      </c>
    </row>
    <row r="950" spans="1:8" x14ac:dyDescent="0.25">
      <c r="A950" t="s">
        <v>252</v>
      </c>
      <c r="B950">
        <v>838</v>
      </c>
      <c r="C950" s="2">
        <v>1345.5</v>
      </c>
      <c r="D950" s="1">
        <v>43614</v>
      </c>
      <c r="E950" t="str">
        <f>"201905219351"</f>
        <v>201905219351</v>
      </c>
      <c r="F950" t="str">
        <f>"TRASH REMOVAL 05/06-05/10/P4"</f>
        <v>TRASH REMOVAL 05/06-05/10/P4</v>
      </c>
      <c r="G950" s="2">
        <v>455</v>
      </c>
      <c r="H950" t="str">
        <f>"TRASH REMOVAL 05/06-05/10/P4"</f>
        <v>TRASH REMOVAL 05/06-05/10/P4</v>
      </c>
    </row>
    <row r="951" spans="1:8" x14ac:dyDescent="0.25">
      <c r="E951" t="str">
        <f>"201905219352"</f>
        <v>201905219352</v>
      </c>
      <c r="F951" t="str">
        <f>"TRASH REMOVAL 05/13-05/24/P4"</f>
        <v>TRASH REMOVAL 05/13-05/24/P4</v>
      </c>
      <c r="G951" s="2">
        <v>890.5</v>
      </c>
      <c r="H951" t="str">
        <f>"TRASH REMOVAL 05/13-05/24/P4"</f>
        <v>TRASH REMOVAL 05/13-05/24/P4</v>
      </c>
    </row>
    <row r="952" spans="1:8" x14ac:dyDescent="0.25">
      <c r="A952" t="s">
        <v>253</v>
      </c>
      <c r="B952">
        <v>82174</v>
      </c>
      <c r="C952" s="2">
        <v>2871.62</v>
      </c>
      <c r="D952" s="1">
        <v>43598</v>
      </c>
      <c r="E952" t="str">
        <f>"BC-XJ514946"</f>
        <v>BC-XJ514946</v>
      </c>
      <c r="F952" t="str">
        <f>"1999 GMC REPAIRS/PCT#3"</f>
        <v>1999 GMC REPAIRS/PCT#3</v>
      </c>
      <c r="G952" s="2">
        <v>2871.62</v>
      </c>
      <c r="H952" t="str">
        <f>"1999 GMC REPAIRS/PCT#3"</f>
        <v>1999 GMC REPAIRS/PCT#3</v>
      </c>
    </row>
    <row r="953" spans="1:8" x14ac:dyDescent="0.25">
      <c r="A953" t="s">
        <v>254</v>
      </c>
      <c r="B953">
        <v>82358</v>
      </c>
      <c r="C953" s="2">
        <v>818.27</v>
      </c>
      <c r="D953" s="1">
        <v>43613</v>
      </c>
      <c r="E953" t="str">
        <f>"201905219365"</f>
        <v>201905219365</v>
      </c>
      <c r="F953" t="str">
        <f>"ACCT# 99006938692"</f>
        <v>ACCT# 99006938692</v>
      </c>
      <c r="G953" s="2">
        <v>818.27</v>
      </c>
      <c r="H953" t="str">
        <f>"INV# 914104"</f>
        <v>INV# 914104</v>
      </c>
    </row>
    <row r="954" spans="1:8" x14ac:dyDescent="0.25">
      <c r="E954" t="str">
        <f>""</f>
        <v/>
      </c>
      <c r="F954" t="str">
        <f>""</f>
        <v/>
      </c>
      <c r="H954" t="str">
        <f>"INV# 915382"</f>
        <v>INV# 915382</v>
      </c>
    </row>
    <row r="955" spans="1:8" x14ac:dyDescent="0.25">
      <c r="E955" t="str">
        <f>""</f>
        <v/>
      </c>
      <c r="F955" t="str">
        <f>""</f>
        <v/>
      </c>
      <c r="H955" t="str">
        <f>"INV# 913949"</f>
        <v>INV# 913949</v>
      </c>
    </row>
    <row r="956" spans="1:8" x14ac:dyDescent="0.25">
      <c r="E956" t="str">
        <f>""</f>
        <v/>
      </c>
      <c r="F956" t="str">
        <f>""</f>
        <v/>
      </c>
      <c r="H956" t="str">
        <f>"INV# 913198"</f>
        <v>INV# 913198</v>
      </c>
    </row>
    <row r="957" spans="1:8" x14ac:dyDescent="0.25">
      <c r="E957" t="str">
        <f>""</f>
        <v/>
      </c>
      <c r="F957" t="str">
        <f>""</f>
        <v/>
      </c>
      <c r="H957" t="str">
        <f>"INV# 914932"</f>
        <v>INV# 914932</v>
      </c>
    </row>
    <row r="958" spans="1:8" x14ac:dyDescent="0.25">
      <c r="E958" t="str">
        <f>""</f>
        <v/>
      </c>
      <c r="F958" t="str">
        <f>""</f>
        <v/>
      </c>
      <c r="H958" t="str">
        <f>"INV# 912546"</f>
        <v>INV# 912546</v>
      </c>
    </row>
    <row r="959" spans="1:8" x14ac:dyDescent="0.25">
      <c r="E959" t="str">
        <f>""</f>
        <v/>
      </c>
      <c r="F959" t="str">
        <f>""</f>
        <v/>
      </c>
      <c r="H959" t="str">
        <f>"INV# 9413434"</f>
        <v>INV# 9413434</v>
      </c>
    </row>
    <row r="960" spans="1:8" x14ac:dyDescent="0.25">
      <c r="E960" t="str">
        <f>""</f>
        <v/>
      </c>
      <c r="F960" t="str">
        <f>""</f>
        <v/>
      </c>
      <c r="H960" t="str">
        <f>"INV# 922314"</f>
        <v>INV# 922314</v>
      </c>
    </row>
    <row r="961" spans="1:8" x14ac:dyDescent="0.25">
      <c r="E961" t="str">
        <f>""</f>
        <v/>
      </c>
      <c r="F961" t="str">
        <f>""</f>
        <v/>
      </c>
      <c r="H961" t="str">
        <f>"INV# 902686"</f>
        <v>INV# 902686</v>
      </c>
    </row>
    <row r="962" spans="1:8" x14ac:dyDescent="0.25">
      <c r="E962" t="str">
        <f>""</f>
        <v/>
      </c>
      <c r="F962" t="str">
        <f>""</f>
        <v/>
      </c>
      <c r="H962" t="str">
        <f>"INV# 912643"</f>
        <v>INV# 912643</v>
      </c>
    </row>
    <row r="963" spans="1:8" x14ac:dyDescent="0.25">
      <c r="E963" t="str">
        <f>""</f>
        <v/>
      </c>
      <c r="F963" t="str">
        <f>""</f>
        <v/>
      </c>
      <c r="H963" t="str">
        <f>"INV# 902548"</f>
        <v>INV# 902548</v>
      </c>
    </row>
    <row r="964" spans="1:8" x14ac:dyDescent="0.25">
      <c r="E964" t="str">
        <f>""</f>
        <v/>
      </c>
      <c r="F964" t="str">
        <f>""</f>
        <v/>
      </c>
      <c r="H964" t="str">
        <f>"INV# 910401"</f>
        <v>INV# 910401</v>
      </c>
    </row>
    <row r="965" spans="1:8" x14ac:dyDescent="0.25">
      <c r="E965" t="str">
        <f>""</f>
        <v/>
      </c>
      <c r="F965" t="str">
        <f>""</f>
        <v/>
      </c>
      <c r="H965" t="str">
        <f>"INV# 901096"</f>
        <v>INV# 901096</v>
      </c>
    </row>
    <row r="966" spans="1:8" x14ac:dyDescent="0.25">
      <c r="E966" t="str">
        <f>""</f>
        <v/>
      </c>
      <c r="F966" t="str">
        <f>""</f>
        <v/>
      </c>
      <c r="H966" t="str">
        <f>"INV# 914740"</f>
        <v>INV# 914740</v>
      </c>
    </row>
    <row r="967" spans="1:8" x14ac:dyDescent="0.25">
      <c r="A967" t="s">
        <v>255</v>
      </c>
      <c r="B967">
        <v>787</v>
      </c>
      <c r="C967" s="2">
        <v>9</v>
      </c>
      <c r="D967" s="1">
        <v>43599</v>
      </c>
      <c r="E967" t="str">
        <f>"089165 SHIPPING"</f>
        <v>089165 SHIPPING</v>
      </c>
      <c r="F967" t="str">
        <f>"inv# 089165"</f>
        <v>inv# 089165</v>
      </c>
      <c r="G967" s="2">
        <v>9</v>
      </c>
      <c r="H967" t="str">
        <f>"Shipping"</f>
        <v>Shipping</v>
      </c>
    </row>
    <row r="968" spans="1:8" x14ac:dyDescent="0.25">
      <c r="A968" t="s">
        <v>256</v>
      </c>
      <c r="B968">
        <v>82175</v>
      </c>
      <c r="C968" s="2">
        <v>85</v>
      </c>
      <c r="D968" s="1">
        <v>43598</v>
      </c>
      <c r="E968" t="str">
        <f>"201905089231"</f>
        <v>201905089231</v>
      </c>
      <c r="F968" t="str">
        <f>"FERAL HOGS"</f>
        <v>FERAL HOGS</v>
      </c>
      <c r="G968" s="2">
        <v>55</v>
      </c>
      <c r="H968" t="str">
        <f>"FERAL HOGS"</f>
        <v>FERAL HOGS</v>
      </c>
    </row>
    <row r="969" spans="1:8" x14ac:dyDescent="0.25">
      <c r="E969" t="str">
        <f>"201905089232"</f>
        <v>201905089232</v>
      </c>
      <c r="F969" t="str">
        <f>"FERAL HOGS"</f>
        <v>FERAL HOGS</v>
      </c>
      <c r="G969" s="2">
        <v>30</v>
      </c>
      <c r="H969" t="str">
        <f>"FERAL HOGS"</f>
        <v>FERAL HOGS</v>
      </c>
    </row>
    <row r="970" spans="1:8" x14ac:dyDescent="0.25">
      <c r="A970" t="s">
        <v>257</v>
      </c>
      <c r="B970">
        <v>852</v>
      </c>
      <c r="C970" s="2">
        <v>1707.9</v>
      </c>
      <c r="D970" s="1">
        <v>43614</v>
      </c>
      <c r="E970" t="str">
        <f>"357380"</f>
        <v>357380</v>
      </c>
      <c r="F970" t="str">
        <f>"INV 357380"</f>
        <v>INV 357380</v>
      </c>
      <c r="G970" s="2">
        <v>1413.35</v>
      </c>
      <c r="H970" t="str">
        <f>"INV 357380"</f>
        <v>INV 357380</v>
      </c>
    </row>
    <row r="971" spans="1:8" x14ac:dyDescent="0.25">
      <c r="E971" t="str">
        <f>"357381"</f>
        <v>357381</v>
      </c>
      <c r="F971" t="str">
        <f>"INV 357381"</f>
        <v>INV 357381</v>
      </c>
      <c r="G971" s="2">
        <v>294.55</v>
      </c>
      <c r="H971" t="str">
        <f>"INV 357381"</f>
        <v>INV 357381</v>
      </c>
    </row>
    <row r="972" spans="1:8" x14ac:dyDescent="0.25">
      <c r="A972" t="s">
        <v>258</v>
      </c>
      <c r="B972">
        <v>82359</v>
      </c>
      <c r="C972" s="2">
        <v>280</v>
      </c>
      <c r="D972" s="1">
        <v>43613</v>
      </c>
      <c r="E972" t="str">
        <f>"0069377"</f>
        <v>0069377</v>
      </c>
      <c r="F972" t="str">
        <f>"ACCT#4301300/COUNTY CLERK"</f>
        <v>ACCT#4301300/COUNTY CLERK</v>
      </c>
      <c r="G972" s="2">
        <v>280</v>
      </c>
      <c r="H972" t="str">
        <f>"ACCT#4301300/COUNTY CLERK"</f>
        <v>ACCT#4301300/COUNTY CLERK</v>
      </c>
    </row>
    <row r="973" spans="1:8" x14ac:dyDescent="0.25">
      <c r="A973" t="s">
        <v>259</v>
      </c>
      <c r="B973">
        <v>82176</v>
      </c>
      <c r="C973" s="2">
        <v>247.56</v>
      </c>
      <c r="D973" s="1">
        <v>43598</v>
      </c>
      <c r="E973" t="str">
        <f>"201904248750"</f>
        <v>201904248750</v>
      </c>
      <c r="F973" t="str">
        <f>"CRIMINAL COURT 041719"</f>
        <v>CRIMINAL COURT 041719</v>
      </c>
      <c r="G973" s="2">
        <v>247.56</v>
      </c>
      <c r="H973" t="str">
        <f>"CRIMINAL COURT 041719"</f>
        <v>CRIMINAL COURT 041719</v>
      </c>
    </row>
    <row r="974" spans="1:8" x14ac:dyDescent="0.25">
      <c r="A974" t="s">
        <v>260</v>
      </c>
      <c r="B974">
        <v>750</v>
      </c>
      <c r="C974" s="2">
        <v>187.92</v>
      </c>
      <c r="D974" s="1">
        <v>43599</v>
      </c>
      <c r="E974" t="str">
        <f>"201904248756"</f>
        <v>201904248756</v>
      </c>
      <c r="F974" t="str">
        <f>"TRAVEL ADVANCE-MEALS/MILEAGE"</f>
        <v>TRAVEL ADVANCE-MEALS/MILEAGE</v>
      </c>
      <c r="G974" s="2">
        <v>187.92</v>
      </c>
      <c r="H974" t="str">
        <f>"TRAVEL ADVANCE-MEALS/MILEAGE"</f>
        <v>TRAVEL ADVANCE-MEALS/MILEAGE</v>
      </c>
    </row>
    <row r="975" spans="1:8" x14ac:dyDescent="0.25">
      <c r="A975" t="s">
        <v>261</v>
      </c>
      <c r="B975">
        <v>82177</v>
      </c>
      <c r="C975" s="2">
        <v>68.900000000000006</v>
      </c>
      <c r="D975" s="1">
        <v>43598</v>
      </c>
      <c r="E975" t="str">
        <f>"201905079053"</f>
        <v>201905079053</v>
      </c>
      <c r="F975" t="str">
        <f>"MILEAGE REIMBURSEMENT"</f>
        <v>MILEAGE REIMBURSEMENT</v>
      </c>
      <c r="G975" s="2">
        <v>68.900000000000006</v>
      </c>
      <c r="H975" t="str">
        <f>"MILEAGE REIMBURSEMENT"</f>
        <v>MILEAGE REIMBURSEMENT</v>
      </c>
    </row>
    <row r="976" spans="1:8" x14ac:dyDescent="0.25">
      <c r="A976" t="s">
        <v>262</v>
      </c>
      <c r="B976">
        <v>82360</v>
      </c>
      <c r="C976" s="2">
        <v>86.12</v>
      </c>
      <c r="D976" s="1">
        <v>43613</v>
      </c>
      <c r="E976" t="str">
        <f>"201905219375"</f>
        <v>201905219375</v>
      </c>
      <c r="F976" t="str">
        <f>"INDIGENT HEALTH"</f>
        <v>INDIGENT HEALTH</v>
      </c>
      <c r="G976" s="2">
        <v>86.12</v>
      </c>
      <c r="H976" t="str">
        <f>"INDIGENT HEALTH"</f>
        <v>INDIGENT HEALTH</v>
      </c>
    </row>
    <row r="977" spans="1:8" x14ac:dyDescent="0.25">
      <c r="A977" t="s">
        <v>263</v>
      </c>
      <c r="B977">
        <v>82361</v>
      </c>
      <c r="C977" s="2">
        <v>1107.28</v>
      </c>
      <c r="D977" s="1">
        <v>43613</v>
      </c>
      <c r="E977" t="str">
        <f>"INV001796173"</f>
        <v>INV001796173</v>
      </c>
      <c r="F977" t="str">
        <f>"INV001796173"</f>
        <v>INV001796173</v>
      </c>
      <c r="G977" s="2">
        <v>1107.28</v>
      </c>
      <c r="H977" t="str">
        <f>"INV001796173"</f>
        <v>INV001796173</v>
      </c>
    </row>
    <row r="978" spans="1:8" x14ac:dyDescent="0.25">
      <c r="A978" t="s">
        <v>264</v>
      </c>
      <c r="B978">
        <v>82178</v>
      </c>
      <c r="C978" s="2">
        <v>595</v>
      </c>
      <c r="D978" s="1">
        <v>43598</v>
      </c>
      <c r="E978" t="str">
        <f>"1824-002139"</f>
        <v>1824-002139</v>
      </c>
      <c r="F978" t="str">
        <f>"TRANSPORT-F. BLEIBTREA"</f>
        <v>TRANSPORT-F. BLEIBTREA</v>
      </c>
      <c r="G978" s="2">
        <v>595</v>
      </c>
      <c r="H978" t="str">
        <f>"TRANSPORT-F. BLEIBTREA"</f>
        <v>TRANSPORT-F. BLEIBTREA</v>
      </c>
    </row>
    <row r="979" spans="1:8" x14ac:dyDescent="0.25">
      <c r="A979" t="s">
        <v>265</v>
      </c>
      <c r="B979">
        <v>763</v>
      </c>
      <c r="C979" s="2">
        <v>2525</v>
      </c>
      <c r="D979" s="1">
        <v>43599</v>
      </c>
      <c r="E979" t="str">
        <f>"201904248799"</f>
        <v>201904248799</v>
      </c>
      <c r="F979" t="str">
        <f>"19-19465"</f>
        <v>19-19465</v>
      </c>
      <c r="G979" s="2">
        <v>100</v>
      </c>
      <c r="H979" t="str">
        <f>"19-19465"</f>
        <v>19-19465</v>
      </c>
    </row>
    <row r="980" spans="1:8" x14ac:dyDescent="0.25">
      <c r="E980" t="str">
        <f>"201904248800"</f>
        <v>201904248800</v>
      </c>
      <c r="F980" t="str">
        <f>"18-19321"</f>
        <v>18-19321</v>
      </c>
      <c r="G980" s="2">
        <v>100</v>
      </c>
      <c r="H980" t="str">
        <f>"18-19321"</f>
        <v>18-19321</v>
      </c>
    </row>
    <row r="981" spans="1:8" x14ac:dyDescent="0.25">
      <c r="E981" t="str">
        <f>"201904248801"</f>
        <v>201904248801</v>
      </c>
      <c r="F981" t="str">
        <f>"18-18966"</f>
        <v>18-18966</v>
      </c>
      <c r="G981" s="2">
        <v>100</v>
      </c>
      <c r="H981" t="str">
        <f>"18-18966"</f>
        <v>18-18966</v>
      </c>
    </row>
    <row r="982" spans="1:8" x14ac:dyDescent="0.25">
      <c r="E982" t="str">
        <f>"201904248840"</f>
        <v>201904248840</v>
      </c>
      <c r="F982" t="str">
        <f>"56 253"</f>
        <v>56 253</v>
      </c>
      <c r="G982" s="2">
        <v>250</v>
      </c>
      <c r="H982" t="str">
        <f>"56 253"</f>
        <v>56 253</v>
      </c>
    </row>
    <row r="983" spans="1:8" x14ac:dyDescent="0.25">
      <c r="E983" t="str">
        <f>"201904248852"</f>
        <v>201904248852</v>
      </c>
      <c r="F983" t="str">
        <f>"4070489/929349844719021/18-S-0"</f>
        <v>4070489/929349844719021/18-S-0</v>
      </c>
      <c r="G983" s="2">
        <v>100</v>
      </c>
      <c r="H983" t="str">
        <f>"4070489/929349844719021/18-S-0"</f>
        <v>4070489/929349844719021/18-S-0</v>
      </c>
    </row>
    <row r="984" spans="1:8" x14ac:dyDescent="0.25">
      <c r="E984" t="str">
        <f>"201905079078"</f>
        <v>201905079078</v>
      </c>
      <c r="F984" t="str">
        <f>"56 004"</f>
        <v>56 004</v>
      </c>
      <c r="G984" s="2">
        <v>250</v>
      </c>
      <c r="H984" t="str">
        <f>"56 004"</f>
        <v>56 004</v>
      </c>
    </row>
    <row r="985" spans="1:8" x14ac:dyDescent="0.25">
      <c r="E985" t="str">
        <f>"201905079079"</f>
        <v>201905079079</v>
      </c>
      <c r="F985" t="str">
        <f>"402-109-17 925-352-3247A001"</f>
        <v>402-109-17 925-352-3247A001</v>
      </c>
      <c r="G985" s="2">
        <v>100</v>
      </c>
      <c r="H985" t="str">
        <f>"402-109-17 925-352-3247A001"</f>
        <v>402-109-17 925-352-3247A001</v>
      </c>
    </row>
    <row r="986" spans="1:8" x14ac:dyDescent="0.25">
      <c r="E986" t="str">
        <f>"201905079084"</f>
        <v>201905079084</v>
      </c>
      <c r="F986" t="str">
        <f>"56 411"</f>
        <v>56 411</v>
      </c>
      <c r="G986" s="2">
        <v>250</v>
      </c>
      <c r="H986" t="str">
        <f>"56 411"</f>
        <v>56 411</v>
      </c>
    </row>
    <row r="987" spans="1:8" x14ac:dyDescent="0.25">
      <c r="E987" t="str">
        <f>"201905079109"</f>
        <v>201905079109</v>
      </c>
      <c r="F987" t="str">
        <f>"19-19558"</f>
        <v>19-19558</v>
      </c>
      <c r="G987" s="2">
        <v>637.5</v>
      </c>
      <c r="H987" t="str">
        <f>"19-19558"</f>
        <v>19-19558</v>
      </c>
    </row>
    <row r="988" spans="1:8" x14ac:dyDescent="0.25">
      <c r="E988" t="str">
        <f>"201905079110"</f>
        <v>201905079110</v>
      </c>
      <c r="F988" t="str">
        <f>"18-18997"</f>
        <v>18-18997</v>
      </c>
      <c r="G988" s="2">
        <v>212.5</v>
      </c>
      <c r="H988" t="str">
        <f>"18-18997"</f>
        <v>18-18997</v>
      </c>
    </row>
    <row r="989" spans="1:8" x14ac:dyDescent="0.25">
      <c r="E989" t="str">
        <f>"201905079111"</f>
        <v>201905079111</v>
      </c>
      <c r="F989" t="str">
        <f>"19 19521"</f>
        <v>19 19521</v>
      </c>
      <c r="G989" s="2">
        <v>212.5</v>
      </c>
      <c r="H989" t="str">
        <f>"19 19521"</f>
        <v>19 19521</v>
      </c>
    </row>
    <row r="990" spans="1:8" x14ac:dyDescent="0.25">
      <c r="E990" t="str">
        <f>"201905079112"</f>
        <v>201905079112</v>
      </c>
      <c r="F990" t="str">
        <f>"18 18877"</f>
        <v>18 18877</v>
      </c>
      <c r="G990" s="2">
        <v>212.5</v>
      </c>
      <c r="H990" t="str">
        <f>"18 18877"</f>
        <v>18 18877</v>
      </c>
    </row>
    <row r="991" spans="1:8" x14ac:dyDescent="0.25">
      <c r="A991" t="s">
        <v>265</v>
      </c>
      <c r="B991">
        <v>831</v>
      </c>
      <c r="C991" s="2">
        <v>250</v>
      </c>
      <c r="D991" s="1">
        <v>43614</v>
      </c>
      <c r="E991" t="str">
        <f>"201905219412"</f>
        <v>201905219412</v>
      </c>
      <c r="F991" t="str">
        <f>"56 609"</f>
        <v>56 609</v>
      </c>
      <c r="G991" s="2">
        <v>250</v>
      </c>
      <c r="H991" t="str">
        <f>"56 609"</f>
        <v>56 609</v>
      </c>
    </row>
    <row r="992" spans="1:8" x14ac:dyDescent="0.25">
      <c r="A992" t="s">
        <v>266</v>
      </c>
      <c r="B992">
        <v>82362</v>
      </c>
      <c r="C992" s="2">
        <v>240.1</v>
      </c>
      <c r="D992" s="1">
        <v>43613</v>
      </c>
      <c r="E992" t="str">
        <f>"19613707"</f>
        <v>19613707</v>
      </c>
      <c r="F992" t="str">
        <f>"ACCT#41472/PCT#1"</f>
        <v>ACCT#41472/PCT#1</v>
      </c>
      <c r="G992" s="2">
        <v>23.73</v>
      </c>
      <c r="H992" t="str">
        <f>"ACCT#41472/PCT#1"</f>
        <v>ACCT#41472/PCT#1</v>
      </c>
    </row>
    <row r="993" spans="1:8" x14ac:dyDescent="0.25">
      <c r="E993" t="str">
        <f>"19613794"</f>
        <v>19613794</v>
      </c>
      <c r="F993" t="str">
        <f>"CUST#45057/PCT#4"</f>
        <v>CUST#45057/PCT#4</v>
      </c>
      <c r="G993" s="2">
        <v>42.73</v>
      </c>
      <c r="H993" t="str">
        <f>"CUST#45057/PCT#4"</f>
        <v>CUST#45057/PCT#4</v>
      </c>
    </row>
    <row r="994" spans="1:8" x14ac:dyDescent="0.25">
      <c r="E994" t="str">
        <f>"19613853"</f>
        <v>19613853</v>
      </c>
      <c r="F994" t="str">
        <f>"INV 19613853"</f>
        <v>INV 19613853</v>
      </c>
      <c r="G994" s="2">
        <v>53.64</v>
      </c>
      <c r="H994" t="str">
        <f>"INV 19613853"</f>
        <v>INV 19613853</v>
      </c>
    </row>
    <row r="995" spans="1:8" x14ac:dyDescent="0.25">
      <c r="E995" t="str">
        <f>"19621659"</f>
        <v>19621659</v>
      </c>
      <c r="F995" t="str">
        <f>"ACCT#S9549/PCT#1"</f>
        <v>ACCT#S9549/PCT#1</v>
      </c>
      <c r="G995" s="2">
        <v>120</v>
      </c>
      <c r="H995" t="str">
        <f>"ACCT#S9549/PCT#1"</f>
        <v>ACCT#S9549/PCT#1</v>
      </c>
    </row>
    <row r="996" spans="1:8" x14ac:dyDescent="0.25">
      <c r="A996" t="s">
        <v>267</v>
      </c>
      <c r="B996">
        <v>82363</v>
      </c>
      <c r="C996" s="2">
        <v>6.42</v>
      </c>
      <c r="D996" s="1">
        <v>43613</v>
      </c>
      <c r="E996" t="str">
        <f>"201905219376"</f>
        <v>201905219376</v>
      </c>
      <c r="F996" t="str">
        <f>"INDIGENT HEALTH"</f>
        <v>INDIGENT HEALTH</v>
      </c>
      <c r="G996" s="2">
        <v>6.42</v>
      </c>
      <c r="H996" t="str">
        <f>"INDIGENT HEALTH"</f>
        <v>INDIGENT HEALTH</v>
      </c>
    </row>
    <row r="997" spans="1:8" x14ac:dyDescent="0.25">
      <c r="A997" t="s">
        <v>268</v>
      </c>
      <c r="B997">
        <v>788</v>
      </c>
      <c r="C997" s="2">
        <v>212.79</v>
      </c>
      <c r="D997" s="1">
        <v>43599</v>
      </c>
      <c r="E997" t="str">
        <f>"670530"</f>
        <v>670530</v>
      </c>
      <c r="F997" t="str">
        <f>"ACCT#0900-98011130-001/PCT#3"</f>
        <v>ACCT#0900-98011130-001/PCT#3</v>
      </c>
      <c r="G997" s="2">
        <v>18.989999999999998</v>
      </c>
      <c r="H997" t="str">
        <f>"ACCT#0900-98011130-001/PCT#3"</f>
        <v>ACCT#0900-98011130-001/PCT#3</v>
      </c>
    </row>
    <row r="998" spans="1:8" x14ac:dyDescent="0.25">
      <c r="E998" t="str">
        <f>"671596"</f>
        <v>671596</v>
      </c>
      <c r="F998" t="str">
        <f>"ACCT#0900-98011130-001/PCT#1"</f>
        <v>ACCT#0900-98011130-001/PCT#1</v>
      </c>
      <c r="G998" s="2">
        <v>193.8</v>
      </c>
      <c r="H998" t="str">
        <f>"ACCT#0900-98011130-001/PCT#1"</f>
        <v>ACCT#0900-98011130-001/PCT#1</v>
      </c>
    </row>
    <row r="999" spans="1:8" x14ac:dyDescent="0.25">
      <c r="A999" t="s">
        <v>269</v>
      </c>
      <c r="B999">
        <v>82179</v>
      </c>
      <c r="C999" s="2">
        <v>15035.55</v>
      </c>
      <c r="D999" s="1">
        <v>43598</v>
      </c>
      <c r="E999" t="str">
        <f>"11627  03/28/19"</f>
        <v>11627  03/28/19</v>
      </c>
      <c r="F999" t="str">
        <f>"ABST FEE"</f>
        <v>ABST FEE</v>
      </c>
      <c r="G999" s="2">
        <v>175</v>
      </c>
      <c r="H999" t="str">
        <f>"ABST FEE"</f>
        <v>ABST FEE</v>
      </c>
    </row>
    <row r="1000" spans="1:8" x14ac:dyDescent="0.25">
      <c r="E1000" t="str">
        <f>"12291"</f>
        <v>12291</v>
      </c>
      <c r="F1000" t="str">
        <f>"ABST FEE"</f>
        <v>ABST FEE</v>
      </c>
      <c r="G1000" s="2">
        <v>175</v>
      </c>
      <c r="H1000" t="str">
        <f>"ABST FEE"</f>
        <v>ABST FEE</v>
      </c>
    </row>
    <row r="1001" spans="1:8" x14ac:dyDescent="0.25">
      <c r="E1001" t="str">
        <f>"12533"</f>
        <v>12533</v>
      </c>
      <c r="F1001" t="str">
        <f>"ABST FEE"</f>
        <v>ABST FEE</v>
      </c>
      <c r="G1001" s="2">
        <v>175</v>
      </c>
      <c r="H1001" t="str">
        <f>"ABST FEE"</f>
        <v>ABST FEE</v>
      </c>
    </row>
    <row r="1002" spans="1:8" x14ac:dyDescent="0.25">
      <c r="E1002" t="str">
        <f>"12641"</f>
        <v>12641</v>
      </c>
      <c r="F1002" t="str">
        <f>"ABST FEE  02/20/19"</f>
        <v>ABST FEE  02/20/19</v>
      </c>
      <c r="G1002" s="2">
        <v>225</v>
      </c>
      <c r="H1002" t="str">
        <f>"ABST FEE  02/20/19"</f>
        <v>ABST FEE  02/20/19</v>
      </c>
    </row>
    <row r="1003" spans="1:8" x14ac:dyDescent="0.25">
      <c r="E1003" t="str">
        <f>"12723"</f>
        <v>12723</v>
      </c>
      <c r="F1003" t="str">
        <f>"ABST FEE  03/01/19"</f>
        <v>ABST FEE  03/01/19</v>
      </c>
      <c r="G1003" s="2">
        <v>225</v>
      </c>
      <c r="H1003" t="str">
        <f>"ABST FEE  03/01/19"</f>
        <v>ABST FEE  03/01/19</v>
      </c>
    </row>
    <row r="1004" spans="1:8" x14ac:dyDescent="0.25">
      <c r="E1004" t="str">
        <f>"12766"</f>
        <v>12766</v>
      </c>
      <c r="F1004" t="str">
        <f>"ABST FEE"</f>
        <v>ABST FEE</v>
      </c>
      <c r="G1004" s="2">
        <v>225</v>
      </c>
      <c r="H1004" t="str">
        <f>"ABST FEE"</f>
        <v>ABST FEE</v>
      </c>
    </row>
    <row r="1005" spans="1:8" x14ac:dyDescent="0.25">
      <c r="E1005" t="str">
        <f>"12844"</f>
        <v>12844</v>
      </c>
      <c r="F1005" t="str">
        <f>"ABST FEE  02/26/19"</f>
        <v>ABST FEE  02/26/19</v>
      </c>
      <c r="G1005" s="2">
        <v>225</v>
      </c>
      <c r="H1005" t="str">
        <f>"ABST FEE  02/26/19"</f>
        <v>ABST FEE  02/26/19</v>
      </c>
    </row>
    <row r="1006" spans="1:8" x14ac:dyDescent="0.25">
      <c r="E1006" t="str">
        <f>"13004"</f>
        <v>13004</v>
      </c>
      <c r="F1006" t="str">
        <f>"ABST FEE  02/28/19"</f>
        <v>ABST FEE  02/28/19</v>
      </c>
      <c r="G1006" s="2">
        <v>225</v>
      </c>
      <c r="H1006" t="str">
        <f>"ABST FEE  02/28/19"</f>
        <v>ABST FEE  02/28/19</v>
      </c>
    </row>
    <row r="1007" spans="1:8" x14ac:dyDescent="0.25">
      <c r="E1007" t="str">
        <f>"13031"</f>
        <v>13031</v>
      </c>
      <c r="F1007" t="str">
        <f>"ABST FEE  02/26/19"</f>
        <v>ABST FEE  02/26/19</v>
      </c>
      <c r="G1007" s="2">
        <v>225</v>
      </c>
      <c r="H1007" t="str">
        <f>"ABST FEE  02/26/19"</f>
        <v>ABST FEE  02/26/19</v>
      </c>
    </row>
    <row r="1008" spans="1:8" x14ac:dyDescent="0.25">
      <c r="E1008" t="str">
        <f>"13040"</f>
        <v>13040</v>
      </c>
      <c r="F1008" t="str">
        <f>"ABST FEE"</f>
        <v>ABST FEE</v>
      </c>
      <c r="G1008" s="2">
        <v>225</v>
      </c>
      <c r="H1008" t="str">
        <f>"ABST FEE"</f>
        <v>ABST FEE</v>
      </c>
    </row>
    <row r="1009" spans="1:8" x14ac:dyDescent="0.25">
      <c r="E1009" t="str">
        <f>"13117"</f>
        <v>13117</v>
      </c>
      <c r="F1009" t="str">
        <f>"ABST FEE"</f>
        <v>ABST FEE</v>
      </c>
      <c r="G1009" s="2">
        <v>225</v>
      </c>
      <c r="H1009" t="str">
        <f>"ABST FEE"</f>
        <v>ABST FEE</v>
      </c>
    </row>
    <row r="1010" spans="1:8" x14ac:dyDescent="0.25">
      <c r="E1010" t="str">
        <f>"13130"</f>
        <v>13130</v>
      </c>
      <c r="F1010" t="str">
        <f>"ABST FEE  02/20/19"</f>
        <v>ABST FEE  02/20/19</v>
      </c>
      <c r="G1010" s="2">
        <v>225</v>
      </c>
      <c r="H1010" t="str">
        <f>"ABST FEE  02/20/19"</f>
        <v>ABST FEE  02/20/19</v>
      </c>
    </row>
    <row r="1011" spans="1:8" x14ac:dyDescent="0.25">
      <c r="E1011" t="str">
        <f>"13136"</f>
        <v>13136</v>
      </c>
      <c r="F1011" t="str">
        <f>"ABST FEE"</f>
        <v>ABST FEE</v>
      </c>
      <c r="G1011" s="2">
        <v>225</v>
      </c>
      <c r="H1011" t="str">
        <f>"ABST FEE"</f>
        <v>ABST FEE</v>
      </c>
    </row>
    <row r="1012" spans="1:8" x14ac:dyDescent="0.25">
      <c r="E1012" t="str">
        <f>"13143"</f>
        <v>13143</v>
      </c>
      <c r="F1012" t="str">
        <f>"ABSTRACT FEE"</f>
        <v>ABSTRACT FEE</v>
      </c>
      <c r="G1012" s="2">
        <v>225</v>
      </c>
      <c r="H1012" t="str">
        <f>"ABSTRACT FEE"</f>
        <v>ABSTRACT FEE</v>
      </c>
    </row>
    <row r="1013" spans="1:8" x14ac:dyDescent="0.25">
      <c r="E1013" t="str">
        <f>"13150"</f>
        <v>13150</v>
      </c>
      <c r="F1013" t="str">
        <f>"ABST FEE"</f>
        <v>ABST FEE</v>
      </c>
      <c r="G1013" s="2">
        <v>225</v>
      </c>
      <c r="H1013" t="str">
        <f>"ABST FEE"</f>
        <v>ABST FEE</v>
      </c>
    </row>
    <row r="1014" spans="1:8" x14ac:dyDescent="0.25">
      <c r="E1014" t="str">
        <f>"13153"</f>
        <v>13153</v>
      </c>
      <c r="F1014" t="str">
        <f>"ABST FEE"</f>
        <v>ABST FEE</v>
      </c>
      <c r="G1014" s="2">
        <v>225</v>
      </c>
      <c r="H1014" t="str">
        <f>"ABST FEE"</f>
        <v>ABST FEE</v>
      </c>
    </row>
    <row r="1015" spans="1:8" x14ac:dyDescent="0.25">
      <c r="E1015" t="str">
        <f>"13158"</f>
        <v>13158</v>
      </c>
      <c r="F1015" t="str">
        <f>"ABST FEE"</f>
        <v>ABST FEE</v>
      </c>
      <c r="G1015" s="2">
        <v>225</v>
      </c>
      <c r="H1015" t="str">
        <f>"ABST FEE"</f>
        <v>ABST FEE</v>
      </c>
    </row>
    <row r="1016" spans="1:8" x14ac:dyDescent="0.25">
      <c r="E1016" t="str">
        <f>"13161"</f>
        <v>13161</v>
      </c>
      <c r="F1016" t="str">
        <f>"SERVICE-$55 ABSTRACT FEE-$225"</f>
        <v>SERVICE-$55 ABSTRACT FEE-$225</v>
      </c>
      <c r="G1016" s="2">
        <v>280</v>
      </c>
      <c r="H1016" t="str">
        <f>"SERVICE-$55 ABSTRACT FEE-$225"</f>
        <v>SERVICE-$55 ABSTRACT FEE-$225</v>
      </c>
    </row>
    <row r="1017" spans="1:8" x14ac:dyDescent="0.25">
      <c r="E1017" t="str">
        <f>"13165"</f>
        <v>13165</v>
      </c>
      <c r="F1017" t="str">
        <f>"ABST FEE"</f>
        <v>ABST FEE</v>
      </c>
      <c r="G1017" s="2">
        <v>225</v>
      </c>
      <c r="H1017" t="str">
        <f>"ABST FEE"</f>
        <v>ABST FEE</v>
      </c>
    </row>
    <row r="1018" spans="1:8" x14ac:dyDescent="0.25">
      <c r="E1018" t="str">
        <f>"13179"</f>
        <v>13179</v>
      </c>
      <c r="F1018" t="str">
        <f>"ABST FEE $225/SERVICE $55"</f>
        <v>ABST FEE $225/SERVICE $55</v>
      </c>
      <c r="G1018" s="2">
        <v>280</v>
      </c>
      <c r="H1018" t="str">
        <f>"ABST FEE $225/SERVICE $55"</f>
        <v>ABST FEE $225/SERVICE $55</v>
      </c>
    </row>
    <row r="1019" spans="1:8" x14ac:dyDescent="0.25">
      <c r="E1019" t="str">
        <f>"201905039020"</f>
        <v>201905039020</v>
      </c>
      <c r="F1019" t="str">
        <f>"ATTORNEY FEES-APRIL 2019"</f>
        <v>ATTORNEY FEES-APRIL 2019</v>
      </c>
      <c r="G1019" s="2">
        <v>10575.55</v>
      </c>
      <c r="H1019" t="str">
        <f>"ATTORNEY FEES-APRIL 2019"</f>
        <v>ATTORNEY FEES-APRIL 2019</v>
      </c>
    </row>
    <row r="1020" spans="1:8" x14ac:dyDescent="0.25">
      <c r="A1020" t="s">
        <v>270</v>
      </c>
      <c r="B1020">
        <v>82180</v>
      </c>
      <c r="C1020" s="2">
        <v>700</v>
      </c>
      <c r="D1020" s="1">
        <v>43598</v>
      </c>
      <c r="E1020" t="str">
        <f>"1004"</f>
        <v>1004</v>
      </c>
      <c r="F1020" t="str">
        <f>"BURIAL PLOT-G. JONES"</f>
        <v>BURIAL PLOT-G. JONES</v>
      </c>
      <c r="G1020" s="2">
        <v>700</v>
      </c>
      <c r="H1020" t="str">
        <f>"BURIAL PLOT-G. JONES"</f>
        <v>BURIAL PLOT-G. JONES</v>
      </c>
    </row>
    <row r="1021" spans="1:8" x14ac:dyDescent="0.25">
      <c r="A1021" t="s">
        <v>271</v>
      </c>
      <c r="B1021">
        <v>82364</v>
      </c>
      <c r="C1021" s="2">
        <v>1246.22</v>
      </c>
      <c r="D1021" s="1">
        <v>43613</v>
      </c>
      <c r="E1021" t="str">
        <f>"49823832 49789408"</f>
        <v>49823832 49789408</v>
      </c>
      <c r="F1021" t="str">
        <f>"INV 49823832"</f>
        <v>INV 49823832</v>
      </c>
      <c r="G1021" s="2">
        <v>606.5</v>
      </c>
      <c r="H1021" t="str">
        <f>"INV 49823832"</f>
        <v>INV 49823832</v>
      </c>
    </row>
    <row r="1022" spans="1:8" x14ac:dyDescent="0.25">
      <c r="E1022" t="str">
        <f>""</f>
        <v/>
      </c>
      <c r="F1022" t="str">
        <f>""</f>
        <v/>
      </c>
      <c r="H1022" t="str">
        <f>"INV 49789408"</f>
        <v>INV 49789408</v>
      </c>
    </row>
    <row r="1023" spans="1:8" x14ac:dyDescent="0.25">
      <c r="E1023" t="str">
        <f>""</f>
        <v/>
      </c>
      <c r="F1023" t="str">
        <f>""</f>
        <v/>
      </c>
      <c r="H1023" t="str">
        <f>"INV 53917048"</f>
        <v>INV 53917048</v>
      </c>
    </row>
    <row r="1024" spans="1:8" x14ac:dyDescent="0.25">
      <c r="E1024" t="str">
        <f>"54059403"</f>
        <v>54059403</v>
      </c>
      <c r="F1024" t="str">
        <f>"INV 54059403"</f>
        <v>INV 54059403</v>
      </c>
      <c r="G1024" s="2">
        <v>639.72</v>
      </c>
      <c r="H1024" t="str">
        <f>"INV 54059403"</f>
        <v>INV 54059403</v>
      </c>
    </row>
    <row r="1025" spans="1:8" x14ac:dyDescent="0.25">
      <c r="A1025" t="s">
        <v>272</v>
      </c>
      <c r="B1025">
        <v>82365</v>
      </c>
      <c r="C1025" s="2">
        <v>2527.79</v>
      </c>
      <c r="D1025" s="1">
        <v>43613</v>
      </c>
      <c r="E1025" t="str">
        <f>"201905219367"</f>
        <v>201905219367</v>
      </c>
      <c r="F1025" t="str">
        <f>"INDIGENT HEALTH"</f>
        <v>INDIGENT HEALTH</v>
      </c>
      <c r="G1025" s="2">
        <v>2527.79</v>
      </c>
      <c r="H1025" t="str">
        <f>"INDIGENT HEALTH"</f>
        <v>INDIGENT HEALTH</v>
      </c>
    </row>
    <row r="1026" spans="1:8" x14ac:dyDescent="0.25">
      <c r="E1026" t="str">
        <f>""</f>
        <v/>
      </c>
      <c r="F1026" t="str">
        <f>""</f>
        <v/>
      </c>
      <c r="H1026" t="str">
        <f>"INDIGENT HEALTH"</f>
        <v>INDIGENT HEALTH</v>
      </c>
    </row>
    <row r="1027" spans="1:8" x14ac:dyDescent="0.25">
      <c r="A1027" t="s">
        <v>273</v>
      </c>
      <c r="B1027">
        <v>82181</v>
      </c>
      <c r="C1027" s="2">
        <v>4000</v>
      </c>
      <c r="D1027" s="1">
        <v>43598</v>
      </c>
      <c r="E1027" t="str">
        <f>"201905089206"</f>
        <v>201905089206</v>
      </c>
      <c r="F1027" t="str">
        <f>"SURGICAL SVC 4/4 4/8 4/11 4/15"</f>
        <v>SURGICAL SVC 4/4 4/8 4/11 4/15</v>
      </c>
      <c r="G1027" s="2">
        <v>2000</v>
      </c>
      <c r="H1027" t="str">
        <f>"SURGICAL SVC 4/4 4/8 4/11 4/15"</f>
        <v>SURGICAL SVC 4/4 4/8 4/11 4/15</v>
      </c>
    </row>
    <row r="1028" spans="1:8" x14ac:dyDescent="0.25">
      <c r="E1028" t="str">
        <f>"201905089207"</f>
        <v>201905089207</v>
      </c>
      <c r="F1028" t="str">
        <f>"SURGICAL SVC APR 18 22 25 29"</f>
        <v>SURGICAL SVC APR 18 22 25 29</v>
      </c>
      <c r="G1028" s="2">
        <v>2000</v>
      </c>
      <c r="H1028" t="str">
        <f>"SURGICAL SVC APR 18 22 25 29"</f>
        <v>SURGICAL SVC APR 18 22 25 29</v>
      </c>
    </row>
    <row r="1029" spans="1:8" x14ac:dyDescent="0.25">
      <c r="A1029" t="s">
        <v>273</v>
      </c>
      <c r="B1029">
        <v>82366</v>
      </c>
      <c r="C1029" s="2">
        <v>1500</v>
      </c>
      <c r="D1029" s="1">
        <v>43613</v>
      </c>
      <c r="E1029" t="str">
        <f>"201905229473"</f>
        <v>201905229473</v>
      </c>
      <c r="F1029" t="str">
        <f>"SURGICAL SVCS - MAY 13 16 20"</f>
        <v>SURGICAL SVCS - MAY 13 16 20</v>
      </c>
      <c r="G1029" s="2">
        <v>1500</v>
      </c>
      <c r="H1029" t="str">
        <f>"SURGICAL SVCS - MAY 13 16 20"</f>
        <v>SURGICAL SVCS - MAY 13 16 20</v>
      </c>
    </row>
    <row r="1030" spans="1:8" x14ac:dyDescent="0.25">
      <c r="A1030" t="s">
        <v>274</v>
      </c>
      <c r="B1030">
        <v>789</v>
      </c>
      <c r="C1030" s="2">
        <v>100</v>
      </c>
      <c r="D1030" s="1">
        <v>43599</v>
      </c>
      <c r="E1030" t="str">
        <f>"19-009"</f>
        <v>19-009</v>
      </c>
      <c r="F1030" t="str">
        <f>"423-3301"</f>
        <v>423-3301</v>
      </c>
      <c r="G1030" s="2">
        <v>100</v>
      </c>
      <c r="H1030" t="str">
        <f>"423-3301"</f>
        <v>423-3301</v>
      </c>
    </row>
    <row r="1031" spans="1:8" x14ac:dyDescent="0.25">
      <c r="A1031" t="s">
        <v>275</v>
      </c>
      <c r="B1031">
        <v>82182</v>
      </c>
      <c r="C1031" s="2">
        <v>2005.35</v>
      </c>
      <c r="D1031" s="1">
        <v>43598</v>
      </c>
      <c r="E1031" t="str">
        <f>"19321"</f>
        <v>19321</v>
      </c>
      <c r="F1031" t="str">
        <f>"FREIGHT SALES/PCT#2"</f>
        <v>FREIGHT SALES/PCT#2</v>
      </c>
      <c r="G1031" s="2">
        <v>824.7</v>
      </c>
      <c r="H1031" t="str">
        <f>"FREIGHT SALES/PCT#2"</f>
        <v>FREIGHT SALES/PCT#2</v>
      </c>
    </row>
    <row r="1032" spans="1:8" x14ac:dyDescent="0.25">
      <c r="E1032" t="str">
        <f>"19363"</f>
        <v>19363</v>
      </c>
      <c r="F1032" t="str">
        <f>"FREIGHT SALES/PCT#2"</f>
        <v>FREIGHT SALES/PCT#2</v>
      </c>
      <c r="G1032" s="2">
        <v>250.85</v>
      </c>
      <c r="H1032" t="str">
        <f>"FREIGHT SALES/PCT#2"</f>
        <v>FREIGHT SALES/PCT#2</v>
      </c>
    </row>
    <row r="1033" spans="1:8" x14ac:dyDescent="0.25">
      <c r="E1033" t="str">
        <f>"19417"</f>
        <v>19417</v>
      </c>
      <c r="F1033" t="str">
        <f>"FREIGHT SALES/REC BASE/PCT#2"</f>
        <v>FREIGHT SALES/REC BASE/PCT#2</v>
      </c>
      <c r="G1033" s="2">
        <v>120.25</v>
      </c>
      <c r="H1033" t="str">
        <f>"FREIGHT SALES/REC BASE/PCT#2"</f>
        <v>FREIGHT SALES/REC BASE/PCT#2</v>
      </c>
    </row>
    <row r="1034" spans="1:8" x14ac:dyDescent="0.25">
      <c r="E1034" t="str">
        <f>"19459"</f>
        <v>19459</v>
      </c>
      <c r="F1034" t="str">
        <f>"FREIGHT SALES/PCT#2"</f>
        <v>FREIGHT SALES/PCT#2</v>
      </c>
      <c r="G1034" s="2">
        <v>809.55</v>
      </c>
      <c r="H1034" t="str">
        <f>"FREIGHT SALES/PCT#2"</f>
        <v>FREIGHT SALES/PCT#2</v>
      </c>
    </row>
    <row r="1035" spans="1:8" x14ac:dyDescent="0.25">
      <c r="A1035" t="s">
        <v>275</v>
      </c>
      <c r="B1035">
        <v>82367</v>
      </c>
      <c r="C1035" s="2">
        <v>2838.4</v>
      </c>
      <c r="D1035" s="1">
        <v>43613</v>
      </c>
      <c r="E1035" t="str">
        <f>"19524"</f>
        <v>19524</v>
      </c>
      <c r="F1035" t="str">
        <f>"FREIGHT SALES/PCT#2"</f>
        <v>FREIGHT SALES/PCT#2</v>
      </c>
      <c r="G1035" s="2">
        <v>2838.4</v>
      </c>
      <c r="H1035" t="str">
        <f>"FREIGHT SALES/PCT#2"</f>
        <v>FREIGHT SALES/PCT#2</v>
      </c>
    </row>
    <row r="1036" spans="1:8" x14ac:dyDescent="0.25">
      <c r="A1036" t="s">
        <v>276</v>
      </c>
      <c r="B1036">
        <v>82183</v>
      </c>
      <c r="C1036" s="2">
        <v>20000</v>
      </c>
      <c r="D1036" s="1">
        <v>43598</v>
      </c>
      <c r="E1036" t="str">
        <f>"201905069030"</f>
        <v>201905069030</v>
      </c>
      <c r="F1036" t="str">
        <f>"MONITORING-APRIL 2019"</f>
        <v>MONITORING-APRIL 2019</v>
      </c>
      <c r="G1036" s="2">
        <v>13000</v>
      </c>
    </row>
    <row r="1037" spans="1:8" x14ac:dyDescent="0.25">
      <c r="E1037" t="str">
        <f>"201905069031"</f>
        <v>201905069031</v>
      </c>
      <c r="F1037" t="str">
        <f>"MONITORING-MARCH 2019"</f>
        <v>MONITORING-MARCH 2019</v>
      </c>
      <c r="G1037" s="2">
        <v>7000</v>
      </c>
    </row>
    <row r="1038" spans="1:8" x14ac:dyDescent="0.25">
      <c r="A1038" t="s">
        <v>276</v>
      </c>
      <c r="B1038">
        <v>82183</v>
      </c>
      <c r="C1038" s="2">
        <v>20000</v>
      </c>
      <c r="D1038" s="1">
        <v>43606</v>
      </c>
      <c r="E1038" t="str">
        <f>"CHECK"</f>
        <v>CHECK</v>
      </c>
      <c r="F1038" t="str">
        <f>""</f>
        <v/>
      </c>
      <c r="G1038" s="2">
        <v>20000</v>
      </c>
    </row>
    <row r="1039" spans="1:8" x14ac:dyDescent="0.25">
      <c r="A1039" t="s">
        <v>276</v>
      </c>
      <c r="B1039">
        <v>82287</v>
      </c>
      <c r="C1039" s="2">
        <v>13000</v>
      </c>
      <c r="D1039" s="1">
        <v>43606</v>
      </c>
      <c r="E1039" t="str">
        <f>"201905219358"</f>
        <v>201905219358</v>
      </c>
      <c r="F1039" t="str">
        <f>"APRIL 2019 MONITORING"</f>
        <v>APRIL 2019 MONITORING</v>
      </c>
      <c r="G1039" s="2">
        <v>6000</v>
      </c>
      <c r="H1039" t="str">
        <f>"APRIL 2019 MONITORING"</f>
        <v>APRIL 2019 MONITORING</v>
      </c>
    </row>
    <row r="1040" spans="1:8" x14ac:dyDescent="0.25">
      <c r="E1040" t="str">
        <f>"201905219359"</f>
        <v>201905219359</v>
      </c>
      <c r="F1040" t="str">
        <f>"MARCH 2019 MONITORING"</f>
        <v>MARCH 2019 MONITORING</v>
      </c>
      <c r="G1040" s="2">
        <v>7000</v>
      </c>
      <c r="H1040" t="str">
        <f>"MARCH 2019 MONITORING"</f>
        <v>MARCH 2019 MONITORING</v>
      </c>
    </row>
    <row r="1041" spans="1:8" x14ac:dyDescent="0.25">
      <c r="A1041" t="s">
        <v>277</v>
      </c>
      <c r="B1041">
        <v>82027</v>
      </c>
      <c r="C1041" s="2">
        <v>40</v>
      </c>
      <c r="D1041" s="1">
        <v>43586</v>
      </c>
      <c r="E1041" t="str">
        <f>"201905018911"</f>
        <v>201905018911</v>
      </c>
      <c r="F1041" t="str">
        <f>"Misc"</f>
        <v>Misc</v>
      </c>
      <c r="G1041" s="2">
        <v>40</v>
      </c>
      <c r="H1041" t="str">
        <f>"ADREA LETRICE BRIDGEMAN"</f>
        <v>ADREA LETRICE BRIDGEMAN</v>
      </c>
    </row>
    <row r="1042" spans="1:8" x14ac:dyDescent="0.25">
      <c r="A1042" t="s">
        <v>278</v>
      </c>
      <c r="B1042">
        <v>82028</v>
      </c>
      <c r="C1042" s="2">
        <v>40</v>
      </c>
      <c r="D1042" s="1">
        <v>43586</v>
      </c>
      <c r="E1042" t="str">
        <f>"201905018912"</f>
        <v>201905018912</v>
      </c>
      <c r="F1042" t="str">
        <f>"Misc"</f>
        <v>Misc</v>
      </c>
      <c r="G1042" s="2">
        <v>40</v>
      </c>
      <c r="H1042" t="str">
        <f>"JOSEPH EDWARD GRUNINGER"</f>
        <v>JOSEPH EDWARD GRUNINGER</v>
      </c>
    </row>
    <row r="1043" spans="1:8" x14ac:dyDescent="0.25">
      <c r="A1043" t="s">
        <v>279</v>
      </c>
      <c r="B1043">
        <v>82029</v>
      </c>
      <c r="C1043" s="2">
        <v>40</v>
      </c>
      <c r="D1043" s="1">
        <v>43586</v>
      </c>
      <c r="E1043" t="str">
        <f>"201905018913"</f>
        <v>201905018913</v>
      </c>
      <c r="F1043" t="str">
        <f>"Miscel"</f>
        <v>Miscel</v>
      </c>
      <c r="G1043" s="2">
        <v>40</v>
      </c>
      <c r="H1043" t="str">
        <f>"JEFFREY RUSSELL KRITZ"</f>
        <v>JEFFREY RUSSELL KRITZ</v>
      </c>
    </row>
    <row r="1044" spans="1:8" x14ac:dyDescent="0.25">
      <c r="A1044" t="s">
        <v>280</v>
      </c>
      <c r="B1044">
        <v>82030</v>
      </c>
      <c r="C1044" s="2">
        <v>40</v>
      </c>
      <c r="D1044" s="1">
        <v>43586</v>
      </c>
      <c r="E1044" t="str">
        <f>"201905018914"</f>
        <v>201905018914</v>
      </c>
      <c r="F1044" t="str">
        <f>"Miscell"</f>
        <v>Miscell</v>
      </c>
      <c r="G1044" s="2">
        <v>40</v>
      </c>
      <c r="H1044" t="str">
        <f>"MICHELLE LYNN HARRIS"</f>
        <v>MICHELLE LYNN HARRIS</v>
      </c>
    </row>
    <row r="1045" spans="1:8" x14ac:dyDescent="0.25">
      <c r="A1045" t="s">
        <v>281</v>
      </c>
      <c r="B1045">
        <v>82031</v>
      </c>
      <c r="C1045" s="2">
        <v>40</v>
      </c>
      <c r="D1045" s="1">
        <v>43586</v>
      </c>
      <c r="E1045" t="str">
        <f>"201905018915"</f>
        <v>201905018915</v>
      </c>
      <c r="F1045" t="str">
        <f>"Miscellane"</f>
        <v>Miscellane</v>
      </c>
      <c r="G1045" s="2">
        <v>40</v>
      </c>
      <c r="H1045" t="str">
        <f>"JOHN MICHAEL COON"</f>
        <v>JOHN MICHAEL COON</v>
      </c>
    </row>
    <row r="1046" spans="1:8" x14ac:dyDescent="0.25">
      <c r="A1046" t="s">
        <v>282</v>
      </c>
      <c r="B1046">
        <v>82032</v>
      </c>
      <c r="C1046" s="2">
        <v>40</v>
      </c>
      <c r="D1046" s="1">
        <v>43586</v>
      </c>
      <c r="E1046" t="str">
        <f>"201905018916"</f>
        <v>201905018916</v>
      </c>
      <c r="F1046" t="str">
        <f>"Miscel"</f>
        <v>Miscel</v>
      </c>
      <c r="G1046" s="2">
        <v>40</v>
      </c>
      <c r="H1046" t="str">
        <f>"ELIZABETH RICHVOLDSEN"</f>
        <v>ELIZABETH RICHVOLDSEN</v>
      </c>
    </row>
    <row r="1047" spans="1:8" x14ac:dyDescent="0.25">
      <c r="A1047" t="s">
        <v>283</v>
      </c>
      <c r="B1047">
        <v>82033</v>
      </c>
      <c r="C1047" s="2">
        <v>40</v>
      </c>
      <c r="D1047" s="1">
        <v>43586</v>
      </c>
      <c r="E1047" t="str">
        <f>"201905018917"</f>
        <v>201905018917</v>
      </c>
      <c r="F1047" t="str">
        <f>"Miscella"</f>
        <v>Miscella</v>
      </c>
      <c r="G1047" s="2">
        <v>40</v>
      </c>
      <c r="H1047" t="str">
        <f>"DAVID EARL MCMULLEN"</f>
        <v>DAVID EARL MCMULLEN</v>
      </c>
    </row>
    <row r="1048" spans="1:8" x14ac:dyDescent="0.25">
      <c r="A1048" t="s">
        <v>284</v>
      </c>
      <c r="B1048">
        <v>82034</v>
      </c>
      <c r="C1048" s="2">
        <v>40</v>
      </c>
      <c r="D1048" s="1">
        <v>43586</v>
      </c>
      <c r="E1048" t="str">
        <f>"201905018918"</f>
        <v>201905018918</v>
      </c>
      <c r="F1048" t="str">
        <f>"Misce"</f>
        <v>Misce</v>
      </c>
      <c r="G1048" s="2">
        <v>40</v>
      </c>
      <c r="H1048" t="str">
        <f>"ARRION SAVINO ESPINOZA"</f>
        <v>ARRION SAVINO ESPINOZA</v>
      </c>
    </row>
    <row r="1049" spans="1:8" x14ac:dyDescent="0.25">
      <c r="A1049" t="s">
        <v>285</v>
      </c>
      <c r="B1049">
        <v>82035</v>
      </c>
      <c r="C1049" s="2">
        <v>40</v>
      </c>
      <c r="D1049" s="1">
        <v>43586</v>
      </c>
      <c r="E1049" t="str">
        <f>"201905018919"</f>
        <v>201905018919</v>
      </c>
      <c r="F1049" t="str">
        <f>"Miscellaneous"</f>
        <v>Miscellaneous</v>
      </c>
      <c r="G1049" s="2">
        <v>40</v>
      </c>
      <c r="H1049" t="str">
        <f>"DIXIE ANN KING"</f>
        <v>DIXIE ANN KING</v>
      </c>
    </row>
    <row r="1050" spans="1:8" x14ac:dyDescent="0.25">
      <c r="A1050" t="s">
        <v>286</v>
      </c>
      <c r="B1050">
        <v>82036</v>
      </c>
      <c r="C1050" s="2">
        <v>40</v>
      </c>
      <c r="D1050" s="1">
        <v>43586</v>
      </c>
      <c r="E1050" t="str">
        <f>"201905018920"</f>
        <v>201905018920</v>
      </c>
      <c r="F1050" t="str">
        <f>"Miscellaneou"</f>
        <v>Miscellaneou</v>
      </c>
      <c r="G1050" s="2">
        <v>40</v>
      </c>
      <c r="H1050" t="str">
        <f>"ROBYNE M TAYLOR"</f>
        <v>ROBYNE M TAYLOR</v>
      </c>
    </row>
    <row r="1051" spans="1:8" x14ac:dyDescent="0.25">
      <c r="A1051" t="s">
        <v>287</v>
      </c>
      <c r="B1051">
        <v>82037</v>
      </c>
      <c r="C1051" s="2">
        <v>40</v>
      </c>
      <c r="D1051" s="1">
        <v>43586</v>
      </c>
      <c r="E1051" t="str">
        <f>"201905018921"</f>
        <v>201905018921</v>
      </c>
      <c r="F1051" t="str">
        <f>"Miscella"</f>
        <v>Miscella</v>
      </c>
      <c r="G1051" s="2">
        <v>40</v>
      </c>
      <c r="H1051" t="str">
        <f>"MAIRA LORENA GORMAN"</f>
        <v>MAIRA LORENA GORMAN</v>
      </c>
    </row>
    <row r="1052" spans="1:8" x14ac:dyDescent="0.25">
      <c r="A1052" t="s">
        <v>288</v>
      </c>
      <c r="B1052">
        <v>82368</v>
      </c>
      <c r="C1052" s="2">
        <v>50</v>
      </c>
      <c r="D1052" s="1">
        <v>43613</v>
      </c>
      <c r="E1052" t="str">
        <f>"5928"</f>
        <v>5928</v>
      </c>
      <c r="F1052" t="str">
        <f>"RELOCATING DUMPSTER/GEN SVCS"</f>
        <v>RELOCATING DUMPSTER/GEN SVCS</v>
      </c>
      <c r="G1052" s="2">
        <v>50</v>
      </c>
      <c r="H1052" t="str">
        <f>"RELOCATING DUMPSTER/GEN SVCS"</f>
        <v>RELOCATING DUMPSTER/GEN SVCS</v>
      </c>
    </row>
    <row r="1053" spans="1:8" x14ac:dyDescent="0.25">
      <c r="A1053" t="s">
        <v>289</v>
      </c>
      <c r="B1053">
        <v>82369</v>
      </c>
      <c r="C1053" s="2">
        <v>94.52</v>
      </c>
      <c r="D1053" s="1">
        <v>43613</v>
      </c>
      <c r="E1053" t="str">
        <f>"S106169665.001"</f>
        <v>S106169665.001</v>
      </c>
      <c r="F1053" t="str">
        <f>"INV S106169665.001"</f>
        <v>INV S106169665.001</v>
      </c>
      <c r="G1053" s="2">
        <v>94.52</v>
      </c>
      <c r="H1053" t="str">
        <f>"INV S106169665.001"</f>
        <v>INV S106169665.001</v>
      </c>
    </row>
    <row r="1054" spans="1:8" x14ac:dyDescent="0.25">
      <c r="A1054" t="s">
        <v>290</v>
      </c>
      <c r="B1054">
        <v>82184</v>
      </c>
      <c r="C1054" s="2">
        <v>4692.55</v>
      </c>
      <c r="D1054" s="1">
        <v>43598</v>
      </c>
      <c r="E1054" t="str">
        <f>"201905028942"</f>
        <v>201905028942</v>
      </c>
      <c r="F1054" t="str">
        <f>"Stone Fountain"</f>
        <v>Stone Fountain</v>
      </c>
      <c r="G1054" s="2">
        <v>4692.55</v>
      </c>
      <c r="H1054" t="str">
        <f>"Item# 3800 SM"</f>
        <v>Item# 3800 SM</v>
      </c>
    </row>
    <row r="1055" spans="1:8" x14ac:dyDescent="0.25">
      <c r="E1055" t="str">
        <f>""</f>
        <v/>
      </c>
      <c r="F1055" t="str">
        <f>""</f>
        <v/>
      </c>
      <c r="H1055" t="str">
        <f>"Item# KIT UAVB"</f>
        <v>Item# KIT UAVB</v>
      </c>
    </row>
    <row r="1056" spans="1:8" x14ac:dyDescent="0.25">
      <c r="E1056" t="str">
        <f>""</f>
        <v/>
      </c>
      <c r="F1056" t="str">
        <f>""</f>
        <v/>
      </c>
      <c r="H1056" t="str">
        <f>"Item# KIT COV-LPD"</f>
        <v>Item# KIT COV-LPD</v>
      </c>
    </row>
    <row r="1057" spans="1:8" x14ac:dyDescent="0.25">
      <c r="E1057" t="str">
        <f>""</f>
        <v/>
      </c>
      <c r="F1057" t="str">
        <f>""</f>
        <v/>
      </c>
      <c r="H1057" t="str">
        <f>"Item# MDF-95"</f>
        <v>Item# MDF-95</v>
      </c>
    </row>
    <row r="1058" spans="1:8" x14ac:dyDescent="0.25">
      <c r="E1058" t="str">
        <f>""</f>
        <v/>
      </c>
      <c r="F1058" t="str">
        <f>""</f>
        <v/>
      </c>
      <c r="H1058" t="str">
        <f>"MDF-145"</f>
        <v>MDF-145</v>
      </c>
    </row>
    <row r="1059" spans="1:8" x14ac:dyDescent="0.25">
      <c r="E1059" t="str">
        <f>""</f>
        <v/>
      </c>
      <c r="F1059" t="str">
        <f>""</f>
        <v/>
      </c>
      <c r="H1059" t="str">
        <f>"Item# TEMPLATE 3800"</f>
        <v>Item# TEMPLATE 3800</v>
      </c>
    </row>
    <row r="1060" spans="1:8" x14ac:dyDescent="0.25">
      <c r="E1060" t="str">
        <f>""</f>
        <v/>
      </c>
      <c r="F1060" t="str">
        <f>""</f>
        <v/>
      </c>
      <c r="H1060" t="str">
        <f>"FREIGHT"</f>
        <v>FREIGHT</v>
      </c>
    </row>
    <row r="1061" spans="1:8" x14ac:dyDescent="0.25">
      <c r="A1061" t="s">
        <v>291</v>
      </c>
      <c r="B1061">
        <v>82185</v>
      </c>
      <c r="C1061" s="2">
        <v>14624.42</v>
      </c>
      <c r="D1061" s="1">
        <v>43598</v>
      </c>
      <c r="E1061" t="str">
        <f>"16045436"</f>
        <v>16045436</v>
      </c>
      <c r="F1061" t="str">
        <f>"Motorola Radio Repair Par"</f>
        <v>Motorola Radio Repair Par</v>
      </c>
      <c r="G1061" s="2">
        <v>569.37</v>
      </c>
      <c r="H1061" t="str">
        <f>"1385149D01"</f>
        <v>1385149D01</v>
      </c>
    </row>
    <row r="1062" spans="1:8" x14ac:dyDescent="0.25">
      <c r="E1062" t="str">
        <f>""</f>
        <v/>
      </c>
      <c r="F1062" t="str">
        <f>""</f>
        <v/>
      </c>
      <c r="H1062" t="str">
        <f>"7585959C01"</f>
        <v>7585959C01</v>
      </c>
    </row>
    <row r="1063" spans="1:8" x14ac:dyDescent="0.25">
      <c r="E1063" t="str">
        <f>""</f>
        <v/>
      </c>
      <c r="F1063" t="str">
        <f>""</f>
        <v/>
      </c>
      <c r="H1063" t="str">
        <f>"0485667D01"</f>
        <v>0485667D01</v>
      </c>
    </row>
    <row r="1064" spans="1:8" x14ac:dyDescent="0.25">
      <c r="E1064" t="str">
        <f>""</f>
        <v/>
      </c>
      <c r="F1064" t="str">
        <f>""</f>
        <v/>
      </c>
      <c r="H1064" t="str">
        <f>"3680529Z01"</f>
        <v>3680529Z01</v>
      </c>
    </row>
    <row r="1065" spans="1:8" x14ac:dyDescent="0.25">
      <c r="E1065" t="str">
        <f>""</f>
        <v/>
      </c>
      <c r="F1065" t="str">
        <f>""</f>
        <v/>
      </c>
      <c r="H1065" t="str">
        <f>"3671816L01"</f>
        <v>3671816L01</v>
      </c>
    </row>
    <row r="1066" spans="1:8" x14ac:dyDescent="0.25">
      <c r="E1066" t="str">
        <f>""</f>
        <v/>
      </c>
      <c r="F1066" t="str">
        <f>""</f>
        <v/>
      </c>
      <c r="H1066" t="str">
        <f>"72009264001"</f>
        <v>72009264001</v>
      </c>
    </row>
    <row r="1067" spans="1:8" x14ac:dyDescent="0.25">
      <c r="E1067" t="str">
        <f>""</f>
        <v/>
      </c>
      <c r="F1067" t="str">
        <f>""</f>
        <v/>
      </c>
      <c r="H1067" t="str">
        <f>"PMLN5466C"</f>
        <v>PMLN5466C</v>
      </c>
    </row>
    <row r="1068" spans="1:8" x14ac:dyDescent="0.25">
      <c r="E1068" t="str">
        <f>"16046258"</f>
        <v>16046258</v>
      </c>
      <c r="F1068" t="str">
        <f>"2 APX 4000 radios for PCT"</f>
        <v>2 APX 4000 radios for PCT</v>
      </c>
      <c r="G1068" s="2">
        <v>5710.66</v>
      </c>
      <c r="H1068" t="str">
        <f>"H51UCH9PW7 N"</f>
        <v>H51UCH9PW7 N</v>
      </c>
    </row>
    <row r="1069" spans="1:8" x14ac:dyDescent="0.25">
      <c r="E1069" t="str">
        <f>""</f>
        <v/>
      </c>
      <c r="F1069" t="str">
        <f>""</f>
        <v/>
      </c>
      <c r="H1069" t="str">
        <f>" QA02756"</f>
        <v xml:space="preserve"> QA02756</v>
      </c>
    </row>
    <row r="1070" spans="1:8" x14ac:dyDescent="0.25">
      <c r="E1070" t="str">
        <f>""</f>
        <v/>
      </c>
      <c r="F1070" t="str">
        <f>""</f>
        <v/>
      </c>
      <c r="H1070" t="str">
        <f>"QA01648"</f>
        <v>QA01648</v>
      </c>
    </row>
    <row r="1071" spans="1:8" x14ac:dyDescent="0.25">
      <c r="E1071" t="str">
        <f>""</f>
        <v/>
      </c>
      <c r="F1071" t="str">
        <f>""</f>
        <v/>
      </c>
      <c r="H1071" t="str">
        <f>"QA01767"</f>
        <v>QA01767</v>
      </c>
    </row>
    <row r="1072" spans="1:8" x14ac:dyDescent="0.25">
      <c r="E1072" t="str">
        <f>""</f>
        <v/>
      </c>
      <c r="F1072" t="str">
        <f>""</f>
        <v/>
      </c>
      <c r="H1072" t="str">
        <f>"QA09008"</f>
        <v>QA09008</v>
      </c>
    </row>
    <row r="1073" spans="1:8" x14ac:dyDescent="0.25">
      <c r="E1073" t="str">
        <f>""</f>
        <v/>
      </c>
      <c r="F1073" t="str">
        <f>""</f>
        <v/>
      </c>
      <c r="H1073" t="str">
        <f>"QA00582"</f>
        <v>QA00582</v>
      </c>
    </row>
    <row r="1074" spans="1:8" x14ac:dyDescent="0.25">
      <c r="E1074" t="str">
        <f>""</f>
        <v/>
      </c>
      <c r="F1074" t="str">
        <f>""</f>
        <v/>
      </c>
      <c r="H1074" t="str">
        <f>"Q887"</f>
        <v>Q887</v>
      </c>
    </row>
    <row r="1075" spans="1:8" x14ac:dyDescent="0.25">
      <c r="E1075" t="str">
        <f>""</f>
        <v/>
      </c>
      <c r="F1075" t="str">
        <f>""</f>
        <v/>
      </c>
      <c r="H1075" t="str">
        <f>"T7914"</f>
        <v>T7914</v>
      </c>
    </row>
    <row r="1076" spans="1:8" x14ac:dyDescent="0.25">
      <c r="E1076" t="str">
        <f>""</f>
        <v/>
      </c>
      <c r="F1076" t="str">
        <f>""</f>
        <v/>
      </c>
      <c r="H1076" t="str">
        <f>"H869"</f>
        <v>H869</v>
      </c>
    </row>
    <row r="1077" spans="1:8" x14ac:dyDescent="0.25">
      <c r="E1077" t="str">
        <f>""</f>
        <v/>
      </c>
      <c r="F1077" t="str">
        <f>""</f>
        <v/>
      </c>
      <c r="H1077" t="str">
        <f>"CREDIT"</f>
        <v>CREDIT</v>
      </c>
    </row>
    <row r="1078" spans="1:8" x14ac:dyDescent="0.25">
      <c r="E1078" t="str">
        <f>""</f>
        <v/>
      </c>
      <c r="F1078" t="str">
        <f>""</f>
        <v/>
      </c>
      <c r="H1078" t="str">
        <f>"PROMO"</f>
        <v>PROMO</v>
      </c>
    </row>
    <row r="1079" spans="1:8" x14ac:dyDescent="0.25">
      <c r="E1079" t="str">
        <f>""</f>
        <v/>
      </c>
      <c r="F1079" t="str">
        <f>""</f>
        <v/>
      </c>
      <c r="H1079" t="str">
        <f>"WPLN4232A"</f>
        <v>WPLN4232A</v>
      </c>
    </row>
    <row r="1080" spans="1:8" x14ac:dyDescent="0.25">
      <c r="E1080" t="str">
        <f>""</f>
        <v/>
      </c>
      <c r="F1080" t="str">
        <f>""</f>
        <v/>
      </c>
      <c r="H1080" t="str">
        <f>"NNTN8560A"</f>
        <v>NNTN8560A</v>
      </c>
    </row>
    <row r="1081" spans="1:8" x14ac:dyDescent="0.25">
      <c r="E1081" t="str">
        <f>""</f>
        <v/>
      </c>
      <c r="F1081" t="str">
        <f>""</f>
        <v/>
      </c>
      <c r="H1081" t="str">
        <f>"PMMN4062A"</f>
        <v>PMMN4062A</v>
      </c>
    </row>
    <row r="1082" spans="1:8" x14ac:dyDescent="0.25">
      <c r="E1082" t="str">
        <f>"16048490"</f>
        <v>16048490</v>
      </c>
      <c r="F1082" t="str">
        <f>"MOTOROLA INC"</f>
        <v>MOTOROLA INC</v>
      </c>
      <c r="G1082" s="2">
        <v>976.39</v>
      </c>
      <c r="H1082" t="str">
        <f>"CHARGER"</f>
        <v>CHARGER</v>
      </c>
    </row>
    <row r="1083" spans="1:8" x14ac:dyDescent="0.25">
      <c r="E1083" t="str">
        <f>""</f>
        <v/>
      </c>
      <c r="F1083" t="str">
        <f>""</f>
        <v/>
      </c>
      <c r="H1083" t="str">
        <f>"BATT IMPRES"</f>
        <v>BATT IMPRES</v>
      </c>
    </row>
    <row r="1084" spans="1:8" x14ac:dyDescent="0.25">
      <c r="E1084" t="str">
        <f>"16050018"</f>
        <v>16050018</v>
      </c>
      <c r="F1084" t="str">
        <f>"inv# 16050018"</f>
        <v>inv# 16050018</v>
      </c>
      <c r="G1084" s="2">
        <v>7368</v>
      </c>
      <c r="H1084" t="str">
        <f>"inv# 16050018"</f>
        <v>inv# 16050018</v>
      </c>
    </row>
    <row r="1085" spans="1:8" x14ac:dyDescent="0.25">
      <c r="A1085" t="s">
        <v>291</v>
      </c>
      <c r="B1085">
        <v>82370</v>
      </c>
      <c r="C1085" s="2">
        <v>20462.48</v>
      </c>
      <c r="D1085" s="1">
        <v>43613</v>
      </c>
      <c r="E1085" t="str">
        <f>"8230223138"</f>
        <v>8230223138</v>
      </c>
      <c r="F1085" t="str">
        <f>"ACCT#1036215277/RADIO SVC AGRE"</f>
        <v>ACCT#1036215277/RADIO SVC AGRE</v>
      </c>
      <c r="G1085" s="2">
        <v>20462.48</v>
      </c>
      <c r="H1085" t="str">
        <f>"ACCT#1036215277/RADIO SVC AGRE"</f>
        <v>ACCT#1036215277/RADIO SVC AGRE</v>
      </c>
    </row>
    <row r="1086" spans="1:8" x14ac:dyDescent="0.25">
      <c r="A1086" t="s">
        <v>292</v>
      </c>
      <c r="B1086">
        <v>82371</v>
      </c>
      <c r="C1086" s="2">
        <v>60</v>
      </c>
      <c r="D1086" s="1">
        <v>43613</v>
      </c>
      <c r="E1086" t="str">
        <f>"201905209343"</f>
        <v>201905209343</v>
      </c>
      <c r="F1086" t="str">
        <f>"'19 MBRSHIP DUES-TOMIKA NOWLIN"</f>
        <v>'19 MBRSHIP DUES-TOMIKA NOWLIN</v>
      </c>
      <c r="G1086" s="2">
        <v>60</v>
      </c>
      <c r="H1086" t="str">
        <f>"2019 MEMBERSHIP DUES"</f>
        <v>2019 MEMBERSHIP DUES</v>
      </c>
    </row>
    <row r="1087" spans="1:8" x14ac:dyDescent="0.25">
      <c r="A1087" t="s">
        <v>293</v>
      </c>
      <c r="B1087">
        <v>82186</v>
      </c>
      <c r="C1087" s="2">
        <v>826.8</v>
      </c>
      <c r="D1087" s="1">
        <v>43598</v>
      </c>
      <c r="E1087" t="str">
        <f>"86647281"</f>
        <v>86647281</v>
      </c>
      <c r="F1087" t="str">
        <f>"AGREEMENT#9216535/GEN SVCS"</f>
        <v>AGREEMENT#9216535/GEN SVCS</v>
      </c>
      <c r="G1087" s="2">
        <v>826.8</v>
      </c>
      <c r="H1087" t="str">
        <f>"AGREEMENT#9216535/GEN SVCS"</f>
        <v>AGREEMENT#9216535/GEN SVCS</v>
      </c>
    </row>
    <row r="1088" spans="1:8" x14ac:dyDescent="0.25">
      <c r="A1088" t="s">
        <v>293</v>
      </c>
      <c r="B1088">
        <v>82372</v>
      </c>
      <c r="C1088" s="2">
        <v>826.8</v>
      </c>
      <c r="D1088" s="1">
        <v>43613</v>
      </c>
      <c r="E1088" t="str">
        <f>"86662729"</f>
        <v>86662729</v>
      </c>
      <c r="F1088" t="str">
        <f>"ACCT#150344157/WATER TREATMENT"</f>
        <v>ACCT#150344157/WATER TREATMENT</v>
      </c>
      <c r="G1088" s="2">
        <v>826.8</v>
      </c>
      <c r="H1088" t="str">
        <f>"ACCT#150344157/WATER TREATMENT"</f>
        <v>ACCT#150344157/WATER TREATMENT</v>
      </c>
    </row>
    <row r="1089" spans="1:8" x14ac:dyDescent="0.25">
      <c r="A1089" t="s">
        <v>294</v>
      </c>
      <c r="B1089">
        <v>82187</v>
      </c>
      <c r="C1089" s="2">
        <v>2082.5</v>
      </c>
      <c r="D1089" s="1">
        <v>43598</v>
      </c>
      <c r="E1089" t="str">
        <f>"201905089203"</f>
        <v>201905089203</v>
      </c>
      <c r="F1089" t="str">
        <f>"JOB 4-30-19-01"</f>
        <v>JOB 4-30-19-01</v>
      </c>
      <c r="G1089" s="2">
        <v>1275</v>
      </c>
      <c r="H1089" t="str">
        <f>"JOB 4-30-19-01"</f>
        <v>JOB 4-30-19-01</v>
      </c>
    </row>
    <row r="1090" spans="1:8" x14ac:dyDescent="0.25">
      <c r="E1090" t="str">
        <f>"201905089204"</f>
        <v>201905089204</v>
      </c>
      <c r="F1090" t="str">
        <f>"JOB 5-1-19-01"</f>
        <v>JOB 5-1-19-01</v>
      </c>
      <c r="G1090" s="2">
        <v>255</v>
      </c>
      <c r="H1090" t="str">
        <f>"JOB 5-1-19-01"</f>
        <v>JOB 5-1-19-01</v>
      </c>
    </row>
    <row r="1091" spans="1:8" x14ac:dyDescent="0.25">
      <c r="E1091" t="str">
        <f>"201905089205"</f>
        <v>201905089205</v>
      </c>
      <c r="F1091" t="str">
        <f>"JOB 4-22-19-01"</f>
        <v>JOB 4-22-19-01</v>
      </c>
      <c r="G1091" s="2">
        <v>382.5</v>
      </c>
      <c r="H1091" t="str">
        <f>"JOB 4-22-19-01"</f>
        <v>JOB 4-22-19-01</v>
      </c>
    </row>
    <row r="1092" spans="1:8" x14ac:dyDescent="0.25">
      <c r="E1092" t="str">
        <f>"4-17-19-01"</f>
        <v>4-17-19-01</v>
      </c>
      <c r="F1092" t="str">
        <f>"JOB 4-17-19-01"</f>
        <v>JOB 4-17-19-01</v>
      </c>
      <c r="G1092" s="2">
        <v>170</v>
      </c>
      <c r="H1092" t="str">
        <f>"JOB 4-17-19-01"</f>
        <v>JOB 4-17-19-01</v>
      </c>
    </row>
    <row r="1093" spans="1:8" x14ac:dyDescent="0.25">
      <c r="A1093" t="s">
        <v>294</v>
      </c>
      <c r="B1093">
        <v>82373</v>
      </c>
      <c r="C1093" s="2">
        <v>212.5</v>
      </c>
      <c r="D1093" s="1">
        <v>43613</v>
      </c>
      <c r="E1093" t="str">
        <f>"201905219471"</f>
        <v>201905219471</v>
      </c>
      <c r="F1093" t="str">
        <f>"JOB 5-7-19-02"</f>
        <v>JOB 5-7-19-02</v>
      </c>
      <c r="G1093" s="2">
        <v>212.5</v>
      </c>
      <c r="H1093" t="str">
        <f>"JOB 5-7-19-02"</f>
        <v>JOB 5-7-19-02</v>
      </c>
    </row>
    <row r="1094" spans="1:8" x14ac:dyDescent="0.25">
      <c r="A1094" t="s">
        <v>295</v>
      </c>
      <c r="B1094">
        <v>82188</v>
      </c>
      <c r="C1094" s="2">
        <v>170</v>
      </c>
      <c r="D1094" s="1">
        <v>43598</v>
      </c>
      <c r="E1094" t="str">
        <f>"201905089234"</f>
        <v>201905089234</v>
      </c>
      <c r="F1094" t="str">
        <f>"FERAL HOGS"</f>
        <v>FERAL HOGS</v>
      </c>
      <c r="G1094" s="2">
        <v>75</v>
      </c>
      <c r="H1094" t="str">
        <f>"FERAL HOGS"</f>
        <v>FERAL HOGS</v>
      </c>
    </row>
    <row r="1095" spans="1:8" x14ac:dyDescent="0.25">
      <c r="E1095" t="str">
        <f>"201905089235"</f>
        <v>201905089235</v>
      </c>
      <c r="F1095" t="str">
        <f>"FERAL HOGS"</f>
        <v>FERAL HOGS</v>
      </c>
      <c r="G1095" s="2">
        <v>95</v>
      </c>
      <c r="H1095" t="str">
        <f>"FERAL HOGS"</f>
        <v>FERAL HOGS</v>
      </c>
    </row>
    <row r="1096" spans="1:8" x14ac:dyDescent="0.25">
      <c r="A1096" t="s">
        <v>296</v>
      </c>
      <c r="B1096">
        <v>740</v>
      </c>
      <c r="C1096" s="2">
        <v>9089.4500000000007</v>
      </c>
      <c r="D1096" s="1">
        <v>43599</v>
      </c>
      <c r="E1096" t="str">
        <f>"IN0821741 IN082258"</f>
        <v>IN0821741 IN082258</v>
      </c>
      <c r="F1096" t="str">
        <f>"INV IN0821741"</f>
        <v>INV IN0821741</v>
      </c>
      <c r="G1096" s="2">
        <v>4455.21</v>
      </c>
      <c r="H1096" t="str">
        <f>"INV IN0821741"</f>
        <v>INV IN0821741</v>
      </c>
    </row>
    <row r="1097" spans="1:8" x14ac:dyDescent="0.25">
      <c r="E1097" t="str">
        <f>""</f>
        <v/>
      </c>
      <c r="F1097" t="str">
        <f>""</f>
        <v/>
      </c>
      <c r="H1097" t="str">
        <f>"INV IN0822585"</f>
        <v>INV IN0822585</v>
      </c>
    </row>
    <row r="1098" spans="1:8" x14ac:dyDescent="0.25">
      <c r="E1098" t="str">
        <f>"IN0822732 IN082217"</f>
        <v>IN0822732 IN082217</v>
      </c>
      <c r="F1098" t="str">
        <f>"INV IN0822732"</f>
        <v>INV IN0822732</v>
      </c>
      <c r="G1098" s="2">
        <v>4634.24</v>
      </c>
      <c r="H1098" t="str">
        <f>"INV IN0822732"</f>
        <v>INV IN0822732</v>
      </c>
    </row>
    <row r="1099" spans="1:8" x14ac:dyDescent="0.25">
      <c r="E1099" t="str">
        <f>""</f>
        <v/>
      </c>
      <c r="F1099" t="str">
        <f>""</f>
        <v/>
      </c>
      <c r="H1099" t="str">
        <f>"INV IN0822179"</f>
        <v>INV IN0822179</v>
      </c>
    </row>
    <row r="1100" spans="1:8" x14ac:dyDescent="0.25">
      <c r="A1100" t="s">
        <v>296</v>
      </c>
      <c r="B1100">
        <v>814</v>
      </c>
      <c r="C1100" s="2">
        <v>3508.05</v>
      </c>
      <c r="D1100" s="1">
        <v>43614</v>
      </c>
      <c r="E1100" t="str">
        <f>"IN0822533 IN082297"</f>
        <v>IN0822533 IN082297</v>
      </c>
      <c r="F1100" t="str">
        <f>"INV IN0822975"</f>
        <v>INV IN0822975</v>
      </c>
      <c r="G1100" s="2">
        <v>3508.05</v>
      </c>
      <c r="H1100" t="str">
        <f>"INV IN0822533"</f>
        <v>INV IN0822533</v>
      </c>
    </row>
    <row r="1101" spans="1:8" x14ac:dyDescent="0.25">
      <c r="E1101" t="str">
        <f>""</f>
        <v/>
      </c>
      <c r="F1101" t="str">
        <f>""</f>
        <v/>
      </c>
      <c r="H1101" t="str">
        <f>"INV IN0822975"</f>
        <v>INV IN0822975</v>
      </c>
    </row>
    <row r="1102" spans="1:8" x14ac:dyDescent="0.25">
      <c r="A1102" t="s">
        <v>297</v>
      </c>
      <c r="B1102">
        <v>82374</v>
      </c>
      <c r="C1102" s="2">
        <v>608</v>
      </c>
      <c r="D1102" s="1">
        <v>43613</v>
      </c>
      <c r="E1102" t="str">
        <f>"3460"</f>
        <v>3460</v>
      </c>
      <c r="F1102" t="str">
        <f>"TRAINING  INV 3460"</f>
        <v>TRAINING  INV 3460</v>
      </c>
      <c r="G1102" s="2">
        <v>608</v>
      </c>
      <c r="H1102" t="str">
        <f>"INV 3460 - C. WOLF"</f>
        <v>INV 3460 - C. WOLF</v>
      </c>
    </row>
    <row r="1103" spans="1:8" x14ac:dyDescent="0.25">
      <c r="E1103" t="str">
        <f>""</f>
        <v/>
      </c>
      <c r="F1103" t="str">
        <f>""</f>
        <v/>
      </c>
      <c r="H1103" t="str">
        <f>"INV 3460 - K. STEIN"</f>
        <v>INV 3460 - K. STEIN</v>
      </c>
    </row>
    <row r="1104" spans="1:8" x14ac:dyDescent="0.25">
      <c r="E1104" t="str">
        <f>""</f>
        <v/>
      </c>
      <c r="F1104" t="str">
        <f>""</f>
        <v/>
      </c>
      <c r="H1104" t="str">
        <f>"INV 3460 - D. OWENS"</f>
        <v>INV 3460 - D. OWENS</v>
      </c>
    </row>
    <row r="1105" spans="1:8" x14ac:dyDescent="0.25">
      <c r="A1105" t="s">
        <v>298</v>
      </c>
      <c r="B1105">
        <v>82375</v>
      </c>
      <c r="C1105" s="2">
        <v>2325</v>
      </c>
      <c r="D1105" s="1">
        <v>43613</v>
      </c>
      <c r="E1105" t="str">
        <f>"1210"</f>
        <v>1210</v>
      </c>
      <c r="F1105" t="str">
        <f>"SVC REQ/BATTERY REPLACEMENT"</f>
        <v>SVC REQ/BATTERY REPLACEMENT</v>
      </c>
      <c r="G1105" s="2">
        <v>2325</v>
      </c>
      <c r="H1105" t="str">
        <f>"SVC REQ/BATTERY REPLACEMENT"</f>
        <v>SVC REQ/BATTERY REPLACEMENT</v>
      </c>
    </row>
    <row r="1106" spans="1:8" x14ac:dyDescent="0.25">
      <c r="A1106" t="s">
        <v>299</v>
      </c>
      <c r="B1106">
        <v>82189</v>
      </c>
      <c r="C1106" s="2">
        <v>25</v>
      </c>
      <c r="D1106" s="1">
        <v>43598</v>
      </c>
      <c r="E1106" t="str">
        <f>"201905018934"</f>
        <v>201905018934</v>
      </c>
      <c r="F1106" t="str">
        <f>"REFUND DRIVEWAY PERMIT FEE"</f>
        <v>REFUND DRIVEWAY PERMIT FEE</v>
      </c>
      <c r="G1106" s="2">
        <v>25</v>
      </c>
      <c r="H1106" t="str">
        <f>"REFUND DRIVEWAY PERMIT FEE"</f>
        <v>REFUND DRIVEWAY PERMIT FEE</v>
      </c>
    </row>
    <row r="1107" spans="1:8" x14ac:dyDescent="0.25">
      <c r="A1107" t="s">
        <v>300</v>
      </c>
      <c r="B1107">
        <v>82376</v>
      </c>
      <c r="C1107" s="2">
        <v>311</v>
      </c>
      <c r="D1107" s="1">
        <v>43613</v>
      </c>
      <c r="E1107" t="str">
        <f>"201905219466"</f>
        <v>201905219466</v>
      </c>
      <c r="F1107" t="str">
        <f>"MAY INVOICE"</f>
        <v>MAY INVOICE</v>
      </c>
      <c r="G1107" s="2">
        <v>311</v>
      </c>
      <c r="H1107" t="str">
        <f>"MAY INVOICE"</f>
        <v>MAY INVOICE</v>
      </c>
    </row>
    <row r="1108" spans="1:8" x14ac:dyDescent="0.25">
      <c r="E1108" t="str">
        <f>""</f>
        <v/>
      </c>
      <c r="F1108" t="str">
        <f>""</f>
        <v/>
      </c>
      <c r="H1108" t="str">
        <f>"MAY INVOICE"</f>
        <v>MAY INVOICE</v>
      </c>
    </row>
    <row r="1109" spans="1:8" x14ac:dyDescent="0.25">
      <c r="A1109" t="s">
        <v>301</v>
      </c>
      <c r="B1109">
        <v>82190</v>
      </c>
      <c r="C1109" s="2">
        <v>1132.68</v>
      </c>
      <c r="D1109" s="1">
        <v>43598</v>
      </c>
      <c r="E1109" t="str">
        <f>"201904248764"</f>
        <v>201904248764</v>
      </c>
      <c r="F1109" t="str">
        <f>"REIMBURSE-CLASS/LETTER"</f>
        <v>REIMBURSE-CLASS/LETTER</v>
      </c>
      <c r="G1109" s="2">
        <v>636</v>
      </c>
      <c r="H1109" t="str">
        <f>"REIMBURSE-CLASS/LETTER"</f>
        <v>REIMBURSE-CLASS/LETTER</v>
      </c>
    </row>
    <row r="1110" spans="1:8" x14ac:dyDescent="0.25">
      <c r="E1110" t="str">
        <f>"201904248765"</f>
        <v>201904248765</v>
      </c>
      <c r="F1110" t="str">
        <f>"REIMBURSEMENT-LODGING/MEALS"</f>
        <v>REIMBURSEMENT-LODGING/MEALS</v>
      </c>
      <c r="G1110" s="2">
        <v>496.68</v>
      </c>
      <c r="H1110" t="str">
        <f>"REIMBURSEMENT-LODGING/MEALS"</f>
        <v>REIMBURSEMENT-LODGING/MEALS</v>
      </c>
    </row>
    <row r="1111" spans="1:8" x14ac:dyDescent="0.25">
      <c r="A1111" t="s">
        <v>302</v>
      </c>
      <c r="B1111">
        <v>803</v>
      </c>
      <c r="C1111" s="2">
        <v>157.81</v>
      </c>
      <c r="D1111" s="1">
        <v>43599</v>
      </c>
      <c r="E1111" t="str">
        <f>"198406"</f>
        <v>198406</v>
      </c>
      <c r="F1111" t="str">
        <f>"CUST#198406/SHOP"</f>
        <v>CUST#198406/SHOP</v>
      </c>
      <c r="G1111" s="2">
        <v>6.2</v>
      </c>
      <c r="H1111" t="str">
        <f>"CUST#198406/SHOP"</f>
        <v>CUST#198406/SHOP</v>
      </c>
    </row>
    <row r="1112" spans="1:8" x14ac:dyDescent="0.25">
      <c r="E1112" t="str">
        <f>"201905069046"</f>
        <v>201905069046</v>
      </c>
      <c r="F1112" t="str">
        <f>"CUST#99088/PCT#4"</f>
        <v>CUST#99088/PCT#4</v>
      </c>
      <c r="G1112" s="2">
        <v>151.61000000000001</v>
      </c>
      <c r="H1112" t="str">
        <f>"CUST#99088/PCT#4"</f>
        <v>CUST#99088/PCT#4</v>
      </c>
    </row>
    <row r="1113" spans="1:8" x14ac:dyDescent="0.25">
      <c r="A1113" t="s">
        <v>302</v>
      </c>
      <c r="B1113">
        <v>863</v>
      </c>
      <c r="C1113" s="2">
        <v>62.82</v>
      </c>
      <c r="D1113" s="1">
        <v>43614</v>
      </c>
      <c r="E1113" t="str">
        <f>"0581-447785 453453"</f>
        <v>0581-447785 453453</v>
      </c>
      <c r="F1113" t="str">
        <f>"0581-447785/453453/459425"</f>
        <v>0581-447785/453453/459425</v>
      </c>
      <c r="G1113" s="2">
        <v>62.82</v>
      </c>
      <c r="H1113" t="str">
        <f>"INV 0581-447785"</f>
        <v>INV 0581-447785</v>
      </c>
    </row>
    <row r="1114" spans="1:8" x14ac:dyDescent="0.25">
      <c r="E1114" t="str">
        <f>""</f>
        <v/>
      </c>
      <c r="F1114" t="str">
        <f>""</f>
        <v/>
      </c>
      <c r="H1114" t="str">
        <f>"INV 0581-453453"</f>
        <v>INV 0581-453453</v>
      </c>
    </row>
    <row r="1115" spans="1:8" x14ac:dyDescent="0.25">
      <c r="E1115" t="str">
        <f>""</f>
        <v/>
      </c>
      <c r="F1115" t="str">
        <f>""</f>
        <v/>
      </c>
      <c r="H1115" t="str">
        <f>"INV 0581-459425"</f>
        <v>INV 0581-459425</v>
      </c>
    </row>
    <row r="1116" spans="1:8" x14ac:dyDescent="0.25">
      <c r="A1116" t="s">
        <v>303</v>
      </c>
      <c r="B1116">
        <v>82191</v>
      </c>
      <c r="C1116" s="2">
        <v>1365.57</v>
      </c>
      <c r="D1116" s="1">
        <v>43598</v>
      </c>
      <c r="E1116" t="str">
        <f>"1599125 1601950 16"</f>
        <v>1599125 1601950 16</v>
      </c>
      <c r="F1116" t="str">
        <f>"INV 1599125"</f>
        <v>INV 1599125</v>
      </c>
      <c r="G1116" s="2">
        <v>1365.57</v>
      </c>
      <c r="H1116" t="str">
        <f>"INV 1599125"</f>
        <v>INV 1599125</v>
      </c>
    </row>
    <row r="1117" spans="1:8" x14ac:dyDescent="0.25">
      <c r="E1117" t="str">
        <f>""</f>
        <v/>
      </c>
      <c r="F1117" t="str">
        <f>""</f>
        <v/>
      </c>
      <c r="H1117" t="str">
        <f>"INV 1601950"</f>
        <v>INV 1601950</v>
      </c>
    </row>
    <row r="1118" spans="1:8" x14ac:dyDescent="0.25">
      <c r="E1118" t="str">
        <f>""</f>
        <v/>
      </c>
      <c r="F1118" t="str">
        <f>""</f>
        <v/>
      </c>
      <c r="H1118" t="str">
        <f>"INV 1606606"</f>
        <v>INV 1606606</v>
      </c>
    </row>
    <row r="1119" spans="1:8" x14ac:dyDescent="0.25">
      <c r="E1119" t="str">
        <f>""</f>
        <v/>
      </c>
      <c r="F1119" t="str">
        <f>""</f>
        <v/>
      </c>
      <c r="H1119" t="str">
        <f>"INV 1609790"</f>
        <v>INV 1609790</v>
      </c>
    </row>
    <row r="1120" spans="1:8" x14ac:dyDescent="0.25">
      <c r="E1120" t="str">
        <f>""</f>
        <v/>
      </c>
      <c r="F1120" t="str">
        <f>""</f>
        <v/>
      </c>
      <c r="H1120" t="str">
        <f>"INV 1614573"</f>
        <v>INV 1614573</v>
      </c>
    </row>
    <row r="1121" spans="1:8" x14ac:dyDescent="0.25">
      <c r="E1121" t="str">
        <f>""</f>
        <v/>
      </c>
      <c r="F1121" t="str">
        <f>""</f>
        <v/>
      </c>
      <c r="H1121" t="str">
        <f>"INV 1617615"</f>
        <v>INV 1617615</v>
      </c>
    </row>
    <row r="1122" spans="1:8" x14ac:dyDescent="0.25">
      <c r="A1122" t="s">
        <v>303</v>
      </c>
      <c r="B1122">
        <v>82377</v>
      </c>
      <c r="C1122" s="2">
        <v>843.18</v>
      </c>
      <c r="D1122" s="1">
        <v>43613</v>
      </c>
      <c r="E1122" t="str">
        <f>"1625604 1630550 16"</f>
        <v>1625604 1630550 16</v>
      </c>
      <c r="F1122" t="str">
        <f>"INV 1625604"</f>
        <v>INV 1625604</v>
      </c>
      <c r="G1122" s="2">
        <v>843.18</v>
      </c>
      <c r="H1122" t="str">
        <f>"INV 1625604"</f>
        <v>INV 1625604</v>
      </c>
    </row>
    <row r="1123" spans="1:8" x14ac:dyDescent="0.25">
      <c r="E1123" t="str">
        <f>""</f>
        <v/>
      </c>
      <c r="F1123" t="str">
        <f>""</f>
        <v/>
      </c>
      <c r="H1123" t="str">
        <f>"INV 1630550"</f>
        <v>INV 1630550</v>
      </c>
    </row>
    <row r="1124" spans="1:8" x14ac:dyDescent="0.25">
      <c r="E1124" t="str">
        <f>""</f>
        <v/>
      </c>
      <c r="F1124" t="str">
        <f>""</f>
        <v/>
      </c>
      <c r="H1124" t="str">
        <f>"INV 1633681"</f>
        <v>INV 1633681</v>
      </c>
    </row>
    <row r="1125" spans="1:8" x14ac:dyDescent="0.25">
      <c r="A1125" t="s">
        <v>304</v>
      </c>
      <c r="B1125">
        <v>82192</v>
      </c>
      <c r="C1125" s="2">
        <v>1885.03</v>
      </c>
      <c r="D1125" s="1">
        <v>43598</v>
      </c>
      <c r="E1125" t="str">
        <f>"11291824"</f>
        <v>11291824</v>
      </c>
      <c r="F1125" t="str">
        <f>"bill# 11291824"</f>
        <v>bill# 11291824</v>
      </c>
      <c r="G1125" s="2">
        <v>1885.03</v>
      </c>
      <c r="H1125" t="str">
        <f>"order# 301248132001"</f>
        <v>order# 301248132001</v>
      </c>
    </row>
    <row r="1126" spans="1:8" x14ac:dyDescent="0.25">
      <c r="E1126" t="str">
        <f>""</f>
        <v/>
      </c>
      <c r="F1126" t="str">
        <f>""</f>
        <v/>
      </c>
      <c r="H1126" t="str">
        <f>"order# 301261327001"</f>
        <v>order# 301261327001</v>
      </c>
    </row>
    <row r="1127" spans="1:8" x14ac:dyDescent="0.25">
      <c r="E1127" t="str">
        <f>""</f>
        <v/>
      </c>
      <c r="F1127" t="str">
        <f>""</f>
        <v/>
      </c>
      <c r="H1127" t="str">
        <f>"order# 301261328001"</f>
        <v>order# 301261328001</v>
      </c>
    </row>
    <row r="1128" spans="1:8" x14ac:dyDescent="0.25">
      <c r="E1128" t="str">
        <f>""</f>
        <v/>
      </c>
      <c r="F1128" t="str">
        <f>""</f>
        <v/>
      </c>
      <c r="H1128" t="str">
        <f>"order# 301284606001"</f>
        <v>order# 301284606001</v>
      </c>
    </row>
    <row r="1129" spans="1:8" x14ac:dyDescent="0.25">
      <c r="E1129" t="str">
        <f>""</f>
        <v/>
      </c>
      <c r="F1129" t="str">
        <f>""</f>
        <v/>
      </c>
      <c r="H1129" t="str">
        <f>"order# 301289868001"</f>
        <v>order# 301289868001</v>
      </c>
    </row>
    <row r="1130" spans="1:8" x14ac:dyDescent="0.25">
      <c r="E1130" t="str">
        <f>""</f>
        <v/>
      </c>
      <c r="F1130" t="str">
        <f>""</f>
        <v/>
      </c>
      <c r="H1130" t="str">
        <f>"order# 301648129001"</f>
        <v>order# 301648129001</v>
      </c>
    </row>
    <row r="1131" spans="1:8" x14ac:dyDescent="0.25">
      <c r="E1131" t="str">
        <f>""</f>
        <v/>
      </c>
      <c r="F1131" t="str">
        <f>""</f>
        <v/>
      </c>
      <c r="H1131" t="str">
        <f>"order# 30167573001"</f>
        <v>order# 30167573001</v>
      </c>
    </row>
    <row r="1132" spans="1:8" x14ac:dyDescent="0.25">
      <c r="E1132" t="str">
        <f>""</f>
        <v/>
      </c>
      <c r="F1132" t="str">
        <f>""</f>
        <v/>
      </c>
      <c r="H1132" t="str">
        <f>"order# 302290546001"</f>
        <v>order# 302290546001</v>
      </c>
    </row>
    <row r="1133" spans="1:8" x14ac:dyDescent="0.25">
      <c r="E1133" t="str">
        <f>""</f>
        <v/>
      </c>
      <c r="F1133" t="str">
        <f>""</f>
        <v/>
      </c>
      <c r="H1133" t="str">
        <f>"order# 29968522001"</f>
        <v>order# 29968522001</v>
      </c>
    </row>
    <row r="1134" spans="1:8" x14ac:dyDescent="0.25">
      <c r="E1134" t="str">
        <f>""</f>
        <v/>
      </c>
      <c r="F1134" t="str">
        <f>""</f>
        <v/>
      </c>
      <c r="H1134" t="str">
        <f>"order# 299503223001"</f>
        <v>order# 299503223001</v>
      </c>
    </row>
    <row r="1135" spans="1:8" x14ac:dyDescent="0.25">
      <c r="E1135" t="str">
        <f>""</f>
        <v/>
      </c>
      <c r="F1135" t="str">
        <f>""</f>
        <v/>
      </c>
      <c r="H1135" t="str">
        <f>"order# 300712451001"</f>
        <v>order# 300712451001</v>
      </c>
    </row>
    <row r="1136" spans="1:8" x14ac:dyDescent="0.25">
      <c r="E1136" t="str">
        <f>""</f>
        <v/>
      </c>
      <c r="F1136" t="str">
        <f>""</f>
        <v/>
      </c>
      <c r="H1136" t="str">
        <f>"order# 300803935001"</f>
        <v>order# 300803935001</v>
      </c>
    </row>
    <row r="1137" spans="1:8" x14ac:dyDescent="0.25">
      <c r="E1137" t="str">
        <f>""</f>
        <v/>
      </c>
      <c r="F1137" t="str">
        <f>""</f>
        <v/>
      </c>
      <c r="H1137" t="str">
        <f>"order# 300950715001"</f>
        <v>order# 300950715001</v>
      </c>
    </row>
    <row r="1138" spans="1:8" x14ac:dyDescent="0.25">
      <c r="E1138" t="str">
        <f>""</f>
        <v/>
      </c>
      <c r="F1138" t="str">
        <f>""</f>
        <v/>
      </c>
      <c r="H1138" t="str">
        <f>"order# 300951514001"</f>
        <v>order# 300951514001</v>
      </c>
    </row>
    <row r="1139" spans="1:8" x14ac:dyDescent="0.25">
      <c r="A1139" t="s">
        <v>304</v>
      </c>
      <c r="B1139">
        <v>82378</v>
      </c>
      <c r="C1139" s="2">
        <v>2685.96</v>
      </c>
      <c r="D1139" s="1">
        <v>43613</v>
      </c>
      <c r="E1139" t="str">
        <f>"11436229-BILL#"</f>
        <v>11436229-BILL#</v>
      </c>
      <c r="F1139" t="str">
        <f>"Office Depot April 2019"</f>
        <v>Office Depot April 2019</v>
      </c>
      <c r="G1139" s="2">
        <v>1258.79</v>
      </c>
      <c r="H1139" t="str">
        <f>"Ord# 308758159001"</f>
        <v>Ord# 308758159001</v>
      </c>
    </row>
    <row r="1140" spans="1:8" x14ac:dyDescent="0.25">
      <c r="E1140" t="str">
        <f>""</f>
        <v/>
      </c>
      <c r="F1140" t="str">
        <f>""</f>
        <v/>
      </c>
      <c r="H1140" t="str">
        <f>"Ord# 308768291001"</f>
        <v>Ord# 308768291001</v>
      </c>
    </row>
    <row r="1141" spans="1:8" x14ac:dyDescent="0.25">
      <c r="E1141" t="str">
        <f>""</f>
        <v/>
      </c>
      <c r="F1141" t="str">
        <f>""</f>
        <v/>
      </c>
      <c r="H1141" t="str">
        <f>"Ord# 301248132002"</f>
        <v>Ord# 301248132002</v>
      </c>
    </row>
    <row r="1142" spans="1:8" x14ac:dyDescent="0.25">
      <c r="E1142" t="str">
        <f>""</f>
        <v/>
      </c>
      <c r="F1142" t="str">
        <f>""</f>
        <v/>
      </c>
      <c r="H1142" t="str">
        <f>"Ord# 30951397001"</f>
        <v>Ord# 30951397001</v>
      </c>
    </row>
    <row r="1143" spans="1:8" x14ac:dyDescent="0.25">
      <c r="E1143" t="str">
        <f>""</f>
        <v/>
      </c>
      <c r="F1143" t="str">
        <f>""</f>
        <v/>
      </c>
      <c r="H1143" t="str">
        <f>"Ord# 309559107001"</f>
        <v>Ord# 309559107001</v>
      </c>
    </row>
    <row r="1144" spans="1:8" x14ac:dyDescent="0.25">
      <c r="E1144" t="str">
        <f>""</f>
        <v/>
      </c>
      <c r="F1144" t="str">
        <f>""</f>
        <v/>
      </c>
      <c r="H1144" t="str">
        <f>"Ord# 305239103001"</f>
        <v>Ord# 305239103001</v>
      </c>
    </row>
    <row r="1145" spans="1:8" x14ac:dyDescent="0.25">
      <c r="E1145" t="str">
        <f>""</f>
        <v/>
      </c>
      <c r="F1145" t="str">
        <f>""</f>
        <v/>
      </c>
      <c r="H1145" t="str">
        <f>"Ord# 308170818001"</f>
        <v>Ord# 308170818001</v>
      </c>
    </row>
    <row r="1146" spans="1:8" x14ac:dyDescent="0.25">
      <c r="E1146" t="str">
        <f>""</f>
        <v/>
      </c>
      <c r="F1146" t="str">
        <f>""</f>
        <v/>
      </c>
      <c r="H1146" t="str">
        <f>"Ord# 308171435001"</f>
        <v>Ord# 308171435001</v>
      </c>
    </row>
    <row r="1147" spans="1:8" x14ac:dyDescent="0.25">
      <c r="E1147" t="str">
        <f>""</f>
        <v/>
      </c>
      <c r="F1147" t="str">
        <f>""</f>
        <v/>
      </c>
      <c r="H1147" t="str">
        <f>"Ord# 310646436001"</f>
        <v>Ord# 310646436001</v>
      </c>
    </row>
    <row r="1148" spans="1:8" x14ac:dyDescent="0.25">
      <c r="E1148" t="str">
        <f>""</f>
        <v/>
      </c>
      <c r="F1148" t="str">
        <f>""</f>
        <v/>
      </c>
      <c r="H1148" t="str">
        <f>"Ord# 306328728001"</f>
        <v>Ord# 306328728001</v>
      </c>
    </row>
    <row r="1149" spans="1:8" x14ac:dyDescent="0.25">
      <c r="E1149" t="str">
        <f>""</f>
        <v/>
      </c>
      <c r="F1149" t="str">
        <f>""</f>
        <v/>
      </c>
      <c r="H1149" t="str">
        <f>"Ord# 306329375001"</f>
        <v>Ord# 306329375001</v>
      </c>
    </row>
    <row r="1150" spans="1:8" x14ac:dyDescent="0.25">
      <c r="E1150" t="str">
        <f>""</f>
        <v/>
      </c>
      <c r="F1150" t="str">
        <f>""</f>
        <v/>
      </c>
      <c r="H1150" t="str">
        <f>"Ord# 306329376001"</f>
        <v>Ord# 306329376001</v>
      </c>
    </row>
    <row r="1151" spans="1:8" x14ac:dyDescent="0.25">
      <c r="E1151" t="str">
        <f>""</f>
        <v/>
      </c>
      <c r="F1151" t="str">
        <f>""</f>
        <v/>
      </c>
      <c r="H1151" t="str">
        <f>"Ord# 306329377001"</f>
        <v>Ord# 306329377001</v>
      </c>
    </row>
    <row r="1152" spans="1:8" x14ac:dyDescent="0.25">
      <c r="E1152" t="str">
        <f>""</f>
        <v/>
      </c>
      <c r="F1152" t="str">
        <f>""</f>
        <v/>
      </c>
      <c r="H1152" t="str">
        <f>"Ord# 306329378001"</f>
        <v>Ord# 306329378001</v>
      </c>
    </row>
    <row r="1153" spans="5:8" x14ac:dyDescent="0.25">
      <c r="E1153" t="str">
        <f>""</f>
        <v/>
      </c>
      <c r="F1153" t="str">
        <f>""</f>
        <v/>
      </c>
      <c r="H1153" t="str">
        <f>"Ord# 304889418001"</f>
        <v>Ord# 304889418001</v>
      </c>
    </row>
    <row r="1154" spans="5:8" x14ac:dyDescent="0.25">
      <c r="E1154" t="str">
        <f>""</f>
        <v/>
      </c>
      <c r="F1154" t="str">
        <f>""</f>
        <v/>
      </c>
      <c r="H1154" t="str">
        <f>"Ord# 310752321001"</f>
        <v>Ord# 310752321001</v>
      </c>
    </row>
    <row r="1155" spans="5:8" x14ac:dyDescent="0.25">
      <c r="E1155" t="str">
        <f>"11532273"</f>
        <v>11532273</v>
      </c>
      <c r="F1155" t="str">
        <f>"Bill# 11532273"</f>
        <v>Bill# 11532273</v>
      </c>
      <c r="G1155" s="2">
        <v>1427.17</v>
      </c>
      <c r="H1155" t="str">
        <f>"Ord# 315595077001"</f>
        <v>Ord# 315595077001</v>
      </c>
    </row>
    <row r="1156" spans="5:8" x14ac:dyDescent="0.25">
      <c r="E1156" t="str">
        <f>""</f>
        <v/>
      </c>
      <c r="F1156" t="str">
        <f>""</f>
        <v/>
      </c>
      <c r="H1156" t="str">
        <f>"Ord# 315595804001"</f>
        <v>Ord# 315595804001</v>
      </c>
    </row>
    <row r="1157" spans="5:8" x14ac:dyDescent="0.25">
      <c r="E1157" t="str">
        <f>""</f>
        <v/>
      </c>
      <c r="F1157" t="str">
        <f>""</f>
        <v/>
      </c>
      <c r="H1157" t="str">
        <f>"Ord# 312642400001"</f>
        <v>Ord# 312642400001</v>
      </c>
    </row>
    <row r="1158" spans="5:8" x14ac:dyDescent="0.25">
      <c r="E1158" t="str">
        <f>""</f>
        <v/>
      </c>
      <c r="F1158" t="str">
        <f>""</f>
        <v/>
      </c>
      <c r="H1158" t="str">
        <f>"Ord# 313092386001"</f>
        <v>Ord# 313092386001</v>
      </c>
    </row>
    <row r="1159" spans="5:8" x14ac:dyDescent="0.25">
      <c r="E1159" t="str">
        <f>""</f>
        <v/>
      </c>
      <c r="F1159" t="str">
        <f>""</f>
        <v/>
      </c>
      <c r="H1159" t="str">
        <f>"Ord# 313092861001"</f>
        <v>Ord# 313092861001</v>
      </c>
    </row>
    <row r="1160" spans="5:8" x14ac:dyDescent="0.25">
      <c r="E1160" t="str">
        <f>""</f>
        <v/>
      </c>
      <c r="F1160" t="str">
        <f>""</f>
        <v/>
      </c>
      <c r="H1160" t="str">
        <f>"Ord# 312182612001"</f>
        <v>Ord# 312182612001</v>
      </c>
    </row>
    <row r="1161" spans="5:8" x14ac:dyDescent="0.25">
      <c r="E1161" t="str">
        <f>""</f>
        <v/>
      </c>
      <c r="F1161" t="str">
        <f>""</f>
        <v/>
      </c>
      <c r="H1161" t="str">
        <f>"Ord# 315032032001"</f>
        <v>Ord# 315032032001</v>
      </c>
    </row>
    <row r="1162" spans="5:8" x14ac:dyDescent="0.25">
      <c r="E1162" t="str">
        <f>""</f>
        <v/>
      </c>
      <c r="F1162" t="str">
        <f>""</f>
        <v/>
      </c>
      <c r="H1162" t="str">
        <f>"Ord# 316580268001"</f>
        <v>Ord# 316580268001</v>
      </c>
    </row>
    <row r="1163" spans="5:8" x14ac:dyDescent="0.25">
      <c r="E1163" t="str">
        <f>""</f>
        <v/>
      </c>
      <c r="F1163" t="str">
        <f>""</f>
        <v/>
      </c>
      <c r="H1163" t="str">
        <f>"Ord# 315255061001"</f>
        <v>Ord# 315255061001</v>
      </c>
    </row>
    <row r="1164" spans="5:8" x14ac:dyDescent="0.25">
      <c r="E1164" t="str">
        <f>""</f>
        <v/>
      </c>
      <c r="F1164" t="str">
        <f>""</f>
        <v/>
      </c>
      <c r="H1164" t="str">
        <f>"Ord# 312208152001"</f>
        <v>Ord# 312208152001</v>
      </c>
    </row>
    <row r="1165" spans="5:8" x14ac:dyDescent="0.25">
      <c r="E1165" t="str">
        <f>""</f>
        <v/>
      </c>
      <c r="F1165" t="str">
        <f>""</f>
        <v/>
      </c>
      <c r="H1165" t="str">
        <f>"Ord# 312225431001"</f>
        <v>Ord# 312225431001</v>
      </c>
    </row>
    <row r="1166" spans="5:8" x14ac:dyDescent="0.25">
      <c r="E1166" t="str">
        <f>""</f>
        <v/>
      </c>
      <c r="F1166" t="str">
        <f>""</f>
        <v/>
      </c>
      <c r="H1166" t="str">
        <f>"Ord# 312225432001"</f>
        <v>Ord# 312225432001</v>
      </c>
    </row>
    <row r="1167" spans="5:8" x14ac:dyDescent="0.25">
      <c r="E1167" t="str">
        <f>""</f>
        <v/>
      </c>
      <c r="F1167" t="str">
        <f>""</f>
        <v/>
      </c>
      <c r="H1167" t="str">
        <f>"Ord# 313377831001"</f>
        <v>Ord# 313377831001</v>
      </c>
    </row>
    <row r="1168" spans="5:8" x14ac:dyDescent="0.25">
      <c r="E1168" t="str">
        <f>""</f>
        <v/>
      </c>
      <c r="F1168" t="str">
        <f>""</f>
        <v/>
      </c>
      <c r="H1168" t="str">
        <f>"Ord# 31072558501"</f>
        <v>Ord# 31072558501</v>
      </c>
    </row>
    <row r="1169" spans="1:8" x14ac:dyDescent="0.25">
      <c r="E1169" t="str">
        <f>""</f>
        <v/>
      </c>
      <c r="F1169" t="str">
        <f>""</f>
        <v/>
      </c>
      <c r="H1169" t="str">
        <f>"Ord# 31052322001"</f>
        <v>Ord# 31052322001</v>
      </c>
    </row>
    <row r="1170" spans="1:8" x14ac:dyDescent="0.25">
      <c r="E1170" t="str">
        <f>""</f>
        <v/>
      </c>
      <c r="F1170" t="str">
        <f>""</f>
        <v/>
      </c>
      <c r="H1170" t="str">
        <f>"Ord# 311935985001"</f>
        <v>Ord# 311935985001</v>
      </c>
    </row>
    <row r="1171" spans="1:8" x14ac:dyDescent="0.25">
      <c r="A1171" t="s">
        <v>305</v>
      </c>
      <c r="B1171">
        <v>82379</v>
      </c>
      <c r="C1171" s="2">
        <v>1740</v>
      </c>
      <c r="D1171" s="1">
        <v>43613</v>
      </c>
      <c r="E1171" t="str">
        <f>"385420"</f>
        <v>385420</v>
      </c>
      <c r="F1171" t="str">
        <f>"inv#385420"</f>
        <v>inv#385420</v>
      </c>
      <c r="G1171" s="2">
        <v>1740</v>
      </c>
      <c r="H1171" t="str">
        <f>"inv#385420"</f>
        <v>inv#385420</v>
      </c>
    </row>
    <row r="1172" spans="1:8" x14ac:dyDescent="0.25">
      <c r="A1172" t="s">
        <v>306</v>
      </c>
      <c r="B1172">
        <v>82193</v>
      </c>
      <c r="C1172" s="2">
        <v>765</v>
      </c>
      <c r="D1172" s="1">
        <v>43598</v>
      </c>
      <c r="E1172" t="str">
        <f>"264358"</f>
        <v>264358</v>
      </c>
      <c r="F1172" t="str">
        <f>"OSBURN ASSOCIATES INC."</f>
        <v>OSBURN ASSOCIATES INC.</v>
      </c>
      <c r="G1172" s="2">
        <v>765</v>
      </c>
      <c r="H1172" t="str">
        <f>"Delineator"</f>
        <v>Delineator</v>
      </c>
    </row>
    <row r="1173" spans="1:8" x14ac:dyDescent="0.25">
      <c r="E1173" t="str">
        <f>""</f>
        <v/>
      </c>
      <c r="F1173" t="str">
        <f>""</f>
        <v/>
      </c>
      <c r="H1173" t="str">
        <f>"Vinyl 36 x50 Yards"</f>
        <v>Vinyl 36 x50 Yards</v>
      </c>
    </row>
    <row r="1174" spans="1:8" x14ac:dyDescent="0.25">
      <c r="A1174" t="s">
        <v>307</v>
      </c>
      <c r="B1174">
        <v>82194</v>
      </c>
      <c r="C1174" s="2">
        <v>500</v>
      </c>
      <c r="D1174" s="1">
        <v>43598</v>
      </c>
      <c r="E1174" t="str">
        <f>"201904258868"</f>
        <v>201904258868</v>
      </c>
      <c r="F1174" t="str">
        <f>"TRANSLATION SVCS"</f>
        <v>TRANSLATION SVCS</v>
      </c>
      <c r="G1174" s="2">
        <v>500</v>
      </c>
      <c r="H1174" t="str">
        <f>"TRANSLATION SVCS"</f>
        <v>TRANSLATION SVCS</v>
      </c>
    </row>
    <row r="1175" spans="1:8" x14ac:dyDescent="0.25">
      <c r="A1175" t="s">
        <v>308</v>
      </c>
      <c r="B1175">
        <v>82195</v>
      </c>
      <c r="C1175" s="2">
        <v>100</v>
      </c>
      <c r="D1175" s="1">
        <v>43598</v>
      </c>
      <c r="E1175" t="str">
        <f>"201905089237"</f>
        <v>201905089237</v>
      </c>
      <c r="F1175" t="str">
        <f>"FERAL HOGS"</f>
        <v>FERAL HOGS</v>
      </c>
      <c r="G1175" s="2">
        <v>50</v>
      </c>
      <c r="H1175" t="str">
        <f>"FERAL HOGS"</f>
        <v>FERAL HOGS</v>
      </c>
    </row>
    <row r="1176" spans="1:8" x14ac:dyDescent="0.25">
      <c r="E1176" t="str">
        <f>"201905089238"</f>
        <v>201905089238</v>
      </c>
      <c r="F1176" t="str">
        <f>"FERAL HOGS"</f>
        <v>FERAL HOGS</v>
      </c>
      <c r="G1176" s="2">
        <v>50</v>
      </c>
      <c r="H1176" t="str">
        <f>"FERAL HOGS"</f>
        <v>FERAL HOGS</v>
      </c>
    </row>
    <row r="1177" spans="1:8" x14ac:dyDescent="0.25">
      <c r="A1177" t="s">
        <v>309</v>
      </c>
      <c r="B1177">
        <v>82196</v>
      </c>
      <c r="C1177" s="2">
        <v>547.08000000000004</v>
      </c>
      <c r="D1177" s="1">
        <v>43598</v>
      </c>
      <c r="E1177" t="str">
        <f>"67195"</f>
        <v>67195</v>
      </c>
      <c r="F1177" t="str">
        <f>"PARTS/PCT#2"</f>
        <v>PARTS/PCT#2</v>
      </c>
      <c r="G1177" s="2">
        <v>547.08000000000004</v>
      </c>
      <c r="H1177" t="str">
        <f>"PARTS/PCT#2"</f>
        <v>PARTS/PCT#2</v>
      </c>
    </row>
    <row r="1178" spans="1:8" x14ac:dyDescent="0.25">
      <c r="A1178" t="s">
        <v>309</v>
      </c>
      <c r="B1178">
        <v>82380</v>
      </c>
      <c r="C1178" s="2">
        <v>57.21</v>
      </c>
      <c r="D1178" s="1">
        <v>43613</v>
      </c>
      <c r="E1178" t="str">
        <f>"67887"</f>
        <v>67887</v>
      </c>
      <c r="F1178" t="str">
        <f>"WHEEL ASSY/PCT#4"</f>
        <v>WHEEL ASSY/PCT#4</v>
      </c>
      <c r="G1178" s="2">
        <v>57.21</v>
      </c>
      <c r="H1178" t="str">
        <f>"WHEEL ASSY/PCT#4"</f>
        <v>WHEEL ASSY/PCT#4</v>
      </c>
    </row>
    <row r="1179" spans="1:8" x14ac:dyDescent="0.25">
      <c r="A1179" t="s">
        <v>310</v>
      </c>
      <c r="B1179">
        <v>82197</v>
      </c>
      <c r="C1179" s="2">
        <v>251.57</v>
      </c>
      <c r="D1179" s="1">
        <v>43598</v>
      </c>
      <c r="E1179" t="str">
        <f>"201905069047"</f>
        <v>201905069047</v>
      </c>
      <c r="F1179" t="str">
        <f>"ACCT#1137/PCT#4"</f>
        <v>ACCT#1137/PCT#4</v>
      </c>
      <c r="G1179" s="2">
        <v>251.57</v>
      </c>
      <c r="H1179" t="str">
        <f>"ACCT#1137/PCT#4"</f>
        <v>ACCT#1137/PCT#4</v>
      </c>
    </row>
    <row r="1180" spans="1:8" x14ac:dyDescent="0.25">
      <c r="A1180" t="s">
        <v>311</v>
      </c>
      <c r="B1180">
        <v>82198</v>
      </c>
      <c r="C1180" s="2">
        <v>240</v>
      </c>
      <c r="D1180" s="1">
        <v>43598</v>
      </c>
      <c r="E1180" t="str">
        <f>"PS657"</f>
        <v>PS657</v>
      </c>
      <c r="F1180" t="str">
        <f>"INV PS657"</f>
        <v>INV PS657</v>
      </c>
      <c r="G1180" s="2">
        <v>240</v>
      </c>
      <c r="H1180" t="str">
        <f>"INV PS657"</f>
        <v>INV PS657</v>
      </c>
    </row>
    <row r="1181" spans="1:8" x14ac:dyDescent="0.25">
      <c r="A1181" t="s">
        <v>312</v>
      </c>
      <c r="B1181">
        <v>82199</v>
      </c>
      <c r="C1181" s="2">
        <v>2462.87</v>
      </c>
      <c r="D1181" s="1">
        <v>43598</v>
      </c>
      <c r="E1181" t="str">
        <f>"201905089208"</f>
        <v>201905089208</v>
      </c>
      <c r="F1181" t="str">
        <f>"ACCT#0200140783"</f>
        <v>ACCT#0200140783</v>
      </c>
      <c r="G1181" s="2">
        <v>2462.87</v>
      </c>
      <c r="H1181" t="str">
        <f>"ACCT#0200140783"</f>
        <v>ACCT#0200140783</v>
      </c>
    </row>
    <row r="1182" spans="1:8" x14ac:dyDescent="0.25">
      <c r="E1182" t="str">
        <f>""</f>
        <v/>
      </c>
      <c r="F1182" t="str">
        <f>""</f>
        <v/>
      </c>
      <c r="H1182" t="str">
        <f>"ACCT#0200140783"</f>
        <v>ACCT#0200140783</v>
      </c>
    </row>
    <row r="1183" spans="1:8" x14ac:dyDescent="0.25">
      <c r="A1183" t="s">
        <v>313</v>
      </c>
      <c r="B1183">
        <v>82381</v>
      </c>
      <c r="C1183" s="2">
        <v>50</v>
      </c>
      <c r="D1183" s="1">
        <v>43613</v>
      </c>
      <c r="E1183" t="str">
        <f>"201905169319"</f>
        <v>201905169319</v>
      </c>
      <c r="F1183" t="str">
        <f>"REIMBURSE-ENGRAVING"</f>
        <v>REIMBURSE-ENGRAVING</v>
      </c>
      <c r="G1183" s="2">
        <v>50</v>
      </c>
      <c r="H1183" t="str">
        <f>"REIMBURSE-ENGRAVING"</f>
        <v>REIMBURSE-ENGRAVING</v>
      </c>
    </row>
    <row r="1184" spans="1:8" x14ac:dyDescent="0.25">
      <c r="A1184" t="s">
        <v>314</v>
      </c>
      <c r="B1184">
        <v>82382</v>
      </c>
      <c r="C1184" s="2">
        <v>69423.649999999994</v>
      </c>
      <c r="D1184" s="1">
        <v>43613</v>
      </c>
      <c r="E1184" t="str">
        <f>"IVC00046606"</f>
        <v>IVC00046606</v>
      </c>
      <c r="F1184" t="str">
        <f>"PROF SVCS 01/01-03/31/JP#2"</f>
        <v>PROF SVCS 01/01-03/31/JP#2</v>
      </c>
      <c r="G1184" s="2">
        <v>29228.83</v>
      </c>
      <c r="H1184" t="str">
        <f>"PROF SVCS 01/01-09/31/JP#2"</f>
        <v>PROF SVCS 01/01-09/31/JP#2</v>
      </c>
    </row>
    <row r="1185" spans="1:8" x14ac:dyDescent="0.25">
      <c r="E1185" t="str">
        <f>"IVC00046607"</f>
        <v>IVC00046607</v>
      </c>
      <c r="F1185" t="str">
        <f>"PROF SVCS 01/01-03/31/JP#3"</f>
        <v>PROF SVCS 01/01-03/31/JP#3</v>
      </c>
      <c r="G1185" s="2">
        <v>19318.63</v>
      </c>
      <c r="H1185" t="str">
        <f>"PROF SVCS 01/01-03/31/JP#3"</f>
        <v>PROF SVCS 01/01-03/31/JP#3</v>
      </c>
    </row>
    <row r="1186" spans="1:8" x14ac:dyDescent="0.25">
      <c r="E1186" t="str">
        <f>"IVC00046608"</f>
        <v>IVC00046608</v>
      </c>
      <c r="F1186" t="str">
        <f>"PROF SVCS 01/01-03/31/JP#4"</f>
        <v>PROF SVCS 01/01-03/31/JP#4</v>
      </c>
      <c r="G1186" s="2">
        <v>20876.189999999999</v>
      </c>
      <c r="H1186" t="str">
        <f>"PROF SVCS 01/01-03/31/JP#4"</f>
        <v>PROF SVCS 01/01-03/31/JP#4</v>
      </c>
    </row>
    <row r="1187" spans="1:8" x14ac:dyDescent="0.25">
      <c r="A1187" t="s">
        <v>315</v>
      </c>
      <c r="B1187">
        <v>82383</v>
      </c>
      <c r="C1187" s="2">
        <v>1231.5</v>
      </c>
      <c r="D1187" s="1">
        <v>43613</v>
      </c>
      <c r="E1187" t="str">
        <f>"201905179332"</f>
        <v>201905179332</v>
      </c>
      <c r="F1187" t="str">
        <f>"CLEVELAND MACK SALES INC"</f>
        <v>CLEVELAND MACK SALES INC</v>
      </c>
      <c r="G1187" s="2">
        <v>1231.5</v>
      </c>
      <c r="H1187" t="str">
        <f>"Headache Rack"</f>
        <v>Headache Rack</v>
      </c>
    </row>
    <row r="1188" spans="1:8" x14ac:dyDescent="0.25">
      <c r="A1188" t="s">
        <v>316</v>
      </c>
      <c r="B1188">
        <v>82200</v>
      </c>
      <c r="C1188" s="2">
        <v>175</v>
      </c>
      <c r="D1188" s="1">
        <v>43598</v>
      </c>
      <c r="E1188" t="str">
        <f>"201904248762"</f>
        <v>201904248762</v>
      </c>
      <c r="F1188" t="str">
        <f>"REIMBURSE-TBLS DUES"</f>
        <v>REIMBURSE-TBLS DUES</v>
      </c>
      <c r="G1188" s="2">
        <v>175</v>
      </c>
      <c r="H1188" t="str">
        <f>"REIMBURSE-TBLS DUES"</f>
        <v>REIMBURSE-TBLS DUES</v>
      </c>
    </row>
    <row r="1189" spans="1:8" x14ac:dyDescent="0.25">
      <c r="A1189" t="s">
        <v>317</v>
      </c>
      <c r="B1189">
        <v>791</v>
      </c>
      <c r="C1189" s="2">
        <v>5305</v>
      </c>
      <c r="D1189" s="1">
        <v>43599</v>
      </c>
      <c r="E1189" t="str">
        <f>"201904248783"</f>
        <v>201904248783</v>
      </c>
      <c r="F1189" t="str">
        <f>"17-18635"</f>
        <v>17-18635</v>
      </c>
      <c r="G1189" s="2">
        <v>1110</v>
      </c>
      <c r="H1189" t="str">
        <f>"17-18635"</f>
        <v>17-18635</v>
      </c>
    </row>
    <row r="1190" spans="1:8" x14ac:dyDescent="0.25">
      <c r="E1190" t="str">
        <f>"201904248784"</f>
        <v>201904248784</v>
      </c>
      <c r="F1190" t="str">
        <f>"19-19463"</f>
        <v>19-19463</v>
      </c>
      <c r="G1190" s="2">
        <v>400</v>
      </c>
      <c r="H1190" t="str">
        <f>"19-19463"</f>
        <v>19-19463</v>
      </c>
    </row>
    <row r="1191" spans="1:8" x14ac:dyDescent="0.25">
      <c r="E1191" t="str">
        <f>"201904248796"</f>
        <v>201904248796</v>
      </c>
      <c r="F1191" t="str">
        <f>"18-19039"</f>
        <v>18-19039</v>
      </c>
      <c r="G1191" s="2">
        <v>235</v>
      </c>
      <c r="H1191" t="str">
        <f>"18-19039"</f>
        <v>18-19039</v>
      </c>
    </row>
    <row r="1192" spans="1:8" x14ac:dyDescent="0.25">
      <c r="E1192" t="str">
        <f>"201904248797"</f>
        <v>201904248797</v>
      </c>
      <c r="F1192" t="str">
        <f>"18-19130"</f>
        <v>18-19130</v>
      </c>
      <c r="G1192" s="2">
        <v>295</v>
      </c>
      <c r="H1192" t="str">
        <f>"18-19130"</f>
        <v>18-19130</v>
      </c>
    </row>
    <row r="1193" spans="1:8" x14ac:dyDescent="0.25">
      <c r="E1193" t="str">
        <f>"201904248798"</f>
        <v>201904248798</v>
      </c>
      <c r="F1193" t="str">
        <f>"19-17305"</f>
        <v>19-17305</v>
      </c>
      <c r="G1193" s="2">
        <v>287.5</v>
      </c>
      <c r="H1193" t="str">
        <f>"19-17305"</f>
        <v>19-17305</v>
      </c>
    </row>
    <row r="1194" spans="1:8" x14ac:dyDescent="0.25">
      <c r="E1194" t="str">
        <f>"201904248802"</f>
        <v>201904248802</v>
      </c>
      <c r="F1194" t="str">
        <f>"18-19166"</f>
        <v>18-19166</v>
      </c>
      <c r="G1194" s="2">
        <v>362.5</v>
      </c>
      <c r="H1194" t="str">
        <f>"18-19166"</f>
        <v>18-19166</v>
      </c>
    </row>
    <row r="1195" spans="1:8" x14ac:dyDescent="0.25">
      <c r="E1195" t="str">
        <f>"201904248807"</f>
        <v>201904248807</v>
      </c>
      <c r="F1195" t="str">
        <f>"19-19426"</f>
        <v>19-19426</v>
      </c>
      <c r="G1195" s="2">
        <v>100</v>
      </c>
      <c r="H1195" t="str">
        <f>"19-19426"</f>
        <v>19-19426</v>
      </c>
    </row>
    <row r="1196" spans="1:8" x14ac:dyDescent="0.25">
      <c r="E1196" t="str">
        <f>"201904248830"</f>
        <v>201904248830</v>
      </c>
      <c r="F1196" t="str">
        <f>"56524"</f>
        <v>56524</v>
      </c>
      <c r="G1196" s="2">
        <v>250</v>
      </c>
      <c r="H1196" t="str">
        <f>"56524"</f>
        <v>56524</v>
      </c>
    </row>
    <row r="1197" spans="1:8" x14ac:dyDescent="0.25">
      <c r="E1197" t="str">
        <f>"201904248841"</f>
        <v>201904248841</v>
      </c>
      <c r="F1197" t="str">
        <f>"56808"</f>
        <v>56808</v>
      </c>
      <c r="G1197" s="2">
        <v>250</v>
      </c>
      <c r="H1197" t="str">
        <f>"56808"</f>
        <v>56808</v>
      </c>
    </row>
    <row r="1198" spans="1:8" x14ac:dyDescent="0.25">
      <c r="E1198" t="str">
        <f>"201904248844"</f>
        <v>201904248844</v>
      </c>
      <c r="F1198" t="str">
        <f>"56110"</f>
        <v>56110</v>
      </c>
      <c r="G1198" s="2">
        <v>250</v>
      </c>
      <c r="H1198" t="str">
        <f>"56110"</f>
        <v>56110</v>
      </c>
    </row>
    <row r="1199" spans="1:8" x14ac:dyDescent="0.25">
      <c r="E1199" t="str">
        <f>"201905079077"</f>
        <v>201905079077</v>
      </c>
      <c r="F1199" t="str">
        <f>"56610"</f>
        <v>56610</v>
      </c>
      <c r="G1199" s="2">
        <v>250</v>
      </c>
      <c r="H1199" t="str">
        <f>"56610"</f>
        <v>56610</v>
      </c>
    </row>
    <row r="1200" spans="1:8" x14ac:dyDescent="0.25">
      <c r="E1200" t="str">
        <f>"201905079088"</f>
        <v>201905079088</v>
      </c>
      <c r="F1200" t="str">
        <f>"BC20190319"</f>
        <v>BC20190319</v>
      </c>
      <c r="G1200" s="2">
        <v>250</v>
      </c>
      <c r="H1200" t="str">
        <f>"BC20190319"</f>
        <v>BC20190319</v>
      </c>
    </row>
    <row r="1201" spans="1:8" x14ac:dyDescent="0.25">
      <c r="E1201" t="str">
        <f>"201905079102"</f>
        <v>201905079102</v>
      </c>
      <c r="F1201" t="str">
        <f>"101132019G"</f>
        <v>101132019G</v>
      </c>
      <c r="G1201" s="2">
        <v>250</v>
      </c>
      <c r="H1201" t="str">
        <f>"101132019G"</f>
        <v>101132019G</v>
      </c>
    </row>
    <row r="1202" spans="1:8" x14ac:dyDescent="0.25">
      <c r="E1202" t="str">
        <f>"201905079128"</f>
        <v>201905079128</v>
      </c>
      <c r="F1202" t="str">
        <f>"18-19050"</f>
        <v>18-19050</v>
      </c>
      <c r="G1202" s="2">
        <v>295</v>
      </c>
      <c r="H1202" t="str">
        <f>"18-19050"</f>
        <v>18-19050</v>
      </c>
    </row>
    <row r="1203" spans="1:8" x14ac:dyDescent="0.25">
      <c r="E1203" t="str">
        <f>"201905079129"</f>
        <v>201905079129</v>
      </c>
      <c r="F1203" t="str">
        <f>"17-18617"</f>
        <v>17-18617</v>
      </c>
      <c r="G1203" s="2">
        <v>520</v>
      </c>
      <c r="H1203" t="str">
        <f>"17-18617"</f>
        <v>17-18617</v>
      </c>
    </row>
    <row r="1204" spans="1:8" x14ac:dyDescent="0.25">
      <c r="E1204" t="str">
        <f>"201905079136"</f>
        <v>201905079136</v>
      </c>
      <c r="F1204" t="str">
        <f>"UNFILED/19B0092"</f>
        <v>UNFILED/19B0092</v>
      </c>
      <c r="G1204" s="2">
        <v>100</v>
      </c>
      <c r="H1204" t="str">
        <f>"UNFILED/19B0092"</f>
        <v>UNFILED/19B0092</v>
      </c>
    </row>
    <row r="1205" spans="1:8" x14ac:dyDescent="0.25">
      <c r="E1205" t="str">
        <f>"201905079137"</f>
        <v>201905079137</v>
      </c>
      <c r="F1205" t="str">
        <f>"UNFILED/19B0097"</f>
        <v>UNFILED/19B0097</v>
      </c>
      <c r="G1205" s="2">
        <v>100</v>
      </c>
      <c r="H1205" t="str">
        <f>"UNFILED/19B0097"</f>
        <v>UNFILED/19B0097</v>
      </c>
    </row>
    <row r="1206" spans="1:8" x14ac:dyDescent="0.25">
      <c r="A1206" t="s">
        <v>317</v>
      </c>
      <c r="B1206">
        <v>854</v>
      </c>
      <c r="C1206" s="2">
        <v>1615.5</v>
      </c>
      <c r="D1206" s="1">
        <v>43614</v>
      </c>
      <c r="E1206" t="str">
        <f>"201905219387"</f>
        <v>201905219387</v>
      </c>
      <c r="F1206" t="str">
        <f>"56794"</f>
        <v>56794</v>
      </c>
      <c r="G1206" s="2">
        <v>250</v>
      </c>
      <c r="H1206" t="str">
        <f>"56794"</f>
        <v>56794</v>
      </c>
    </row>
    <row r="1207" spans="1:8" x14ac:dyDescent="0.25">
      <c r="E1207" t="str">
        <f>"201905219408"</f>
        <v>201905219408</v>
      </c>
      <c r="F1207" t="str">
        <f>"412218.3"</f>
        <v>412218.3</v>
      </c>
      <c r="G1207" s="2">
        <v>150</v>
      </c>
      <c r="H1207" t="str">
        <f>"412218.3"</f>
        <v>412218.3</v>
      </c>
    </row>
    <row r="1208" spans="1:8" x14ac:dyDescent="0.25">
      <c r="E1208" t="str">
        <f>"201905219409"</f>
        <v>201905219409</v>
      </c>
      <c r="F1208" t="str">
        <f>"402089.4"</f>
        <v>402089.4</v>
      </c>
      <c r="G1208" s="2">
        <v>150</v>
      </c>
      <c r="H1208" t="str">
        <f>"402089.4"</f>
        <v>402089.4</v>
      </c>
    </row>
    <row r="1209" spans="1:8" x14ac:dyDescent="0.25">
      <c r="E1209" t="str">
        <f>"201905219410"</f>
        <v>201905219410</v>
      </c>
      <c r="F1209" t="str">
        <f>"02-1030-4"</f>
        <v>02-1030-4</v>
      </c>
      <c r="G1209" s="2">
        <v>150</v>
      </c>
      <c r="H1209" t="str">
        <f>"02-1030-4"</f>
        <v>02-1030-4</v>
      </c>
    </row>
    <row r="1210" spans="1:8" x14ac:dyDescent="0.25">
      <c r="E1210" t="str">
        <f>"201905219442"</f>
        <v>201905219442</v>
      </c>
      <c r="F1210" t="str">
        <f>"19-19638"</f>
        <v>19-19638</v>
      </c>
      <c r="G1210" s="2">
        <v>310</v>
      </c>
      <c r="H1210" t="str">
        <f>"19-19638"</f>
        <v>19-19638</v>
      </c>
    </row>
    <row r="1211" spans="1:8" x14ac:dyDescent="0.25">
      <c r="E1211" t="str">
        <f>"201905219443"</f>
        <v>201905219443</v>
      </c>
      <c r="F1211" t="str">
        <f>"18-19166"</f>
        <v>18-19166</v>
      </c>
      <c r="G1211" s="2">
        <v>287.5</v>
      </c>
      <c r="H1211" t="str">
        <f>"18-19166"</f>
        <v>18-19166</v>
      </c>
    </row>
    <row r="1212" spans="1:8" x14ac:dyDescent="0.25">
      <c r="E1212" t="str">
        <f>"201905219444"</f>
        <v>201905219444</v>
      </c>
      <c r="F1212" t="str">
        <f>"18-19130"</f>
        <v>18-19130</v>
      </c>
      <c r="G1212" s="2">
        <v>318</v>
      </c>
      <c r="H1212" t="str">
        <f>"18-19130"</f>
        <v>18-19130</v>
      </c>
    </row>
    <row r="1213" spans="1:8" x14ac:dyDescent="0.25">
      <c r="A1213" t="s">
        <v>318</v>
      </c>
      <c r="B1213">
        <v>82201</v>
      </c>
      <c r="C1213" s="2">
        <v>2762.5</v>
      </c>
      <c r="D1213" s="1">
        <v>43598</v>
      </c>
      <c r="E1213" t="str">
        <f>"201904248822"</f>
        <v>201904248822</v>
      </c>
      <c r="F1213" t="str">
        <f>"17-18229"</f>
        <v>17-18229</v>
      </c>
      <c r="G1213" s="2">
        <v>1512.5</v>
      </c>
      <c r="H1213" t="str">
        <f>"17-18229"</f>
        <v>17-18229</v>
      </c>
    </row>
    <row r="1214" spans="1:8" x14ac:dyDescent="0.25">
      <c r="E1214" t="str">
        <f>"201904248858"</f>
        <v>201904248858</v>
      </c>
      <c r="F1214" t="str">
        <f>"1JP9518A"</f>
        <v>1JP9518A</v>
      </c>
      <c r="G1214" s="2">
        <v>250</v>
      </c>
      <c r="H1214" t="str">
        <f>"1JP9518A"</f>
        <v>1JP9518A</v>
      </c>
    </row>
    <row r="1215" spans="1:8" x14ac:dyDescent="0.25">
      <c r="E1215" t="str">
        <f>"201904248860"</f>
        <v>201904248860</v>
      </c>
      <c r="F1215" t="str">
        <f>"31230218A"</f>
        <v>31230218A</v>
      </c>
      <c r="G1215" s="2">
        <v>250</v>
      </c>
      <c r="H1215" t="str">
        <f>"31230218A"</f>
        <v>31230218A</v>
      </c>
    </row>
    <row r="1216" spans="1:8" x14ac:dyDescent="0.25">
      <c r="E1216" t="str">
        <f>"201904248861"</f>
        <v>201904248861</v>
      </c>
      <c r="F1216" t="str">
        <f>"56 226"</f>
        <v>56 226</v>
      </c>
      <c r="G1216" s="2">
        <v>250</v>
      </c>
      <c r="H1216" t="str">
        <f>"56 226"</f>
        <v>56 226</v>
      </c>
    </row>
    <row r="1217" spans="1:9" x14ac:dyDescent="0.25">
      <c r="E1217" t="str">
        <f>"201904248862"</f>
        <v>201904248862</v>
      </c>
      <c r="F1217" t="str">
        <f>"55 984"</f>
        <v>55 984</v>
      </c>
      <c r="G1217" s="2">
        <v>250</v>
      </c>
      <c r="H1217" t="str">
        <f>"55 984"</f>
        <v>55 984</v>
      </c>
    </row>
    <row r="1218" spans="1:9" x14ac:dyDescent="0.25">
      <c r="E1218" t="str">
        <f>"201904248863"</f>
        <v>201904248863</v>
      </c>
      <c r="F1218" t="str">
        <f>"102172019H"</f>
        <v>102172019H</v>
      </c>
      <c r="G1218" s="2">
        <v>250</v>
      </c>
      <c r="H1218" t="str">
        <f>"102172019H"</f>
        <v>102172019H</v>
      </c>
    </row>
    <row r="1219" spans="1:9" x14ac:dyDescent="0.25">
      <c r="A1219" t="s">
        <v>319</v>
      </c>
      <c r="B1219">
        <v>769</v>
      </c>
      <c r="C1219" s="2">
        <v>1331.24</v>
      </c>
      <c r="D1219" s="1">
        <v>43599</v>
      </c>
      <c r="E1219" t="str">
        <f>"201905089220"</f>
        <v>201905089220</v>
      </c>
      <c r="F1219" t="str">
        <f>"ACCT#0005/PCT#4"</f>
        <v>ACCT#0005/PCT#4</v>
      </c>
      <c r="G1219" s="2">
        <v>1331.24</v>
      </c>
      <c r="H1219" t="str">
        <f>"ACCT#0005/PCT#4"</f>
        <v>ACCT#0005/PCT#4</v>
      </c>
    </row>
    <row r="1220" spans="1:9" x14ac:dyDescent="0.25">
      <c r="A1220" t="s">
        <v>320</v>
      </c>
      <c r="B1220">
        <v>82202</v>
      </c>
      <c r="C1220" s="2">
        <v>710</v>
      </c>
      <c r="D1220" s="1">
        <v>43598</v>
      </c>
      <c r="E1220" t="str">
        <f>"201904248763"</f>
        <v>201904248763</v>
      </c>
      <c r="F1220" t="str">
        <f>"BRM ANNUAL MAINTENANCE/#10001"</f>
        <v>BRM ANNUAL MAINTENANCE/#10001</v>
      </c>
      <c r="G1220" s="2">
        <v>710</v>
      </c>
      <c r="H1220" t="str">
        <f>"BRM ANNUAL MAINTENANCE/#10001"</f>
        <v>BRM ANNUAL MAINTENANCE/#10001</v>
      </c>
    </row>
    <row r="1221" spans="1:9" x14ac:dyDescent="0.25">
      <c r="A1221" t="s">
        <v>320</v>
      </c>
      <c r="B1221">
        <v>82384</v>
      </c>
      <c r="C1221" s="2">
        <v>118</v>
      </c>
      <c r="D1221" s="1">
        <v>43613</v>
      </c>
      <c r="E1221" t="str">
        <f>"201905149263"</f>
        <v>201905149263</v>
      </c>
      <c r="F1221" t="str">
        <f>"JP PRECINCT 1 PO BOX FEE"</f>
        <v>JP PRECINCT 1 PO BOX FEE</v>
      </c>
      <c r="G1221" s="2">
        <v>118</v>
      </c>
      <c r="H1221" t="str">
        <f>"JP PRECINCT 1 PO BOX FEE"</f>
        <v>JP PRECINCT 1 PO BOX FEE</v>
      </c>
    </row>
    <row r="1222" spans="1:9" x14ac:dyDescent="0.25">
      <c r="A1222" t="s">
        <v>321</v>
      </c>
      <c r="B1222">
        <v>82203</v>
      </c>
      <c r="C1222" s="2">
        <v>51</v>
      </c>
      <c r="D1222" s="1">
        <v>43598</v>
      </c>
      <c r="E1222" t="str">
        <f>"25905"</f>
        <v>25905</v>
      </c>
      <c r="F1222" t="str">
        <f>"WORKER TIME LOG BOOKS/PCT#4"</f>
        <v>WORKER TIME LOG BOOKS/PCT#4</v>
      </c>
      <c r="G1222" s="2">
        <v>51</v>
      </c>
      <c r="H1222" t="str">
        <f>"WORKER TIME LOG BOOKS/PCT#4"</f>
        <v>WORKER TIME LOG BOOKS/PCT#4</v>
      </c>
    </row>
    <row r="1223" spans="1:9" x14ac:dyDescent="0.25">
      <c r="A1223" t="s">
        <v>322</v>
      </c>
      <c r="B1223">
        <v>82385</v>
      </c>
      <c r="C1223" s="2">
        <v>2144.2399999999998</v>
      </c>
      <c r="D1223" s="1">
        <v>43613</v>
      </c>
      <c r="E1223" t="str">
        <f>"201905179331"</f>
        <v>201905179331</v>
      </c>
      <c r="F1223" t="str">
        <f>"PRODUCTION SPECIALTY INCORPORA"</f>
        <v>PRODUCTION SPECIALTY INCORPORA</v>
      </c>
      <c r="G1223" s="2">
        <v>2144.2399999999998</v>
      </c>
      <c r="H1223" t="str">
        <f>"Bowie Pump"</f>
        <v>Bowie Pump</v>
      </c>
    </row>
    <row r="1224" spans="1:9" x14ac:dyDescent="0.25">
      <c r="E1224" t="str">
        <f>""</f>
        <v/>
      </c>
      <c r="F1224" t="str">
        <f>""</f>
        <v/>
      </c>
      <c r="H1224" t="str">
        <f>"Baldor Motor"</f>
        <v>Baldor Motor</v>
      </c>
    </row>
    <row r="1225" spans="1:9" x14ac:dyDescent="0.25">
      <c r="E1225" t="str">
        <f>""</f>
        <v/>
      </c>
      <c r="F1225" t="str">
        <f>""</f>
        <v/>
      </c>
      <c r="H1225" t="str">
        <f>"Shipping"</f>
        <v>Shipping</v>
      </c>
    </row>
    <row r="1226" spans="1:9" x14ac:dyDescent="0.25">
      <c r="A1226" t="s">
        <v>323</v>
      </c>
      <c r="B1226">
        <v>82204</v>
      </c>
      <c r="C1226" s="2">
        <v>25</v>
      </c>
      <c r="D1226" s="1">
        <v>43598</v>
      </c>
      <c r="E1226" t="s">
        <v>229</v>
      </c>
      <c r="F1226" t="s">
        <v>230</v>
      </c>
      <c r="G1226" s="2" t="str">
        <f>"RESTITUTION-COY FERRIS"</f>
        <v>RESTITUTION-COY FERRIS</v>
      </c>
      <c r="H1226" t="str">
        <f>"210-0000"</f>
        <v>210-0000</v>
      </c>
      <c r="I1226" t="str">
        <f>""</f>
        <v/>
      </c>
    </row>
    <row r="1227" spans="1:9" x14ac:dyDescent="0.25">
      <c r="A1227" t="s">
        <v>324</v>
      </c>
      <c r="B1227">
        <v>795</v>
      </c>
      <c r="C1227" s="2">
        <v>998</v>
      </c>
      <c r="D1227" s="1">
        <v>43599</v>
      </c>
      <c r="E1227" t="str">
        <f>"177515"</f>
        <v>177515</v>
      </c>
      <c r="F1227" t="str">
        <f>"INV 177515"</f>
        <v>INV 177515</v>
      </c>
      <c r="G1227" s="2">
        <v>998</v>
      </c>
      <c r="H1227" t="str">
        <f>"INV 177515"</f>
        <v>INV 177515</v>
      </c>
    </row>
    <row r="1228" spans="1:9" x14ac:dyDescent="0.25">
      <c r="A1228" t="s">
        <v>325</v>
      </c>
      <c r="B1228">
        <v>82386</v>
      </c>
      <c r="C1228" s="2">
        <v>245.58</v>
      </c>
      <c r="D1228" s="1">
        <v>43613</v>
      </c>
      <c r="E1228" t="str">
        <f>"201905219377"</f>
        <v>201905219377</v>
      </c>
      <c r="F1228" t="str">
        <f>"INDIGENT HEALTH"</f>
        <v>INDIGENT HEALTH</v>
      </c>
      <c r="G1228" s="2">
        <v>245.58</v>
      </c>
      <c r="H1228" t="str">
        <f>"INDIGENT HEALTH"</f>
        <v>INDIGENT HEALTH</v>
      </c>
    </row>
    <row r="1229" spans="1:9" x14ac:dyDescent="0.25">
      <c r="A1229" t="s">
        <v>326</v>
      </c>
      <c r="B1229">
        <v>82205</v>
      </c>
      <c r="C1229" s="2">
        <v>15</v>
      </c>
      <c r="D1229" s="1">
        <v>43598</v>
      </c>
      <c r="E1229" t="str">
        <f>"201905089240"</f>
        <v>201905089240</v>
      </c>
      <c r="F1229" t="str">
        <f>"FERAL HOGS"</f>
        <v>FERAL HOGS</v>
      </c>
      <c r="G1229" s="2">
        <v>15</v>
      </c>
      <c r="H1229" t="str">
        <f>"FERAL HOGS"</f>
        <v>FERAL HOGS</v>
      </c>
    </row>
    <row r="1230" spans="1:9" x14ac:dyDescent="0.25">
      <c r="A1230" t="s">
        <v>327</v>
      </c>
      <c r="B1230">
        <v>82206</v>
      </c>
      <c r="C1230" s="2">
        <v>1095</v>
      </c>
      <c r="D1230" s="1">
        <v>43598</v>
      </c>
      <c r="E1230" t="str">
        <f>"043180"</f>
        <v>043180</v>
      </c>
      <c r="F1230" t="str">
        <f>"INV 043180"</f>
        <v>INV 043180</v>
      </c>
      <c r="G1230" s="2">
        <v>1095</v>
      </c>
      <c r="H1230" t="str">
        <f>"INV 043180"</f>
        <v>INV 043180</v>
      </c>
    </row>
    <row r="1231" spans="1:9" x14ac:dyDescent="0.25">
      <c r="A1231" t="s">
        <v>328</v>
      </c>
      <c r="B1231">
        <v>82387</v>
      </c>
      <c r="C1231" s="2">
        <v>63.64</v>
      </c>
      <c r="D1231" s="1">
        <v>43613</v>
      </c>
      <c r="E1231" t="str">
        <f>"201905169318"</f>
        <v>201905169318</v>
      </c>
      <c r="F1231" t="str">
        <f>"REIMBURSE-PHOTOS"</f>
        <v>REIMBURSE-PHOTOS</v>
      </c>
      <c r="G1231" s="2">
        <v>63.64</v>
      </c>
      <c r="H1231" t="str">
        <f>"REIMBURSE-PHOTOS"</f>
        <v>REIMBURSE-PHOTOS</v>
      </c>
    </row>
    <row r="1232" spans="1:9" x14ac:dyDescent="0.25">
      <c r="A1232" t="s">
        <v>329</v>
      </c>
      <c r="B1232">
        <v>815</v>
      </c>
      <c r="C1232" s="2">
        <v>132.58000000000001</v>
      </c>
      <c r="D1232" s="1">
        <v>43614</v>
      </c>
      <c r="E1232" t="str">
        <f>"19E0121569859"</f>
        <v>19E0121569859</v>
      </c>
      <c r="F1232" t="str">
        <f>"ACCT#0121569859/JP#4"</f>
        <v>ACCT#0121569859/JP#4</v>
      </c>
      <c r="G1232" s="2">
        <v>56.91</v>
      </c>
      <c r="H1232" t="str">
        <f>"ACCT#0121569859/JP#4"</f>
        <v>ACCT#0121569859/JP#4</v>
      </c>
    </row>
    <row r="1233" spans="1:8" x14ac:dyDescent="0.25">
      <c r="E1233" t="str">
        <f>"19E0121587851"</f>
        <v>19E0121587851</v>
      </c>
      <c r="F1233" t="str">
        <f>"ACCT#0121587851"</f>
        <v>ACCT#0121587851</v>
      </c>
      <c r="G1233" s="2">
        <v>75.67</v>
      </c>
      <c r="H1233" t="str">
        <f>"ACCT#0121587851"</f>
        <v>ACCT#0121587851</v>
      </c>
    </row>
    <row r="1234" spans="1:8" x14ac:dyDescent="0.25">
      <c r="A1234" t="s">
        <v>330</v>
      </c>
      <c r="B1234">
        <v>82388</v>
      </c>
      <c r="C1234" s="2">
        <v>500</v>
      </c>
      <c r="D1234" s="1">
        <v>43613</v>
      </c>
      <c r="E1234" t="str">
        <f>"201905229474"</f>
        <v>201905229474</v>
      </c>
      <c r="F1234" t="str">
        <f>"SURGICAL SVCS 05/09/19"</f>
        <v>SURGICAL SVCS 05/09/19</v>
      </c>
      <c r="G1234" s="2">
        <v>500</v>
      </c>
      <c r="H1234" t="str">
        <f>"SURGICAL SVCS 05/09/19"</f>
        <v>SURGICAL SVCS 05/09/19</v>
      </c>
    </row>
    <row r="1235" spans="1:8" x14ac:dyDescent="0.25">
      <c r="A1235" t="s">
        <v>331</v>
      </c>
      <c r="B1235">
        <v>82389</v>
      </c>
      <c r="C1235" s="2">
        <v>248.48</v>
      </c>
      <c r="D1235" s="1">
        <v>43613</v>
      </c>
      <c r="E1235" t="str">
        <f>"201905149264"</f>
        <v>201905149264</v>
      </c>
      <c r="F1235" t="str">
        <f>"ACCT#19610/GEN SVCS"</f>
        <v>ACCT#19610/GEN SVCS</v>
      </c>
      <c r="G1235" s="2">
        <v>248.48</v>
      </c>
      <c r="H1235" t="str">
        <f>"ACCT#19610/GEN SVCS"</f>
        <v>ACCT#19610/GEN SVCS</v>
      </c>
    </row>
    <row r="1236" spans="1:8" x14ac:dyDescent="0.25">
      <c r="A1236" t="s">
        <v>332</v>
      </c>
      <c r="B1236">
        <v>793</v>
      </c>
      <c r="C1236" s="2">
        <v>250</v>
      </c>
      <c r="D1236" s="1">
        <v>43599</v>
      </c>
      <c r="E1236" t="str">
        <f>"201905079091"</f>
        <v>201905079091</v>
      </c>
      <c r="F1236" t="str">
        <f>"CC20190115"</f>
        <v>CC20190115</v>
      </c>
      <c r="G1236" s="2">
        <v>250</v>
      </c>
      <c r="H1236" t="str">
        <f>"CC20190115"</f>
        <v>CC20190115</v>
      </c>
    </row>
    <row r="1237" spans="1:8" x14ac:dyDescent="0.25">
      <c r="A1237" t="s">
        <v>332</v>
      </c>
      <c r="B1237">
        <v>856</v>
      </c>
      <c r="C1237" s="2">
        <v>250</v>
      </c>
      <c r="D1237" s="1">
        <v>43614</v>
      </c>
      <c r="E1237" t="str">
        <f>"201905219394"</f>
        <v>201905219394</v>
      </c>
      <c r="F1237" t="str">
        <f>"02-1209-2"</f>
        <v>02-1209-2</v>
      </c>
      <c r="G1237" s="2">
        <v>250</v>
      </c>
      <c r="H1237" t="str">
        <f>"02-1209-2"</f>
        <v>02-1209-2</v>
      </c>
    </row>
    <row r="1238" spans="1:8" x14ac:dyDescent="0.25">
      <c r="A1238" t="s">
        <v>333</v>
      </c>
      <c r="B1238">
        <v>82207</v>
      </c>
      <c r="C1238" s="2">
        <v>1500</v>
      </c>
      <c r="D1238" s="1">
        <v>43598</v>
      </c>
      <c r="E1238" t="str">
        <f>"201905089169"</f>
        <v>201905089169</v>
      </c>
      <c r="F1238" t="str">
        <f>"16 567"</f>
        <v>16 567</v>
      </c>
      <c r="G1238" s="2">
        <v>500</v>
      </c>
      <c r="H1238" t="str">
        <f>"16 567"</f>
        <v>16 567</v>
      </c>
    </row>
    <row r="1239" spans="1:8" x14ac:dyDescent="0.25">
      <c r="E1239" t="str">
        <f>"201905089170"</f>
        <v>201905089170</v>
      </c>
      <c r="F1239" t="str">
        <f>"DCPC-19-039"</f>
        <v>DCPC-19-039</v>
      </c>
      <c r="G1239" s="2">
        <v>1000</v>
      </c>
      <c r="H1239" t="str">
        <f>"DCPC-19-039"</f>
        <v>DCPC-19-039</v>
      </c>
    </row>
    <row r="1240" spans="1:8" x14ac:dyDescent="0.25">
      <c r="A1240" t="s">
        <v>334</v>
      </c>
      <c r="B1240">
        <v>742</v>
      </c>
      <c r="C1240" s="2">
        <v>5419.61</v>
      </c>
      <c r="D1240" s="1">
        <v>43599</v>
      </c>
      <c r="E1240" t="str">
        <f>"5056257449"</f>
        <v>5056257449</v>
      </c>
      <c r="F1240" t="str">
        <f>"CONTRACT#4746243"</f>
        <v>CONTRACT#4746243</v>
      </c>
      <c r="G1240" s="2">
        <v>3509.24</v>
      </c>
      <c r="H1240" t="str">
        <f t="shared" ref="H1240:H1264" si="6">"CONTRACT#4746243"</f>
        <v>CONTRACT#4746243</v>
      </c>
    </row>
    <row r="1241" spans="1:8" x14ac:dyDescent="0.25">
      <c r="E1241" t="str">
        <f>""</f>
        <v/>
      </c>
      <c r="F1241" t="str">
        <f>""</f>
        <v/>
      </c>
      <c r="H1241" t="str">
        <f t="shared" si="6"/>
        <v>CONTRACT#4746243</v>
      </c>
    </row>
    <row r="1242" spans="1:8" x14ac:dyDescent="0.25">
      <c r="E1242" t="str">
        <f>""</f>
        <v/>
      </c>
      <c r="F1242" t="str">
        <f>""</f>
        <v/>
      </c>
      <c r="H1242" t="str">
        <f t="shared" si="6"/>
        <v>CONTRACT#4746243</v>
      </c>
    </row>
    <row r="1243" spans="1:8" x14ac:dyDescent="0.25">
      <c r="E1243" t="str">
        <f>""</f>
        <v/>
      </c>
      <c r="F1243" t="str">
        <f>""</f>
        <v/>
      </c>
      <c r="H1243" t="str">
        <f t="shared" si="6"/>
        <v>CONTRACT#4746243</v>
      </c>
    </row>
    <row r="1244" spans="1:8" x14ac:dyDescent="0.25">
      <c r="E1244" t="str">
        <f>""</f>
        <v/>
      </c>
      <c r="F1244" t="str">
        <f>""</f>
        <v/>
      </c>
      <c r="H1244" t="str">
        <f t="shared" si="6"/>
        <v>CONTRACT#4746243</v>
      </c>
    </row>
    <row r="1245" spans="1:8" x14ac:dyDescent="0.25">
      <c r="E1245" t="str">
        <f>""</f>
        <v/>
      </c>
      <c r="F1245" t="str">
        <f>""</f>
        <v/>
      </c>
      <c r="H1245" t="str">
        <f t="shared" si="6"/>
        <v>CONTRACT#4746243</v>
      </c>
    </row>
    <row r="1246" spans="1:8" x14ac:dyDescent="0.25">
      <c r="E1246" t="str">
        <f>""</f>
        <v/>
      </c>
      <c r="F1246" t="str">
        <f>""</f>
        <v/>
      </c>
      <c r="H1246" t="str">
        <f t="shared" si="6"/>
        <v>CONTRACT#4746243</v>
      </c>
    </row>
    <row r="1247" spans="1:8" x14ac:dyDescent="0.25">
      <c r="E1247" t="str">
        <f>""</f>
        <v/>
      </c>
      <c r="F1247" t="str">
        <f>""</f>
        <v/>
      </c>
      <c r="H1247" t="str">
        <f t="shared" si="6"/>
        <v>CONTRACT#4746243</v>
      </c>
    </row>
    <row r="1248" spans="1:8" x14ac:dyDescent="0.25">
      <c r="E1248" t="str">
        <f>""</f>
        <v/>
      </c>
      <c r="F1248" t="str">
        <f>""</f>
        <v/>
      </c>
      <c r="H1248" t="str">
        <f t="shared" si="6"/>
        <v>CONTRACT#4746243</v>
      </c>
    </row>
    <row r="1249" spans="5:8" x14ac:dyDescent="0.25">
      <c r="E1249" t="str">
        <f>""</f>
        <v/>
      </c>
      <c r="F1249" t="str">
        <f>""</f>
        <v/>
      </c>
      <c r="H1249" t="str">
        <f t="shared" si="6"/>
        <v>CONTRACT#4746243</v>
      </c>
    </row>
    <row r="1250" spans="5:8" x14ac:dyDescent="0.25">
      <c r="E1250" t="str">
        <f>""</f>
        <v/>
      </c>
      <c r="F1250" t="str">
        <f>""</f>
        <v/>
      </c>
      <c r="H1250" t="str">
        <f t="shared" si="6"/>
        <v>CONTRACT#4746243</v>
      </c>
    </row>
    <row r="1251" spans="5:8" x14ac:dyDescent="0.25">
      <c r="E1251" t="str">
        <f>""</f>
        <v/>
      </c>
      <c r="F1251" t="str">
        <f>""</f>
        <v/>
      </c>
      <c r="H1251" t="str">
        <f t="shared" si="6"/>
        <v>CONTRACT#4746243</v>
      </c>
    </row>
    <row r="1252" spans="5:8" x14ac:dyDescent="0.25">
      <c r="E1252" t="str">
        <f>""</f>
        <v/>
      </c>
      <c r="F1252" t="str">
        <f>""</f>
        <v/>
      </c>
      <c r="H1252" t="str">
        <f t="shared" si="6"/>
        <v>CONTRACT#4746243</v>
      </c>
    </row>
    <row r="1253" spans="5:8" x14ac:dyDescent="0.25">
      <c r="E1253" t="str">
        <f>""</f>
        <v/>
      </c>
      <c r="F1253" t="str">
        <f>""</f>
        <v/>
      </c>
      <c r="H1253" t="str">
        <f t="shared" si="6"/>
        <v>CONTRACT#4746243</v>
      </c>
    </row>
    <row r="1254" spans="5:8" x14ac:dyDescent="0.25">
      <c r="E1254" t="str">
        <f>""</f>
        <v/>
      </c>
      <c r="F1254" t="str">
        <f>""</f>
        <v/>
      </c>
      <c r="H1254" t="str">
        <f t="shared" si="6"/>
        <v>CONTRACT#4746243</v>
      </c>
    </row>
    <row r="1255" spans="5:8" x14ac:dyDescent="0.25">
      <c r="E1255" t="str">
        <f>""</f>
        <v/>
      </c>
      <c r="F1255" t="str">
        <f>""</f>
        <v/>
      </c>
      <c r="H1255" t="str">
        <f t="shared" si="6"/>
        <v>CONTRACT#4746243</v>
      </c>
    </row>
    <row r="1256" spans="5:8" x14ac:dyDescent="0.25">
      <c r="E1256" t="str">
        <f>""</f>
        <v/>
      </c>
      <c r="F1256" t="str">
        <f>""</f>
        <v/>
      </c>
      <c r="H1256" t="str">
        <f t="shared" si="6"/>
        <v>CONTRACT#4746243</v>
      </c>
    </row>
    <row r="1257" spans="5:8" x14ac:dyDescent="0.25">
      <c r="E1257" t="str">
        <f>""</f>
        <v/>
      </c>
      <c r="F1257" t="str">
        <f>""</f>
        <v/>
      </c>
      <c r="H1257" t="str">
        <f t="shared" si="6"/>
        <v>CONTRACT#4746243</v>
      </c>
    </row>
    <row r="1258" spans="5:8" x14ac:dyDescent="0.25">
      <c r="E1258" t="str">
        <f>""</f>
        <v/>
      </c>
      <c r="F1258" t="str">
        <f>""</f>
        <v/>
      </c>
      <c r="H1258" t="str">
        <f t="shared" si="6"/>
        <v>CONTRACT#4746243</v>
      </c>
    </row>
    <row r="1259" spans="5:8" x14ac:dyDescent="0.25">
      <c r="E1259" t="str">
        <f>""</f>
        <v/>
      </c>
      <c r="F1259" t="str">
        <f>""</f>
        <v/>
      </c>
      <c r="H1259" t="str">
        <f t="shared" si="6"/>
        <v>CONTRACT#4746243</v>
      </c>
    </row>
    <row r="1260" spans="5:8" x14ac:dyDescent="0.25">
      <c r="E1260" t="str">
        <f>""</f>
        <v/>
      </c>
      <c r="F1260" t="str">
        <f>""</f>
        <v/>
      </c>
      <c r="H1260" t="str">
        <f t="shared" si="6"/>
        <v>CONTRACT#4746243</v>
      </c>
    </row>
    <row r="1261" spans="5:8" x14ac:dyDescent="0.25">
      <c r="E1261" t="str">
        <f>""</f>
        <v/>
      </c>
      <c r="F1261" t="str">
        <f>""</f>
        <v/>
      </c>
      <c r="H1261" t="str">
        <f t="shared" si="6"/>
        <v>CONTRACT#4746243</v>
      </c>
    </row>
    <row r="1262" spans="5:8" x14ac:dyDescent="0.25">
      <c r="E1262" t="str">
        <f>""</f>
        <v/>
      </c>
      <c r="F1262" t="str">
        <f>""</f>
        <v/>
      </c>
      <c r="H1262" t="str">
        <f t="shared" si="6"/>
        <v>CONTRACT#4746243</v>
      </c>
    </row>
    <row r="1263" spans="5:8" x14ac:dyDescent="0.25">
      <c r="E1263" t="str">
        <f>""</f>
        <v/>
      </c>
      <c r="F1263" t="str">
        <f>""</f>
        <v/>
      </c>
      <c r="H1263" t="str">
        <f t="shared" si="6"/>
        <v>CONTRACT#4746243</v>
      </c>
    </row>
    <row r="1264" spans="5:8" x14ac:dyDescent="0.25">
      <c r="E1264" t="str">
        <f>""</f>
        <v/>
      </c>
      <c r="F1264" t="str">
        <f>""</f>
        <v/>
      </c>
      <c r="H1264" t="str">
        <f t="shared" si="6"/>
        <v>CONTRACT#4746243</v>
      </c>
    </row>
    <row r="1265" spans="5:8" x14ac:dyDescent="0.25">
      <c r="E1265" t="str">
        <f>"5056257449 - P2"</f>
        <v>5056257449 - P2</v>
      </c>
      <c r="F1265" t="str">
        <f>"CONTRACT#4746243/PCT#2"</f>
        <v>CONTRACT#4746243/PCT#2</v>
      </c>
      <c r="G1265" s="2">
        <v>111.3</v>
      </c>
      <c r="H1265" t="str">
        <f>"CONTRACT#4746243/PCT#2"</f>
        <v>CONTRACT#4746243/PCT#2</v>
      </c>
    </row>
    <row r="1266" spans="5:8" x14ac:dyDescent="0.25">
      <c r="E1266" t="str">
        <f>"5056420362"</f>
        <v>5056420362</v>
      </c>
      <c r="F1266" t="str">
        <f>"CONTRACT#4746243"</f>
        <v>CONTRACT#4746243</v>
      </c>
      <c r="G1266" s="2">
        <v>1726.83</v>
      </c>
      <c r="H1266" t="str">
        <f t="shared" ref="H1266:H1290" si="7">"CONTRACT#4746243"</f>
        <v>CONTRACT#4746243</v>
      </c>
    </row>
    <row r="1267" spans="5:8" x14ac:dyDescent="0.25">
      <c r="E1267" t="str">
        <f>""</f>
        <v/>
      </c>
      <c r="F1267" t="str">
        <f>""</f>
        <v/>
      </c>
      <c r="H1267" t="str">
        <f t="shared" si="7"/>
        <v>CONTRACT#4746243</v>
      </c>
    </row>
    <row r="1268" spans="5:8" x14ac:dyDescent="0.25">
      <c r="E1268" t="str">
        <f>""</f>
        <v/>
      </c>
      <c r="F1268" t="str">
        <f>""</f>
        <v/>
      </c>
      <c r="H1268" t="str">
        <f t="shared" si="7"/>
        <v>CONTRACT#4746243</v>
      </c>
    </row>
    <row r="1269" spans="5:8" x14ac:dyDescent="0.25">
      <c r="E1269" t="str">
        <f>""</f>
        <v/>
      </c>
      <c r="F1269" t="str">
        <f>""</f>
        <v/>
      </c>
      <c r="H1269" t="str">
        <f t="shared" si="7"/>
        <v>CONTRACT#4746243</v>
      </c>
    </row>
    <row r="1270" spans="5:8" x14ac:dyDescent="0.25">
      <c r="E1270" t="str">
        <f>""</f>
        <v/>
      </c>
      <c r="F1270" t="str">
        <f>""</f>
        <v/>
      </c>
      <c r="H1270" t="str">
        <f t="shared" si="7"/>
        <v>CONTRACT#4746243</v>
      </c>
    </row>
    <row r="1271" spans="5:8" x14ac:dyDescent="0.25">
      <c r="E1271" t="str">
        <f>""</f>
        <v/>
      </c>
      <c r="F1271" t="str">
        <f>""</f>
        <v/>
      </c>
      <c r="H1271" t="str">
        <f t="shared" si="7"/>
        <v>CONTRACT#4746243</v>
      </c>
    </row>
    <row r="1272" spans="5:8" x14ac:dyDescent="0.25">
      <c r="E1272" t="str">
        <f>""</f>
        <v/>
      </c>
      <c r="F1272" t="str">
        <f>""</f>
        <v/>
      </c>
      <c r="H1272" t="str">
        <f t="shared" si="7"/>
        <v>CONTRACT#4746243</v>
      </c>
    </row>
    <row r="1273" spans="5:8" x14ac:dyDescent="0.25">
      <c r="E1273" t="str">
        <f>""</f>
        <v/>
      </c>
      <c r="F1273" t="str">
        <f>""</f>
        <v/>
      </c>
      <c r="H1273" t="str">
        <f t="shared" si="7"/>
        <v>CONTRACT#4746243</v>
      </c>
    </row>
    <row r="1274" spans="5:8" x14ac:dyDescent="0.25">
      <c r="E1274" t="str">
        <f>""</f>
        <v/>
      </c>
      <c r="F1274" t="str">
        <f>""</f>
        <v/>
      </c>
      <c r="H1274" t="str">
        <f t="shared" si="7"/>
        <v>CONTRACT#4746243</v>
      </c>
    </row>
    <row r="1275" spans="5:8" x14ac:dyDescent="0.25">
      <c r="E1275" t="str">
        <f>""</f>
        <v/>
      </c>
      <c r="F1275" t="str">
        <f>""</f>
        <v/>
      </c>
      <c r="H1275" t="str">
        <f t="shared" si="7"/>
        <v>CONTRACT#4746243</v>
      </c>
    </row>
    <row r="1276" spans="5:8" x14ac:dyDescent="0.25">
      <c r="E1276" t="str">
        <f>""</f>
        <v/>
      </c>
      <c r="F1276" t="str">
        <f>""</f>
        <v/>
      </c>
      <c r="H1276" t="str">
        <f t="shared" si="7"/>
        <v>CONTRACT#4746243</v>
      </c>
    </row>
    <row r="1277" spans="5:8" x14ac:dyDescent="0.25">
      <c r="E1277" t="str">
        <f>""</f>
        <v/>
      </c>
      <c r="F1277" t="str">
        <f>""</f>
        <v/>
      </c>
      <c r="H1277" t="str">
        <f t="shared" si="7"/>
        <v>CONTRACT#4746243</v>
      </c>
    </row>
    <row r="1278" spans="5:8" x14ac:dyDescent="0.25">
      <c r="E1278" t="str">
        <f>""</f>
        <v/>
      </c>
      <c r="F1278" t="str">
        <f>""</f>
        <v/>
      </c>
      <c r="H1278" t="str">
        <f t="shared" si="7"/>
        <v>CONTRACT#4746243</v>
      </c>
    </row>
    <row r="1279" spans="5:8" x14ac:dyDescent="0.25">
      <c r="E1279" t="str">
        <f>""</f>
        <v/>
      </c>
      <c r="F1279" t="str">
        <f>""</f>
        <v/>
      </c>
      <c r="H1279" t="str">
        <f t="shared" si="7"/>
        <v>CONTRACT#4746243</v>
      </c>
    </row>
    <row r="1280" spans="5:8" x14ac:dyDescent="0.25">
      <c r="E1280" t="str">
        <f>""</f>
        <v/>
      </c>
      <c r="F1280" t="str">
        <f>""</f>
        <v/>
      </c>
      <c r="H1280" t="str">
        <f t="shared" si="7"/>
        <v>CONTRACT#4746243</v>
      </c>
    </row>
    <row r="1281" spans="1:8" x14ac:dyDescent="0.25">
      <c r="E1281" t="str">
        <f>""</f>
        <v/>
      </c>
      <c r="F1281" t="str">
        <f>""</f>
        <v/>
      </c>
      <c r="H1281" t="str">
        <f t="shared" si="7"/>
        <v>CONTRACT#4746243</v>
      </c>
    </row>
    <row r="1282" spans="1:8" x14ac:dyDescent="0.25">
      <c r="E1282" t="str">
        <f>""</f>
        <v/>
      </c>
      <c r="F1282" t="str">
        <f>""</f>
        <v/>
      </c>
      <c r="H1282" t="str">
        <f t="shared" si="7"/>
        <v>CONTRACT#4746243</v>
      </c>
    </row>
    <row r="1283" spans="1:8" x14ac:dyDescent="0.25">
      <c r="E1283" t="str">
        <f>""</f>
        <v/>
      </c>
      <c r="F1283" t="str">
        <f>""</f>
        <v/>
      </c>
      <c r="H1283" t="str">
        <f t="shared" si="7"/>
        <v>CONTRACT#4746243</v>
      </c>
    </row>
    <row r="1284" spans="1:8" x14ac:dyDescent="0.25">
      <c r="E1284" t="str">
        <f>""</f>
        <v/>
      </c>
      <c r="F1284" t="str">
        <f>""</f>
        <v/>
      </c>
      <c r="H1284" t="str">
        <f t="shared" si="7"/>
        <v>CONTRACT#4746243</v>
      </c>
    </row>
    <row r="1285" spans="1:8" x14ac:dyDescent="0.25">
      <c r="E1285" t="str">
        <f>""</f>
        <v/>
      </c>
      <c r="F1285" t="str">
        <f>""</f>
        <v/>
      </c>
      <c r="H1285" t="str">
        <f t="shared" si="7"/>
        <v>CONTRACT#4746243</v>
      </c>
    </row>
    <row r="1286" spans="1:8" x14ac:dyDescent="0.25">
      <c r="E1286" t="str">
        <f>""</f>
        <v/>
      </c>
      <c r="F1286" t="str">
        <f>""</f>
        <v/>
      </c>
      <c r="H1286" t="str">
        <f t="shared" si="7"/>
        <v>CONTRACT#4746243</v>
      </c>
    </row>
    <row r="1287" spans="1:8" x14ac:dyDescent="0.25">
      <c r="E1287" t="str">
        <f>""</f>
        <v/>
      </c>
      <c r="F1287" t="str">
        <f>""</f>
        <v/>
      </c>
      <c r="H1287" t="str">
        <f t="shared" si="7"/>
        <v>CONTRACT#4746243</v>
      </c>
    </row>
    <row r="1288" spans="1:8" x14ac:dyDescent="0.25">
      <c r="E1288" t="str">
        <f>""</f>
        <v/>
      </c>
      <c r="F1288" t="str">
        <f>""</f>
        <v/>
      </c>
      <c r="H1288" t="str">
        <f t="shared" si="7"/>
        <v>CONTRACT#4746243</v>
      </c>
    </row>
    <row r="1289" spans="1:8" x14ac:dyDescent="0.25">
      <c r="E1289" t="str">
        <f>""</f>
        <v/>
      </c>
      <c r="F1289" t="str">
        <f>""</f>
        <v/>
      </c>
      <c r="H1289" t="str">
        <f t="shared" si="7"/>
        <v>CONTRACT#4746243</v>
      </c>
    </row>
    <row r="1290" spans="1:8" x14ac:dyDescent="0.25">
      <c r="E1290" t="str">
        <f>"5056420362 - FLOOD"</f>
        <v>5056420362 - FLOOD</v>
      </c>
      <c r="F1290" t="str">
        <f>"CONTRACT#4746243"</f>
        <v>CONTRACT#4746243</v>
      </c>
      <c r="G1290" s="2">
        <v>72.239999999999995</v>
      </c>
      <c r="H1290" t="str">
        <f t="shared" si="7"/>
        <v>CONTRACT#4746243</v>
      </c>
    </row>
    <row r="1291" spans="1:8" x14ac:dyDescent="0.25">
      <c r="A1291" t="s">
        <v>335</v>
      </c>
      <c r="B1291">
        <v>739</v>
      </c>
      <c r="C1291" s="2">
        <v>429</v>
      </c>
      <c r="D1291" s="1">
        <v>43599</v>
      </c>
      <c r="E1291" t="str">
        <f>"W012848"</f>
        <v>W012848</v>
      </c>
      <c r="F1291" t="str">
        <f>"INV W012848 / UNIT 4719"</f>
        <v>INV W012848 / UNIT 4719</v>
      </c>
      <c r="G1291" s="2">
        <v>429</v>
      </c>
      <c r="H1291" t="str">
        <f>"INV W012848 / UNIT 4719"</f>
        <v>INV W012848 / UNIT 4719</v>
      </c>
    </row>
    <row r="1292" spans="1:8" x14ac:dyDescent="0.25">
      <c r="A1292" t="s">
        <v>336</v>
      </c>
      <c r="B1292">
        <v>764</v>
      </c>
      <c r="C1292" s="2">
        <v>400</v>
      </c>
      <c r="D1292" s="1">
        <v>43599</v>
      </c>
      <c r="E1292" t="str">
        <f>"USMSBCAPR20"</f>
        <v>USMSBCAPR20</v>
      </c>
      <c r="F1292" t="str">
        <f>"INV USMSBCAPR20"</f>
        <v>INV USMSBCAPR20</v>
      </c>
      <c r="G1292" s="2">
        <v>400</v>
      </c>
      <c r="H1292" t="str">
        <f>"INV USMSBCAPR20"</f>
        <v>INV USMSBCAPR20</v>
      </c>
    </row>
    <row r="1293" spans="1:8" x14ac:dyDescent="0.25">
      <c r="A1293" t="s">
        <v>337</v>
      </c>
      <c r="B1293">
        <v>82208</v>
      </c>
      <c r="C1293" s="2">
        <v>916.33</v>
      </c>
      <c r="D1293" s="1">
        <v>43598</v>
      </c>
      <c r="E1293" t="str">
        <f>"4579641"</f>
        <v>4579641</v>
      </c>
      <c r="F1293" t="str">
        <f>"INV 4579641"</f>
        <v>INV 4579641</v>
      </c>
      <c r="G1293" s="2">
        <v>275.20999999999998</v>
      </c>
      <c r="H1293" t="str">
        <f>"INV 4579641"</f>
        <v>INV 4579641</v>
      </c>
    </row>
    <row r="1294" spans="1:8" x14ac:dyDescent="0.25">
      <c r="E1294" t="str">
        <f>"4584871  4589949"</f>
        <v>4584871  4589949</v>
      </c>
      <c r="F1294" t="str">
        <f>"INV 4584871"</f>
        <v>INV 4584871</v>
      </c>
      <c r="G1294" s="2">
        <v>507.45</v>
      </c>
      <c r="H1294" t="str">
        <f>"INV 4584871"</f>
        <v>INV 4584871</v>
      </c>
    </row>
    <row r="1295" spans="1:8" x14ac:dyDescent="0.25">
      <c r="E1295" t="str">
        <f>""</f>
        <v/>
      </c>
      <c r="F1295" t="str">
        <f>""</f>
        <v/>
      </c>
      <c r="H1295" t="str">
        <f>"INV 4589949"</f>
        <v>INV 4589949</v>
      </c>
    </row>
    <row r="1296" spans="1:8" x14ac:dyDescent="0.25">
      <c r="E1296" t="str">
        <f>"4586691"</f>
        <v>4586691</v>
      </c>
      <c r="F1296" t="str">
        <f>"CUST ID:90564/GEN SVCS"</f>
        <v>CUST ID:90564/GEN SVCS</v>
      </c>
      <c r="G1296" s="2">
        <v>78.989999999999995</v>
      </c>
      <c r="H1296" t="str">
        <f>"CUST ID:90564/GEN SVCS"</f>
        <v>CUST ID:90564/GEN SVCS</v>
      </c>
    </row>
    <row r="1297" spans="1:8" x14ac:dyDescent="0.25">
      <c r="E1297" t="str">
        <f>"4594558"</f>
        <v>4594558</v>
      </c>
      <c r="F1297" t="str">
        <f>"INV 4594558"</f>
        <v>INV 4594558</v>
      </c>
      <c r="G1297" s="2">
        <v>54.68</v>
      </c>
      <c r="H1297" t="str">
        <f>"INV 4594558"</f>
        <v>INV 4594558</v>
      </c>
    </row>
    <row r="1298" spans="1:8" x14ac:dyDescent="0.25">
      <c r="A1298" t="s">
        <v>338</v>
      </c>
      <c r="B1298">
        <v>82390</v>
      </c>
      <c r="C1298" s="2">
        <v>131.51</v>
      </c>
      <c r="D1298" s="1">
        <v>43613</v>
      </c>
      <c r="E1298" t="str">
        <f>"201905219457"</f>
        <v>201905219457</v>
      </c>
      <c r="F1298" t="str">
        <f>"REIMBURSE FOR HONOR GUARD"</f>
        <v>REIMBURSE FOR HONOR GUARD</v>
      </c>
      <c r="G1298" s="2">
        <v>131.51</v>
      </c>
      <c r="H1298" t="str">
        <f>"REIMBURSE FOR HONOR GUARD"</f>
        <v>REIMBURSE FOR HONOR GUARD</v>
      </c>
    </row>
    <row r="1299" spans="1:8" x14ac:dyDescent="0.25">
      <c r="A1299" t="s">
        <v>339</v>
      </c>
      <c r="B1299">
        <v>82209</v>
      </c>
      <c r="C1299" s="2">
        <v>364</v>
      </c>
      <c r="D1299" s="1">
        <v>43598</v>
      </c>
      <c r="E1299" t="str">
        <f>"201904308906"</f>
        <v>201904308906</v>
      </c>
      <c r="F1299" t="str">
        <f>"LPHCP RECORDING FEES"</f>
        <v>LPHCP RECORDING FEES</v>
      </c>
      <c r="G1299" s="2">
        <v>298</v>
      </c>
      <c r="H1299" t="str">
        <f>"LPHCP RECORDING FEES"</f>
        <v>LPHCP RECORDING FEES</v>
      </c>
    </row>
    <row r="1300" spans="1:8" x14ac:dyDescent="0.25">
      <c r="E1300" t="str">
        <f>"201905079152"</f>
        <v>201905079152</v>
      </c>
      <c r="F1300" t="str">
        <f>"LPHCP RECORDING FEES"</f>
        <v>LPHCP RECORDING FEES</v>
      </c>
      <c r="G1300" s="2">
        <v>66</v>
      </c>
      <c r="H1300" t="str">
        <f>"LPHCP RECORDING FEES"</f>
        <v>LPHCP RECORDING FEES</v>
      </c>
    </row>
    <row r="1301" spans="1:8" x14ac:dyDescent="0.25">
      <c r="A1301" t="s">
        <v>339</v>
      </c>
      <c r="B1301">
        <v>82210</v>
      </c>
      <c r="C1301" s="2">
        <v>418</v>
      </c>
      <c r="D1301" s="1">
        <v>43598</v>
      </c>
      <c r="E1301" t="str">
        <f>"201905089171"</f>
        <v>201905089171</v>
      </c>
      <c r="F1301" t="str">
        <f>"DEVELOPMENT SERVICES FEE"</f>
        <v>DEVELOPMENT SERVICES FEE</v>
      </c>
      <c r="G1301" s="2">
        <v>418</v>
      </c>
      <c r="H1301" t="str">
        <f>"DEVELOPMENT SERVICES FEE"</f>
        <v>DEVELOPMENT SERVICES FEE</v>
      </c>
    </row>
    <row r="1302" spans="1:8" x14ac:dyDescent="0.25">
      <c r="A1302" t="s">
        <v>339</v>
      </c>
      <c r="B1302">
        <v>82391</v>
      </c>
      <c r="C1302" s="2">
        <v>298</v>
      </c>
      <c r="D1302" s="1">
        <v>43613</v>
      </c>
      <c r="E1302" t="str">
        <f>"201905219350"</f>
        <v>201905219350</v>
      </c>
      <c r="F1302" t="str">
        <f>"LPHCP RECORDING FEES"</f>
        <v>LPHCP RECORDING FEES</v>
      </c>
      <c r="G1302" s="2">
        <v>244</v>
      </c>
      <c r="H1302" t="str">
        <f>"LPHCP RECORDING FEES"</f>
        <v>LPHCP RECORDING FEES</v>
      </c>
    </row>
    <row r="1303" spans="1:8" x14ac:dyDescent="0.25">
      <c r="E1303" t="str">
        <f>"201905219356"</f>
        <v>201905219356</v>
      </c>
      <c r="F1303" t="str">
        <f>"LPHCP RECORDING FEES"</f>
        <v>LPHCP RECORDING FEES</v>
      </c>
      <c r="G1303" s="2">
        <v>54</v>
      </c>
      <c r="H1303" t="str">
        <f>"LPHCP RECORDING FEES"</f>
        <v>LPHCP RECORDING FEES</v>
      </c>
    </row>
    <row r="1304" spans="1:8" x14ac:dyDescent="0.25">
      <c r="A1304" t="s">
        <v>339</v>
      </c>
      <c r="B1304">
        <v>82392</v>
      </c>
      <c r="C1304" s="2">
        <v>183</v>
      </c>
      <c r="D1304" s="1">
        <v>43613</v>
      </c>
      <c r="E1304" t="str">
        <f>"201905219357"</f>
        <v>201905219357</v>
      </c>
      <c r="F1304" t="str">
        <f>"DEVELOPMENT SVCS RECORDING FEE"</f>
        <v>DEVELOPMENT SVCS RECORDING FEE</v>
      </c>
      <c r="G1304" s="2">
        <v>183</v>
      </c>
      <c r="H1304" t="str">
        <f>"DEVELOPMENT SVCS RECORDING FEE"</f>
        <v>DEVELOPMENT SVCS RECORDING FEE</v>
      </c>
    </row>
    <row r="1305" spans="1:8" x14ac:dyDescent="0.25">
      <c r="A1305" t="s">
        <v>340</v>
      </c>
      <c r="B1305">
        <v>82393</v>
      </c>
      <c r="C1305" s="2">
        <v>88.48</v>
      </c>
      <c r="D1305" s="1">
        <v>43613</v>
      </c>
      <c r="E1305" t="str">
        <f>"5916 CVW"</f>
        <v>5916 CVW</v>
      </c>
      <c r="F1305" t="str">
        <f>"CUST#9486/PCT#4"</f>
        <v>CUST#9486/PCT#4</v>
      </c>
      <c r="G1305" s="2">
        <v>67.61</v>
      </c>
      <c r="H1305" t="str">
        <f>"CUST#9486/PCT#4"</f>
        <v>CUST#9486/PCT#4</v>
      </c>
    </row>
    <row r="1306" spans="1:8" x14ac:dyDescent="0.25">
      <c r="E1306" t="str">
        <f>"5917 CVW"</f>
        <v>5917 CVW</v>
      </c>
      <c r="F1306" t="str">
        <f>"CUST#9486/PCT#4"</f>
        <v>CUST#9486/PCT#4</v>
      </c>
      <c r="G1306" s="2">
        <v>20.87</v>
      </c>
      <c r="H1306" t="str">
        <f>"CUST#9486/PCT#4"</f>
        <v>CUST#9486/PCT#4</v>
      </c>
    </row>
    <row r="1307" spans="1:8" x14ac:dyDescent="0.25">
      <c r="A1307" t="s">
        <v>341</v>
      </c>
      <c r="B1307">
        <v>82211</v>
      </c>
      <c r="C1307" s="2">
        <v>226.1</v>
      </c>
      <c r="D1307" s="1">
        <v>43598</v>
      </c>
      <c r="E1307" t="str">
        <f>"0000031"</f>
        <v>0000031</v>
      </c>
      <c r="F1307" t="str">
        <f>"INTERPRETING SVCS/MILEAGE"</f>
        <v>INTERPRETING SVCS/MILEAGE</v>
      </c>
      <c r="G1307" s="2">
        <v>226.1</v>
      </c>
      <c r="H1307" t="str">
        <f>"INTERPRETING SVCS/MILEAGE"</f>
        <v>INTERPRETING SVCS/MILEAGE</v>
      </c>
    </row>
    <row r="1308" spans="1:8" x14ac:dyDescent="0.25">
      <c r="A1308" t="s">
        <v>341</v>
      </c>
      <c r="B1308">
        <v>82394</v>
      </c>
      <c r="C1308" s="2">
        <v>226.1</v>
      </c>
      <c r="D1308" s="1">
        <v>43613</v>
      </c>
      <c r="E1308" t="str">
        <f>"0000035"</f>
        <v>0000035</v>
      </c>
      <c r="F1308" t="str">
        <f>"INTERPRETER SVCS/MILEAGE"</f>
        <v>INTERPRETER SVCS/MILEAGE</v>
      </c>
      <c r="G1308" s="2">
        <v>226.1</v>
      </c>
      <c r="H1308" t="str">
        <f>"INTERPRETER SVCS/MILEAGE"</f>
        <v>INTERPRETER SVCS/MILEAGE</v>
      </c>
    </row>
    <row r="1309" spans="1:8" x14ac:dyDescent="0.25">
      <c r="A1309" t="s">
        <v>342</v>
      </c>
      <c r="B1309">
        <v>82212</v>
      </c>
      <c r="C1309" s="2">
        <v>1084</v>
      </c>
      <c r="D1309" s="1">
        <v>43598</v>
      </c>
      <c r="E1309" t="str">
        <f>"201905089175"</f>
        <v>201905089175</v>
      </c>
      <c r="F1309" t="str">
        <f>"SANE EXAM 19-J-00068"</f>
        <v>SANE EXAM 19-J-00068</v>
      </c>
      <c r="G1309" s="2">
        <v>1084</v>
      </c>
      <c r="H1309" t="str">
        <f>"SANE EXAM 19-J-00068"</f>
        <v>SANE EXAM 19-J-00068</v>
      </c>
    </row>
    <row r="1310" spans="1:8" x14ac:dyDescent="0.25">
      <c r="A1310" t="s">
        <v>342</v>
      </c>
      <c r="B1310">
        <v>82395</v>
      </c>
      <c r="C1310" s="2">
        <v>658</v>
      </c>
      <c r="D1310" s="1">
        <v>43613</v>
      </c>
      <c r="E1310" t="str">
        <f>"201905229477"</f>
        <v>201905229477</v>
      </c>
      <c r="F1310" t="str">
        <f>"ACCT#20190185/19-S-02144"</f>
        <v>ACCT#20190185/19-S-02144</v>
      </c>
      <c r="G1310" s="2">
        <v>658</v>
      </c>
      <c r="H1310" t="str">
        <f>"ACCT#20190185/19-S-02144"</f>
        <v>ACCT#20190185/19-S-02144</v>
      </c>
    </row>
    <row r="1311" spans="1:8" x14ac:dyDescent="0.25">
      <c r="A1311" t="s">
        <v>343</v>
      </c>
      <c r="B1311">
        <v>82396</v>
      </c>
      <c r="C1311" s="2">
        <v>330</v>
      </c>
      <c r="D1311" s="1">
        <v>43613</v>
      </c>
      <c r="E1311" t="str">
        <f>"201905219470"</f>
        <v>201905219470</v>
      </c>
      <c r="F1311" t="str">
        <f>"REGISTRATION"</f>
        <v>REGISTRATION</v>
      </c>
      <c r="G1311" s="2">
        <v>330</v>
      </c>
      <c r="H1311" t="str">
        <f>"REGISTRATION"</f>
        <v>REGISTRATION</v>
      </c>
    </row>
    <row r="1312" spans="1:8" x14ac:dyDescent="0.25">
      <c r="A1312" t="s">
        <v>344</v>
      </c>
      <c r="B1312">
        <v>857</v>
      </c>
      <c r="C1312" s="2">
        <v>387.12</v>
      </c>
      <c r="D1312" s="1">
        <v>43614</v>
      </c>
      <c r="E1312" t="str">
        <f>"201905219373"</f>
        <v>201905219373</v>
      </c>
      <c r="F1312" t="str">
        <f>"INDIGENT HEALTH"</f>
        <v>INDIGENT HEALTH</v>
      </c>
      <c r="G1312" s="2">
        <v>387.12</v>
      </c>
      <c r="H1312" t="str">
        <f>"INDIGENT HEALTH"</f>
        <v>INDIGENT HEALTH</v>
      </c>
    </row>
    <row r="1313" spans="1:9" x14ac:dyDescent="0.25">
      <c r="A1313" t="s">
        <v>345</v>
      </c>
      <c r="B1313">
        <v>796</v>
      </c>
      <c r="C1313" s="2">
        <v>510</v>
      </c>
      <c r="D1313" s="1">
        <v>43599</v>
      </c>
      <c r="E1313" t="str">
        <f>"201905089191"</f>
        <v>201905089191</v>
      </c>
      <c r="F1313" t="str">
        <f>"SCOTT MERRIMAN INC"</f>
        <v>SCOTT MERRIMAN INC</v>
      </c>
      <c r="G1313" s="2">
        <v>510</v>
      </c>
      <c r="H1313" t="str">
        <f>"SW2 Binders"</f>
        <v>SW2 Binders</v>
      </c>
    </row>
    <row r="1314" spans="1:9" x14ac:dyDescent="0.25">
      <c r="E1314" t="str">
        <f>""</f>
        <v/>
      </c>
      <c r="F1314" t="str">
        <f>""</f>
        <v/>
      </c>
      <c r="H1314" t="str">
        <f>"Shipping"</f>
        <v>Shipping</v>
      </c>
    </row>
    <row r="1315" spans="1:9" x14ac:dyDescent="0.25">
      <c r="A1315" t="s">
        <v>345</v>
      </c>
      <c r="B1315">
        <v>858</v>
      </c>
      <c r="C1315" s="2">
        <v>415</v>
      </c>
      <c r="D1315" s="1">
        <v>43614</v>
      </c>
      <c r="E1315" t="str">
        <f>"063492"</f>
        <v>063492</v>
      </c>
      <c r="F1315" t="str">
        <f>"MANILLA DA FOLDERS/DA'S OFFICE"</f>
        <v>MANILLA DA FOLDERS/DA'S OFFICE</v>
      </c>
      <c r="G1315" s="2">
        <v>415</v>
      </c>
      <c r="H1315" t="str">
        <f>"MANILLA DA FOLDERS/DA'S OFFICE"</f>
        <v>MANILLA DA FOLDERS/DA'S OFFICE</v>
      </c>
    </row>
    <row r="1316" spans="1:9" x14ac:dyDescent="0.25">
      <c r="A1316" t="s">
        <v>346</v>
      </c>
      <c r="B1316">
        <v>82397</v>
      </c>
      <c r="C1316" s="2">
        <v>19117.75</v>
      </c>
      <c r="D1316" s="1">
        <v>43613</v>
      </c>
      <c r="E1316" t="str">
        <f>"201905219379"</f>
        <v>201905219379</v>
      </c>
      <c r="F1316" t="str">
        <f>"INDIGENT HEALTH"</f>
        <v>INDIGENT HEALTH</v>
      </c>
      <c r="G1316" s="2">
        <v>15784.75</v>
      </c>
      <c r="H1316" t="str">
        <f>"INDIGENT HEALTH"</f>
        <v>INDIGENT HEALTH</v>
      </c>
    </row>
    <row r="1317" spans="1:9" x14ac:dyDescent="0.25">
      <c r="E1317" t="str">
        <f>""</f>
        <v/>
      </c>
      <c r="F1317" t="str">
        <f>""</f>
        <v/>
      </c>
      <c r="H1317" t="str">
        <f>"INDIGENT HEALTH"</f>
        <v>INDIGENT HEALTH</v>
      </c>
    </row>
    <row r="1318" spans="1:9" x14ac:dyDescent="0.25">
      <c r="E1318" t="str">
        <f>""</f>
        <v/>
      </c>
      <c r="F1318" t="str">
        <f>""</f>
        <v/>
      </c>
      <c r="H1318" t="str">
        <f>"INDIGENT HEALTH"</f>
        <v>INDIGENT HEALTH</v>
      </c>
    </row>
    <row r="1319" spans="1:9" x14ac:dyDescent="0.25">
      <c r="E1319" t="str">
        <f>"42019"</f>
        <v>42019</v>
      </c>
      <c r="F1319" t="str">
        <f>"RX ASSISTANCE PROGRAM"</f>
        <v>RX ASSISTANCE PROGRAM</v>
      </c>
      <c r="G1319" s="2">
        <v>3333</v>
      </c>
      <c r="H1319" t="str">
        <f>"RX ASSISTANCE PROGRAM"</f>
        <v>RX ASSISTANCE PROGRAM</v>
      </c>
    </row>
    <row r="1320" spans="1:9" x14ac:dyDescent="0.25">
      <c r="A1320" t="s">
        <v>347</v>
      </c>
      <c r="B1320">
        <v>82213</v>
      </c>
      <c r="C1320" s="2">
        <v>58.26</v>
      </c>
      <c r="D1320" s="1">
        <v>43598</v>
      </c>
      <c r="E1320" t="str">
        <f>"201905069040"</f>
        <v>201905069040</v>
      </c>
      <c r="F1320" t="str">
        <f>"REIMBURSE EXPENSES"</f>
        <v>REIMBURSE EXPENSES</v>
      </c>
      <c r="G1320" s="2">
        <v>58.26</v>
      </c>
      <c r="H1320" t="str">
        <f>"REIMBURSE EXPENSES"</f>
        <v>REIMBURSE EXPENSES</v>
      </c>
    </row>
    <row r="1321" spans="1:9" x14ac:dyDescent="0.25">
      <c r="A1321" t="s">
        <v>348</v>
      </c>
      <c r="B1321">
        <v>82214</v>
      </c>
      <c r="C1321" s="2">
        <v>30</v>
      </c>
      <c r="D1321" s="1">
        <v>43598</v>
      </c>
      <c r="E1321" t="s">
        <v>75</v>
      </c>
      <c r="F1321" t="s">
        <v>349</v>
      </c>
      <c r="G1321" s="2" t="str">
        <f>"RESTITUTION-DEBRA MCCOMB"</f>
        <v>RESTITUTION-DEBRA MCCOMB</v>
      </c>
      <c r="H1321" t="str">
        <f>"210-0000"</f>
        <v>210-0000</v>
      </c>
      <c r="I1321" t="str">
        <f>""</f>
        <v/>
      </c>
    </row>
    <row r="1322" spans="1:9" x14ac:dyDescent="0.25">
      <c r="A1322" t="s">
        <v>350</v>
      </c>
      <c r="B1322">
        <v>82215</v>
      </c>
      <c r="C1322" s="2">
        <v>245</v>
      </c>
      <c r="D1322" s="1">
        <v>43598</v>
      </c>
      <c r="E1322" t="str">
        <f>"2773463"</f>
        <v>2773463</v>
      </c>
      <c r="F1322" t="str">
        <f>"REIMBURSE DAMAGED TIRE/PCT#3"</f>
        <v>REIMBURSE DAMAGED TIRE/PCT#3</v>
      </c>
      <c r="G1322" s="2">
        <v>245</v>
      </c>
      <c r="H1322" t="str">
        <f>"REIMBURSE DAMAGED TIRE/PCT#3"</f>
        <v>REIMBURSE DAMAGED TIRE/PCT#3</v>
      </c>
    </row>
    <row r="1323" spans="1:9" x14ac:dyDescent="0.25">
      <c r="A1323" t="s">
        <v>351</v>
      </c>
      <c r="B1323">
        <v>82216</v>
      </c>
      <c r="C1323" s="2">
        <v>23.12</v>
      </c>
      <c r="D1323" s="1">
        <v>43598</v>
      </c>
      <c r="E1323" t="str">
        <f>"8432-2"</f>
        <v>8432-2</v>
      </c>
      <c r="F1323" t="str">
        <f>"ACCT#4220-2556-9/JUDGE PAPE"</f>
        <v>ACCT#4220-2556-9/JUDGE PAPE</v>
      </c>
      <c r="G1323" s="2">
        <v>23.12</v>
      </c>
      <c r="H1323" t="str">
        <f>"ACCT#4220-2556-9/JUDGE PAPE"</f>
        <v>ACCT#4220-2556-9/JUDGE PAPE</v>
      </c>
    </row>
    <row r="1324" spans="1:9" x14ac:dyDescent="0.25">
      <c r="A1324" t="s">
        <v>352</v>
      </c>
      <c r="B1324">
        <v>82217</v>
      </c>
      <c r="C1324" s="2">
        <v>18129.52</v>
      </c>
      <c r="D1324" s="1">
        <v>43598</v>
      </c>
      <c r="E1324" t="str">
        <f>"201905028941"</f>
        <v>201905028941</v>
      </c>
      <c r="F1324" t="str">
        <f>"Cisco Email Security Inbo"</f>
        <v>Cisco Email Security Inbo</v>
      </c>
      <c r="G1324" s="2">
        <v>3044.52</v>
      </c>
      <c r="H1324" t="str">
        <f>"Part#: ESA-ESI-SMS-1"</f>
        <v>Part#: ESA-ESI-SMS-1</v>
      </c>
    </row>
    <row r="1325" spans="1:9" x14ac:dyDescent="0.25">
      <c r="E1325" t="str">
        <f>"GB00321784"</f>
        <v>GB00321784</v>
      </c>
      <c r="F1325" t="str">
        <f>"Autodesk Renewal"</f>
        <v>Autodesk Renewal</v>
      </c>
      <c r="G1325" s="2">
        <v>395</v>
      </c>
      <c r="H1325" t="str">
        <f>"057I1-009704-T385-VC"</f>
        <v>057I1-009704-T385-VC</v>
      </c>
    </row>
    <row r="1326" spans="1:9" x14ac:dyDescent="0.25">
      <c r="E1326" t="str">
        <f>""</f>
        <v/>
      </c>
      <c r="F1326" t="str">
        <f>""</f>
        <v/>
      </c>
      <c r="H1326" t="str">
        <f>"057I1-009704-T385-VC"</f>
        <v>057I1-009704-T385-VC</v>
      </c>
    </row>
    <row r="1327" spans="1:9" x14ac:dyDescent="0.25">
      <c r="E1327" t="str">
        <f>"GB00322608"</f>
        <v>GB00322608</v>
      </c>
      <c r="F1327" t="str">
        <f>"6 Cisco Meraki SFP transc"</f>
        <v>6 Cisco Meraki SFP transc</v>
      </c>
      <c r="G1327" s="2">
        <v>14640</v>
      </c>
      <c r="H1327" t="str">
        <f>"Part#:MA-SFP-10GB-LR"</f>
        <v>Part#:MA-SFP-10GB-LR</v>
      </c>
    </row>
    <row r="1328" spans="1:9" x14ac:dyDescent="0.25">
      <c r="E1328" t="str">
        <f>"GB00324561"</f>
        <v>GB00324561</v>
      </c>
      <c r="F1328" t="str">
        <f>"HDMI cables"</f>
        <v>HDMI cables</v>
      </c>
      <c r="G1328" s="2">
        <v>50</v>
      </c>
      <c r="H1328" t="str">
        <f>"Part#: HDMM3"</f>
        <v>Part#: HDMM3</v>
      </c>
    </row>
    <row r="1329" spans="1:8" x14ac:dyDescent="0.25">
      <c r="A1329" t="s">
        <v>353</v>
      </c>
      <c r="B1329">
        <v>82218</v>
      </c>
      <c r="C1329" s="2">
        <v>538.16999999999996</v>
      </c>
      <c r="D1329" s="1">
        <v>43598</v>
      </c>
      <c r="E1329" t="str">
        <f>"964308"</f>
        <v>964308</v>
      </c>
      <c r="F1329" t="str">
        <f>"ACCT#550615/PCT#2"</f>
        <v>ACCT#550615/PCT#2</v>
      </c>
      <c r="G1329" s="2">
        <v>392.9</v>
      </c>
      <c r="H1329" t="str">
        <f>"ACCT#550615/PCT#2"</f>
        <v>ACCT#550615/PCT#2</v>
      </c>
    </row>
    <row r="1330" spans="1:8" x14ac:dyDescent="0.25">
      <c r="E1330" t="str">
        <f>"966957"</f>
        <v>966957</v>
      </c>
      <c r="F1330" t="str">
        <f>"ACCT#550615/PCT#4"</f>
        <v>ACCT#550615/PCT#4</v>
      </c>
      <c r="G1330" s="2">
        <v>145.27000000000001</v>
      </c>
      <c r="H1330" t="str">
        <f>"ACCT#550615/PCT#4"</f>
        <v>ACCT#550615/PCT#4</v>
      </c>
    </row>
    <row r="1331" spans="1:8" x14ac:dyDescent="0.25">
      <c r="A1331" t="s">
        <v>354</v>
      </c>
      <c r="B1331">
        <v>82219</v>
      </c>
      <c r="C1331" s="2">
        <v>364.34</v>
      </c>
      <c r="D1331" s="1">
        <v>43598</v>
      </c>
      <c r="E1331" t="str">
        <f>"8127211319"</f>
        <v>8127211319</v>
      </c>
      <c r="F1331" t="str">
        <f>"INV 8127211319"</f>
        <v>INV 8127211319</v>
      </c>
      <c r="G1331" s="2">
        <v>130.54</v>
      </c>
      <c r="H1331" t="str">
        <f>"INV 8127211319 - LE"</f>
        <v>INV 8127211319 - LE</v>
      </c>
    </row>
    <row r="1332" spans="1:8" x14ac:dyDescent="0.25">
      <c r="E1332" t="str">
        <f>""</f>
        <v/>
      </c>
      <c r="F1332" t="str">
        <f>""</f>
        <v/>
      </c>
      <c r="H1332" t="str">
        <f>"INV 8127211319 - JAI"</f>
        <v>INV 8127211319 - JAI</v>
      </c>
    </row>
    <row r="1333" spans="1:8" x14ac:dyDescent="0.25">
      <c r="E1333" t="str">
        <f>"8127211940"</f>
        <v>8127211940</v>
      </c>
      <c r="F1333" t="str">
        <f>"CUST#16155373/PURCHASING DEPT"</f>
        <v>CUST#16155373/PURCHASING DEPT</v>
      </c>
      <c r="G1333" s="2">
        <v>110.21</v>
      </c>
      <c r="H1333" t="str">
        <f t="shared" ref="H1333:H1338" si="8">"CUST#16155373/PURCHASING DEPT"</f>
        <v>CUST#16155373/PURCHASING DEPT</v>
      </c>
    </row>
    <row r="1334" spans="1:8" x14ac:dyDescent="0.25">
      <c r="E1334" t="str">
        <f>""</f>
        <v/>
      </c>
      <c r="F1334" t="str">
        <f>""</f>
        <v/>
      </c>
      <c r="H1334" t="str">
        <f t="shared" si="8"/>
        <v>CUST#16155373/PURCHASING DEPT</v>
      </c>
    </row>
    <row r="1335" spans="1:8" x14ac:dyDescent="0.25">
      <c r="E1335" t="str">
        <f>""</f>
        <v/>
      </c>
      <c r="F1335" t="str">
        <f>""</f>
        <v/>
      </c>
      <c r="H1335" t="str">
        <f t="shared" si="8"/>
        <v>CUST#16155373/PURCHASING DEPT</v>
      </c>
    </row>
    <row r="1336" spans="1:8" x14ac:dyDescent="0.25">
      <c r="E1336" t="str">
        <f>""</f>
        <v/>
      </c>
      <c r="F1336" t="str">
        <f>""</f>
        <v/>
      </c>
      <c r="H1336" t="str">
        <f t="shared" si="8"/>
        <v>CUST#16155373/PURCHASING DEPT</v>
      </c>
    </row>
    <row r="1337" spans="1:8" x14ac:dyDescent="0.25">
      <c r="E1337" t="str">
        <f>""</f>
        <v/>
      </c>
      <c r="F1337" t="str">
        <f>""</f>
        <v/>
      </c>
      <c r="H1337" t="str">
        <f t="shared" si="8"/>
        <v>CUST#16155373/PURCHASING DEPT</v>
      </c>
    </row>
    <row r="1338" spans="1:8" x14ac:dyDescent="0.25">
      <c r="E1338" t="str">
        <f>""</f>
        <v/>
      </c>
      <c r="F1338" t="str">
        <f>""</f>
        <v/>
      </c>
      <c r="H1338" t="str">
        <f t="shared" si="8"/>
        <v>CUST#16155373/PURCHASING DEPT</v>
      </c>
    </row>
    <row r="1339" spans="1:8" x14ac:dyDescent="0.25">
      <c r="E1339" t="str">
        <f>"8127211986"</f>
        <v>8127211986</v>
      </c>
      <c r="F1339" t="str">
        <f>"CUST#16156071/TAX OFFICE"</f>
        <v>CUST#16156071/TAX OFFICE</v>
      </c>
      <c r="G1339" s="2">
        <v>68.48</v>
      </c>
      <c r="H1339" t="str">
        <f>"CUST#16156071/TAX OFFICE"</f>
        <v>CUST#16156071/TAX OFFICE</v>
      </c>
    </row>
    <row r="1340" spans="1:8" x14ac:dyDescent="0.25">
      <c r="E1340" t="str">
        <f>"8127212078"</f>
        <v>8127212078</v>
      </c>
      <c r="F1340" t="str">
        <f>"CUST#16158670/JP#4"</f>
        <v>CUST#16158670/JP#4</v>
      </c>
      <c r="G1340" s="2">
        <v>55.11</v>
      </c>
      <c r="H1340" t="str">
        <f>"CUST#16158670/JP#4"</f>
        <v>CUST#16158670/JP#4</v>
      </c>
    </row>
    <row r="1341" spans="1:8" x14ac:dyDescent="0.25">
      <c r="A1341" t="s">
        <v>355</v>
      </c>
      <c r="B1341">
        <v>82398</v>
      </c>
      <c r="C1341" s="2">
        <v>392.26</v>
      </c>
      <c r="D1341" s="1">
        <v>43613</v>
      </c>
      <c r="E1341" t="str">
        <f>"201905219380"</f>
        <v>201905219380</v>
      </c>
      <c r="F1341" t="str">
        <f>"INDIGENT HEALTH"</f>
        <v>INDIGENT HEALTH</v>
      </c>
      <c r="G1341" s="2">
        <v>392.26</v>
      </c>
      <c r="H1341" t="str">
        <f>"INDIGENT HEALTH"</f>
        <v>INDIGENT HEALTH</v>
      </c>
    </row>
    <row r="1342" spans="1:8" x14ac:dyDescent="0.25">
      <c r="A1342" t="s">
        <v>356</v>
      </c>
      <c r="B1342">
        <v>82399</v>
      </c>
      <c r="C1342" s="2">
        <v>1584</v>
      </c>
      <c r="D1342" s="1">
        <v>43613</v>
      </c>
      <c r="E1342" t="str">
        <f>"117759"</f>
        <v>117759</v>
      </c>
      <c r="F1342" t="str">
        <f>"INV 117759"</f>
        <v>INV 117759</v>
      </c>
      <c r="G1342" s="2">
        <v>1584</v>
      </c>
      <c r="H1342" t="str">
        <f>"INV 117759"</f>
        <v>INV 117759</v>
      </c>
    </row>
    <row r="1343" spans="1:8" x14ac:dyDescent="0.25">
      <c r="E1343" t="str">
        <f>""</f>
        <v/>
      </c>
      <c r="F1343" t="str">
        <f>""</f>
        <v/>
      </c>
      <c r="H1343" t="str">
        <f>"INV 117759 / FREIGHT"</f>
        <v>INV 117759 / FREIGHT</v>
      </c>
    </row>
    <row r="1344" spans="1:8" x14ac:dyDescent="0.25">
      <c r="A1344" t="s">
        <v>357</v>
      </c>
      <c r="B1344">
        <v>82220</v>
      </c>
      <c r="C1344" s="2">
        <v>183.71</v>
      </c>
      <c r="D1344" s="1">
        <v>43598</v>
      </c>
      <c r="E1344" t="str">
        <f>"201905069032"</f>
        <v>201905069032</v>
      </c>
      <c r="F1344" t="str">
        <f>"STATEMENT#30323/PCT#2"</f>
        <v>STATEMENT#30323/PCT#2</v>
      </c>
      <c r="G1344" s="2">
        <v>183.71</v>
      </c>
      <c r="H1344" t="str">
        <f>"STATEMENT#30323/PCT#2"</f>
        <v>STATEMENT#30323/PCT#2</v>
      </c>
    </row>
    <row r="1345" spans="1:8" x14ac:dyDescent="0.25">
      <c r="A1345" t="s">
        <v>358</v>
      </c>
      <c r="B1345">
        <v>82221</v>
      </c>
      <c r="C1345" s="2">
        <v>365.48</v>
      </c>
      <c r="D1345" s="1">
        <v>43598</v>
      </c>
      <c r="E1345" t="str">
        <f>"201905069033"</f>
        <v>201905069033</v>
      </c>
      <c r="F1345" t="str">
        <f>"ACCT#260/PCT#2"</f>
        <v>ACCT#260/PCT#2</v>
      </c>
      <c r="G1345" s="2">
        <v>365.48</v>
      </c>
      <c r="H1345" t="str">
        <f>"ACCT#260/PCT#2"</f>
        <v>ACCT#260/PCT#2</v>
      </c>
    </row>
    <row r="1346" spans="1:8" x14ac:dyDescent="0.25">
      <c r="A1346" t="s">
        <v>359</v>
      </c>
      <c r="B1346">
        <v>82222</v>
      </c>
      <c r="C1346" s="2">
        <v>30</v>
      </c>
      <c r="D1346" s="1">
        <v>43598</v>
      </c>
      <c r="E1346" t="str">
        <f>"6748"</f>
        <v>6748</v>
      </c>
      <c r="F1346" t="str">
        <f>"QRTLY LUNCHEON-ADENA LEWIS"</f>
        <v>QRTLY LUNCHEON-ADENA LEWIS</v>
      </c>
      <c r="G1346" s="2">
        <v>30</v>
      </c>
      <c r="H1346" t="str">
        <f>"QRTLY LUNCHEON-ADENA LEWIS"</f>
        <v>QRTLY LUNCHEON-ADENA LEWIS</v>
      </c>
    </row>
    <row r="1347" spans="1:8" x14ac:dyDescent="0.25">
      <c r="A1347" t="s">
        <v>360</v>
      </c>
      <c r="B1347">
        <v>82223</v>
      </c>
      <c r="C1347" s="2">
        <v>1500</v>
      </c>
      <c r="D1347" s="1">
        <v>43598</v>
      </c>
      <c r="E1347" t="str">
        <f>"201905079054"</f>
        <v>201905079054</v>
      </c>
      <c r="F1347" t="str">
        <f>"FINAL PAYMENT FOR STORAGE BLDG"</f>
        <v>FINAL PAYMENT FOR STORAGE BLDG</v>
      </c>
      <c r="G1347" s="2">
        <v>1500</v>
      </c>
      <c r="H1347" t="str">
        <f>"FINAL PAYMENT FOR STORAGE BLDG"</f>
        <v>FINAL PAYMENT FOR STORAGE BLDG</v>
      </c>
    </row>
    <row r="1348" spans="1:8" x14ac:dyDescent="0.25">
      <c r="A1348" t="s">
        <v>361</v>
      </c>
      <c r="B1348">
        <v>82224</v>
      </c>
      <c r="C1348" s="2">
        <v>250</v>
      </c>
      <c r="D1348" s="1">
        <v>43598</v>
      </c>
      <c r="E1348" t="str">
        <f>"TCP-20-550"</f>
        <v>TCP-20-550</v>
      </c>
      <c r="F1348" t="str">
        <f>"PURCHASE ORDER#224-D.SNOWDEN"</f>
        <v>PURCHASE ORDER#224-D.SNOWDEN</v>
      </c>
      <c r="G1348" s="2">
        <v>250</v>
      </c>
      <c r="H1348" t="str">
        <f>"PURCHASE ORDER#224-D.SNOWDEN"</f>
        <v>PURCHASE ORDER#224-D.SNOWDEN</v>
      </c>
    </row>
    <row r="1349" spans="1:8" x14ac:dyDescent="0.25">
      <c r="A1349" t="s">
        <v>362</v>
      </c>
      <c r="B1349">
        <v>82225</v>
      </c>
      <c r="C1349" s="2">
        <v>1903.5</v>
      </c>
      <c r="D1349" s="1">
        <v>43598</v>
      </c>
      <c r="E1349" t="str">
        <f>"4650008977"</f>
        <v>4650008977</v>
      </c>
      <c r="F1349" t="str">
        <f>"CUST#52157/PCT#4"</f>
        <v>CUST#52157/PCT#4</v>
      </c>
      <c r="G1349" s="2">
        <v>1334</v>
      </c>
      <c r="H1349" t="str">
        <f>"CUST#52157/PCT#4"</f>
        <v>CUST#52157/PCT#4</v>
      </c>
    </row>
    <row r="1350" spans="1:8" x14ac:dyDescent="0.25">
      <c r="E1350" t="str">
        <f>"4650010638"</f>
        <v>4650010638</v>
      </c>
      <c r="F1350" t="str">
        <f>"CUST#52157/PCT#3"</f>
        <v>CUST#52157/PCT#3</v>
      </c>
      <c r="G1350" s="2">
        <v>569.5</v>
      </c>
      <c r="H1350" t="str">
        <f>"CUST#52157/PCT#3"</f>
        <v>CUST#52157/PCT#3</v>
      </c>
    </row>
    <row r="1351" spans="1:8" x14ac:dyDescent="0.25">
      <c r="A1351" t="s">
        <v>362</v>
      </c>
      <c r="B1351">
        <v>82400</v>
      </c>
      <c r="C1351" s="2">
        <v>3960.4</v>
      </c>
      <c r="D1351" s="1">
        <v>43613</v>
      </c>
      <c r="E1351" t="str">
        <f>"4650011567"</f>
        <v>4650011567</v>
      </c>
      <c r="F1351" t="str">
        <f>"CUST#52157/PCT#3"</f>
        <v>CUST#52157/PCT#3</v>
      </c>
      <c r="G1351" s="2">
        <v>3960.4</v>
      </c>
      <c r="H1351" t="str">
        <f>"CUST#52157/PCT#3"</f>
        <v>CUST#52157/PCT#3</v>
      </c>
    </row>
    <row r="1352" spans="1:8" x14ac:dyDescent="0.25">
      <c r="A1352" t="s">
        <v>363</v>
      </c>
      <c r="B1352">
        <v>82226</v>
      </c>
      <c r="C1352" s="2">
        <v>17.52</v>
      </c>
      <c r="D1352" s="1">
        <v>43598</v>
      </c>
      <c r="E1352" t="str">
        <f>"9604456 042519"</f>
        <v>9604456 042519</v>
      </c>
      <c r="F1352" t="str">
        <f>"ACCT#46668439604456/JP#2"</f>
        <v>ACCT#46668439604456/JP#2</v>
      </c>
      <c r="G1352" s="2">
        <v>17.52</v>
      </c>
      <c r="H1352" t="str">
        <f>"ACCT#46668439604456/JP#2"</f>
        <v>ACCT#46668439604456/JP#2</v>
      </c>
    </row>
    <row r="1353" spans="1:8" x14ac:dyDescent="0.25">
      <c r="A1353" t="s">
        <v>364</v>
      </c>
      <c r="B1353">
        <v>82401</v>
      </c>
      <c r="C1353" s="2">
        <v>162.47999999999999</v>
      </c>
      <c r="D1353" s="1">
        <v>43613</v>
      </c>
      <c r="E1353" t="str">
        <f>"954546"</f>
        <v>954546</v>
      </c>
      <c r="F1353" t="str">
        <f>"ACCT#114382/ANIMAL SHELTER"</f>
        <v>ACCT#114382/ANIMAL SHELTER</v>
      </c>
      <c r="G1353" s="2">
        <v>162.47999999999999</v>
      </c>
      <c r="H1353" t="str">
        <f>"ACCT#114382/ANIMAL SHELTER"</f>
        <v>ACCT#114382/ANIMAL SHELTER</v>
      </c>
    </row>
    <row r="1354" spans="1:8" x14ac:dyDescent="0.25">
      <c r="A1354" t="s">
        <v>365</v>
      </c>
      <c r="B1354">
        <v>82402</v>
      </c>
      <c r="C1354" s="2">
        <v>258.98</v>
      </c>
      <c r="D1354" s="1">
        <v>43613</v>
      </c>
      <c r="E1354" t="str">
        <f>"201905219378"</f>
        <v>201905219378</v>
      </c>
      <c r="F1354" t="str">
        <f>"INDIGENT HEALTH"</f>
        <v>INDIGENT HEALTH</v>
      </c>
      <c r="G1354" s="2">
        <v>258.98</v>
      </c>
      <c r="H1354" t="str">
        <f>"INDIGENT HEALTH"</f>
        <v>INDIGENT HEALTH</v>
      </c>
    </row>
    <row r="1355" spans="1:8" x14ac:dyDescent="0.25">
      <c r="A1355" t="s">
        <v>366</v>
      </c>
      <c r="B1355">
        <v>82403</v>
      </c>
      <c r="C1355" s="2">
        <v>1174.05</v>
      </c>
      <c r="D1355" s="1">
        <v>43613</v>
      </c>
      <c r="E1355" t="str">
        <f>"201905219382"</f>
        <v>201905219382</v>
      </c>
      <c r="F1355" t="str">
        <f>"INDIGENT HEALTH"</f>
        <v>INDIGENT HEALTH</v>
      </c>
      <c r="G1355" s="2">
        <v>1174.05</v>
      </c>
      <c r="H1355" t="str">
        <f>"INDIGENT HEALTH"</f>
        <v>INDIGENT HEALTH</v>
      </c>
    </row>
    <row r="1356" spans="1:8" x14ac:dyDescent="0.25">
      <c r="A1356" t="s">
        <v>367</v>
      </c>
      <c r="B1356">
        <v>82404</v>
      </c>
      <c r="C1356" s="2">
        <v>305.77999999999997</v>
      </c>
      <c r="D1356" s="1">
        <v>43613</v>
      </c>
      <c r="E1356" t="str">
        <f>"201905219381"</f>
        <v>201905219381</v>
      </c>
      <c r="F1356" t="str">
        <f>"INDIGENT HEALTH"</f>
        <v>INDIGENT HEALTH</v>
      </c>
      <c r="G1356" s="2">
        <v>305.77999999999997</v>
      </c>
      <c r="H1356" t="str">
        <f>"INDIGENT HEALTH"</f>
        <v>INDIGENT HEALTH</v>
      </c>
    </row>
    <row r="1357" spans="1:8" x14ac:dyDescent="0.25">
      <c r="E1357" t="str">
        <f>""</f>
        <v/>
      </c>
      <c r="F1357" t="str">
        <f>""</f>
        <v/>
      </c>
      <c r="H1357" t="str">
        <f>"INDIGENT HEALTH"</f>
        <v>INDIGENT HEALTH</v>
      </c>
    </row>
    <row r="1358" spans="1:8" x14ac:dyDescent="0.25">
      <c r="A1358" t="s">
        <v>368</v>
      </c>
      <c r="B1358">
        <v>82405</v>
      </c>
      <c r="C1358" s="2">
        <v>19076.93</v>
      </c>
      <c r="D1358" s="1">
        <v>43613</v>
      </c>
      <c r="E1358" t="str">
        <f>"201905219383"</f>
        <v>201905219383</v>
      </c>
      <c r="F1358" t="str">
        <f>"INDIGENT HEALTH"</f>
        <v>INDIGENT HEALTH</v>
      </c>
      <c r="G1358" s="2">
        <v>19076.93</v>
      </c>
      <c r="H1358" t="str">
        <f>"INDIGENT HEALTH"</f>
        <v>INDIGENT HEALTH</v>
      </c>
    </row>
    <row r="1359" spans="1:8" x14ac:dyDescent="0.25">
      <c r="A1359" t="s">
        <v>369</v>
      </c>
      <c r="B1359">
        <v>82227</v>
      </c>
      <c r="C1359" s="2">
        <v>4231.3599999999997</v>
      </c>
      <c r="D1359" s="1">
        <v>43598</v>
      </c>
      <c r="E1359" t="str">
        <f>"8053835319"</f>
        <v>8053835319</v>
      </c>
      <c r="F1359" t="str">
        <f>"sum inv# 8053835319"</f>
        <v>sum inv# 8053835319</v>
      </c>
      <c r="G1359" s="2">
        <v>2598.62</v>
      </c>
      <c r="H1359" t="str">
        <f>"Inv# 3409742452"</f>
        <v>Inv# 3409742452</v>
      </c>
    </row>
    <row r="1360" spans="1:8" x14ac:dyDescent="0.25">
      <c r="E1360" t="str">
        <f>""</f>
        <v/>
      </c>
      <c r="F1360" t="str">
        <f>""</f>
        <v/>
      </c>
      <c r="H1360" t="str">
        <f>"Inv# 3409742455"</f>
        <v>Inv# 3409742455</v>
      </c>
    </row>
    <row r="1361" spans="5:8" x14ac:dyDescent="0.25">
      <c r="E1361" t="str">
        <f>""</f>
        <v/>
      </c>
      <c r="F1361" t="str">
        <f>""</f>
        <v/>
      </c>
      <c r="H1361" t="str">
        <f>"Inv# 3409742451"</f>
        <v>Inv# 3409742451</v>
      </c>
    </row>
    <row r="1362" spans="5:8" x14ac:dyDescent="0.25">
      <c r="E1362" t="str">
        <f>""</f>
        <v/>
      </c>
      <c r="F1362" t="str">
        <f>""</f>
        <v/>
      </c>
      <c r="H1362" t="str">
        <f>"Inv# 3409742445"</f>
        <v>Inv# 3409742445</v>
      </c>
    </row>
    <row r="1363" spans="5:8" x14ac:dyDescent="0.25">
      <c r="E1363" t="str">
        <f>""</f>
        <v/>
      </c>
      <c r="F1363" t="str">
        <f>""</f>
        <v/>
      </c>
      <c r="H1363" t="str">
        <f>"Inv# 3409742446"</f>
        <v>Inv# 3409742446</v>
      </c>
    </row>
    <row r="1364" spans="5:8" x14ac:dyDescent="0.25">
      <c r="E1364" t="str">
        <f>""</f>
        <v/>
      </c>
      <c r="F1364" t="str">
        <f>""</f>
        <v/>
      </c>
      <c r="H1364" t="str">
        <f>"Inv# 3409742447"</f>
        <v>Inv# 3409742447</v>
      </c>
    </row>
    <row r="1365" spans="5:8" x14ac:dyDescent="0.25">
      <c r="E1365" t="str">
        <f>""</f>
        <v/>
      </c>
      <c r="F1365" t="str">
        <f>""</f>
        <v/>
      </c>
      <c r="H1365" t="str">
        <f>"Inv# 3409742461"</f>
        <v>Inv# 3409742461</v>
      </c>
    </row>
    <row r="1366" spans="5:8" x14ac:dyDescent="0.25">
      <c r="E1366" t="str">
        <f>""</f>
        <v/>
      </c>
      <c r="F1366" t="str">
        <f>""</f>
        <v/>
      </c>
      <c r="H1366" t="str">
        <f>"Inv# 3409742457"</f>
        <v>Inv# 3409742457</v>
      </c>
    </row>
    <row r="1367" spans="5:8" x14ac:dyDescent="0.25">
      <c r="E1367" t="str">
        <f>""</f>
        <v/>
      </c>
      <c r="F1367" t="str">
        <f>""</f>
        <v/>
      </c>
      <c r="H1367" t="str">
        <f>"Inv# 3409742458"</f>
        <v>Inv# 3409742458</v>
      </c>
    </row>
    <row r="1368" spans="5:8" x14ac:dyDescent="0.25">
      <c r="E1368" t="str">
        <f>""</f>
        <v/>
      </c>
      <c r="F1368" t="str">
        <f>""</f>
        <v/>
      </c>
      <c r="H1368" t="str">
        <f>"Inv# 3409742459"</f>
        <v>Inv# 3409742459</v>
      </c>
    </row>
    <row r="1369" spans="5:8" x14ac:dyDescent="0.25">
      <c r="E1369" t="str">
        <f>""</f>
        <v/>
      </c>
      <c r="F1369" t="str">
        <f>""</f>
        <v/>
      </c>
      <c r="H1369" t="str">
        <f>"Inv# 3409742460"</f>
        <v>Inv# 3409742460</v>
      </c>
    </row>
    <row r="1370" spans="5:8" x14ac:dyDescent="0.25">
      <c r="E1370" t="str">
        <f>""</f>
        <v/>
      </c>
      <c r="F1370" t="str">
        <f>""</f>
        <v/>
      </c>
      <c r="H1370" t="str">
        <f>"Inv# 3409742449"</f>
        <v>Inv# 3409742449</v>
      </c>
    </row>
    <row r="1371" spans="5:8" x14ac:dyDescent="0.25">
      <c r="E1371" t="str">
        <f>""</f>
        <v/>
      </c>
      <c r="F1371" t="str">
        <f>""</f>
        <v/>
      </c>
      <c r="H1371" t="str">
        <f>"Inv# 3409742450"</f>
        <v>Inv# 3409742450</v>
      </c>
    </row>
    <row r="1372" spans="5:8" x14ac:dyDescent="0.25">
      <c r="E1372" t="str">
        <f>""</f>
        <v/>
      </c>
      <c r="F1372" t="str">
        <f>""</f>
        <v/>
      </c>
      <c r="H1372" t="str">
        <f>"Inv# 3409742453"</f>
        <v>Inv# 3409742453</v>
      </c>
    </row>
    <row r="1373" spans="5:8" x14ac:dyDescent="0.25">
      <c r="E1373" t="str">
        <f>"8054009015"</f>
        <v>8054009015</v>
      </c>
      <c r="F1373" t="str">
        <f>"sum inv# 8054009015"</f>
        <v>sum inv# 8054009015</v>
      </c>
      <c r="G1373" s="2">
        <v>1632.74</v>
      </c>
      <c r="H1373" t="str">
        <f>"INv# 3411121566"</f>
        <v>INv# 3411121566</v>
      </c>
    </row>
    <row r="1374" spans="5:8" x14ac:dyDescent="0.25">
      <c r="E1374" t="str">
        <f>""</f>
        <v/>
      </c>
      <c r="F1374" t="str">
        <f>""</f>
        <v/>
      </c>
      <c r="H1374" t="str">
        <f>"inv# 3411121569"</f>
        <v>inv# 3411121569</v>
      </c>
    </row>
    <row r="1375" spans="5:8" x14ac:dyDescent="0.25">
      <c r="E1375" t="str">
        <f>""</f>
        <v/>
      </c>
      <c r="F1375" t="str">
        <f>""</f>
        <v/>
      </c>
      <c r="H1375" t="str">
        <f>"inv# 3411121570"</f>
        <v>inv# 3411121570</v>
      </c>
    </row>
    <row r="1376" spans="5:8" x14ac:dyDescent="0.25">
      <c r="E1376" t="str">
        <f>""</f>
        <v/>
      </c>
      <c r="F1376" t="str">
        <f>""</f>
        <v/>
      </c>
      <c r="H1376" t="str">
        <f>"inv# 3411121574"</f>
        <v>inv# 3411121574</v>
      </c>
    </row>
    <row r="1377" spans="1:8" x14ac:dyDescent="0.25">
      <c r="E1377" t="str">
        <f>""</f>
        <v/>
      </c>
      <c r="F1377" t="str">
        <f>""</f>
        <v/>
      </c>
      <c r="H1377" t="str">
        <f>"Inv# 3411121575"</f>
        <v>Inv# 3411121575</v>
      </c>
    </row>
    <row r="1378" spans="1:8" x14ac:dyDescent="0.25">
      <c r="E1378" t="str">
        <f>""</f>
        <v/>
      </c>
      <c r="F1378" t="str">
        <f>""</f>
        <v/>
      </c>
      <c r="H1378" t="str">
        <f>"inv# 3411121567"</f>
        <v>inv# 3411121567</v>
      </c>
    </row>
    <row r="1379" spans="1:8" x14ac:dyDescent="0.25">
      <c r="E1379" t="str">
        <f>""</f>
        <v/>
      </c>
      <c r="F1379" t="str">
        <f>""</f>
        <v/>
      </c>
      <c r="H1379" t="str">
        <f>"INv# 3411121571"</f>
        <v>INv# 3411121571</v>
      </c>
    </row>
    <row r="1380" spans="1:8" x14ac:dyDescent="0.25">
      <c r="E1380" t="str">
        <f>""</f>
        <v/>
      </c>
      <c r="F1380" t="str">
        <f>""</f>
        <v/>
      </c>
      <c r="H1380" t="str">
        <f>"inv# 3411121565"</f>
        <v>inv# 3411121565</v>
      </c>
    </row>
    <row r="1381" spans="1:8" x14ac:dyDescent="0.25">
      <c r="E1381" t="str">
        <f>""</f>
        <v/>
      </c>
      <c r="F1381" t="str">
        <f>""</f>
        <v/>
      </c>
      <c r="H1381" t="str">
        <f>"inv# 3411121567"</f>
        <v>inv# 3411121567</v>
      </c>
    </row>
    <row r="1382" spans="1:8" x14ac:dyDescent="0.25">
      <c r="E1382" t="str">
        <f>""</f>
        <v/>
      </c>
      <c r="F1382" t="str">
        <f>""</f>
        <v/>
      </c>
      <c r="H1382" t="str">
        <f>"inv# 3411121564"</f>
        <v>inv# 3411121564</v>
      </c>
    </row>
    <row r="1383" spans="1:8" x14ac:dyDescent="0.25">
      <c r="E1383" t="str">
        <f>""</f>
        <v/>
      </c>
      <c r="F1383" t="str">
        <f>""</f>
        <v/>
      </c>
      <c r="H1383" t="str">
        <f>"inv# 3411121572"</f>
        <v>inv# 3411121572</v>
      </c>
    </row>
    <row r="1384" spans="1:8" x14ac:dyDescent="0.25">
      <c r="A1384" t="s">
        <v>369</v>
      </c>
      <c r="B1384">
        <v>82406</v>
      </c>
      <c r="C1384" s="2">
        <v>4707.92</v>
      </c>
      <c r="D1384" s="1">
        <v>43613</v>
      </c>
      <c r="E1384" t="str">
        <f>"8054174463"</f>
        <v>8054174463</v>
      </c>
      <c r="F1384" t="str">
        <f>"Sum Inv# 8054174463"</f>
        <v>Sum Inv# 8054174463</v>
      </c>
      <c r="G1384" s="2">
        <v>4707.92</v>
      </c>
      <c r="H1384" t="str">
        <f>"Inv# 3412617330"</f>
        <v>Inv# 3412617330</v>
      </c>
    </row>
    <row r="1385" spans="1:8" x14ac:dyDescent="0.25">
      <c r="E1385" t="str">
        <f>""</f>
        <v/>
      </c>
      <c r="F1385" t="str">
        <f>""</f>
        <v/>
      </c>
      <c r="H1385" t="str">
        <f>"Inv# 3412617329"</f>
        <v>Inv# 3412617329</v>
      </c>
    </row>
    <row r="1386" spans="1:8" x14ac:dyDescent="0.25">
      <c r="E1386" t="str">
        <f>""</f>
        <v/>
      </c>
      <c r="F1386" t="str">
        <f>""</f>
        <v/>
      </c>
      <c r="H1386" t="str">
        <f>"Inv# 3412617331"</f>
        <v>Inv# 3412617331</v>
      </c>
    </row>
    <row r="1387" spans="1:8" x14ac:dyDescent="0.25">
      <c r="E1387" t="str">
        <f>""</f>
        <v/>
      </c>
      <c r="F1387" t="str">
        <f>""</f>
        <v/>
      </c>
      <c r="H1387" t="str">
        <f>"Inv# 3412617326"</f>
        <v>Inv# 3412617326</v>
      </c>
    </row>
    <row r="1388" spans="1:8" x14ac:dyDescent="0.25">
      <c r="E1388" t="str">
        <f>""</f>
        <v/>
      </c>
      <c r="F1388" t="str">
        <f>""</f>
        <v/>
      </c>
      <c r="H1388" t="str">
        <f>"Inv# 3412617328"</f>
        <v>Inv# 3412617328</v>
      </c>
    </row>
    <row r="1389" spans="1:8" x14ac:dyDescent="0.25">
      <c r="E1389" t="str">
        <f>""</f>
        <v/>
      </c>
      <c r="F1389" t="str">
        <f>""</f>
        <v/>
      </c>
      <c r="H1389" t="str">
        <f>"Inv# 3412617328"</f>
        <v>Inv# 3412617328</v>
      </c>
    </row>
    <row r="1390" spans="1:8" x14ac:dyDescent="0.25">
      <c r="E1390" t="str">
        <f>""</f>
        <v/>
      </c>
      <c r="F1390" t="str">
        <f>""</f>
        <v/>
      </c>
      <c r="H1390" t="str">
        <f>"Inv# 3412617336"</f>
        <v>Inv# 3412617336</v>
      </c>
    </row>
    <row r="1391" spans="1:8" x14ac:dyDescent="0.25">
      <c r="E1391" t="str">
        <f>""</f>
        <v/>
      </c>
      <c r="F1391" t="str">
        <f>""</f>
        <v/>
      </c>
      <c r="H1391" t="str">
        <f>"Inv# 3412617337"</f>
        <v>Inv# 3412617337</v>
      </c>
    </row>
    <row r="1392" spans="1:8" x14ac:dyDescent="0.25">
      <c r="E1392" t="str">
        <f>""</f>
        <v/>
      </c>
      <c r="F1392" t="str">
        <f>""</f>
        <v/>
      </c>
      <c r="H1392" t="str">
        <f>"Inv# 3412617335"</f>
        <v>Inv# 3412617335</v>
      </c>
    </row>
    <row r="1393" spans="1:8" x14ac:dyDescent="0.25">
      <c r="E1393" t="str">
        <f>""</f>
        <v/>
      </c>
      <c r="F1393" t="str">
        <f>""</f>
        <v/>
      </c>
      <c r="H1393" t="str">
        <f>"Inv# 3412617332"</f>
        <v>Inv# 3412617332</v>
      </c>
    </row>
    <row r="1394" spans="1:8" x14ac:dyDescent="0.25">
      <c r="E1394" t="str">
        <f>""</f>
        <v/>
      </c>
      <c r="F1394" t="str">
        <f>""</f>
        <v/>
      </c>
      <c r="H1394" t="str">
        <f>"Inv# 3412617333"</f>
        <v>Inv# 3412617333</v>
      </c>
    </row>
    <row r="1395" spans="1:8" x14ac:dyDescent="0.25">
      <c r="E1395" t="str">
        <f>""</f>
        <v/>
      </c>
      <c r="F1395" t="str">
        <f>""</f>
        <v/>
      </c>
      <c r="H1395" t="str">
        <f>"Inv# 3412617334"</f>
        <v>Inv# 3412617334</v>
      </c>
    </row>
    <row r="1396" spans="1:8" x14ac:dyDescent="0.25">
      <c r="E1396" t="str">
        <f>""</f>
        <v/>
      </c>
      <c r="F1396" t="str">
        <f>""</f>
        <v/>
      </c>
      <c r="H1396" t="str">
        <f>"Inv# 3412617323"</f>
        <v>Inv# 3412617323</v>
      </c>
    </row>
    <row r="1397" spans="1:8" x14ac:dyDescent="0.25">
      <c r="E1397" t="str">
        <f>""</f>
        <v/>
      </c>
      <c r="F1397" t="str">
        <f>""</f>
        <v/>
      </c>
      <c r="H1397" t="str">
        <f>"Inv# 3412617324"</f>
        <v>Inv# 3412617324</v>
      </c>
    </row>
    <row r="1398" spans="1:8" x14ac:dyDescent="0.25">
      <c r="E1398" t="str">
        <f>""</f>
        <v/>
      </c>
      <c r="F1398" t="str">
        <f>""</f>
        <v/>
      </c>
      <c r="H1398" t="str">
        <f>"Inv# 3412617325"</f>
        <v>Inv# 3412617325</v>
      </c>
    </row>
    <row r="1399" spans="1:8" x14ac:dyDescent="0.25">
      <c r="A1399" t="s">
        <v>370</v>
      </c>
      <c r="B1399">
        <v>82228</v>
      </c>
      <c r="C1399" s="2">
        <v>585.05999999999995</v>
      </c>
      <c r="D1399" s="1">
        <v>43598</v>
      </c>
      <c r="E1399" t="str">
        <f>"201904248768"</f>
        <v>201904248768</v>
      </c>
      <c r="F1399" t="str">
        <f>"MARCH 2019"</f>
        <v>MARCH 2019</v>
      </c>
      <c r="G1399" s="2">
        <v>585.05999999999995</v>
      </c>
      <c r="H1399" t="str">
        <f>"MARCH 2019"</f>
        <v>MARCH 2019</v>
      </c>
    </row>
    <row r="1400" spans="1:8" x14ac:dyDescent="0.25">
      <c r="A1400" t="s">
        <v>370</v>
      </c>
      <c r="B1400">
        <v>82407</v>
      </c>
      <c r="C1400" s="2">
        <v>390.43</v>
      </c>
      <c r="D1400" s="1">
        <v>43613</v>
      </c>
      <c r="E1400" t="str">
        <f>"201905169304"</f>
        <v>201905169304</v>
      </c>
      <c r="F1400" t="str">
        <f>"APRIL 2019"</f>
        <v>APRIL 2019</v>
      </c>
      <c r="G1400" s="2">
        <v>390.43</v>
      </c>
      <c r="H1400" t="str">
        <f>"APRIL 2019"</f>
        <v>APRIL 2019</v>
      </c>
    </row>
    <row r="1401" spans="1:8" x14ac:dyDescent="0.25">
      <c r="A1401" t="s">
        <v>371</v>
      </c>
      <c r="B1401">
        <v>82229</v>
      </c>
      <c r="C1401" s="2">
        <v>758.72</v>
      </c>
      <c r="D1401" s="1">
        <v>43598</v>
      </c>
      <c r="E1401" t="str">
        <f>"4008551196"</f>
        <v>4008551196</v>
      </c>
      <c r="F1401" t="str">
        <f>"INV 4008551196"</f>
        <v>INV 4008551196</v>
      </c>
      <c r="G1401" s="2">
        <v>758.72</v>
      </c>
      <c r="H1401" t="str">
        <f>"INV 4008551196"</f>
        <v>INV 4008551196</v>
      </c>
    </row>
    <row r="1402" spans="1:8" x14ac:dyDescent="0.25">
      <c r="A1402" t="s">
        <v>372</v>
      </c>
      <c r="B1402">
        <v>82230</v>
      </c>
      <c r="C1402" s="2">
        <v>370.5</v>
      </c>
      <c r="D1402" s="1">
        <v>43598</v>
      </c>
      <c r="E1402" t="str">
        <f>"201904308885"</f>
        <v>201904308885</v>
      </c>
      <c r="F1402" t="str">
        <f>"TRASH REMOVAL 04/22-04/30/P4"</f>
        <v>TRASH REMOVAL 04/22-04/30/P4</v>
      </c>
      <c r="G1402" s="2">
        <v>370.5</v>
      </c>
      <c r="H1402" t="str">
        <f>"TRASH REMOVAL 04/22-04/30"</f>
        <v>TRASH REMOVAL 04/22-04/30</v>
      </c>
    </row>
    <row r="1403" spans="1:8" x14ac:dyDescent="0.25">
      <c r="A1403" t="s">
        <v>372</v>
      </c>
      <c r="B1403">
        <v>82408</v>
      </c>
      <c r="C1403" s="2">
        <v>656.5</v>
      </c>
      <c r="D1403" s="1">
        <v>43613</v>
      </c>
      <c r="E1403" t="str">
        <f>"201905219353"</f>
        <v>201905219353</v>
      </c>
      <c r="F1403" t="str">
        <f>"TRASH REMOVAL 05/06-05/10/P4"</f>
        <v>TRASH REMOVAL 05/06-05/10/P4</v>
      </c>
      <c r="G1403" s="2">
        <v>221</v>
      </c>
      <c r="H1403" t="str">
        <f>"TRASH REMOVAL 05/06-05/10/P4"</f>
        <v>TRASH REMOVAL 05/06-05/10/P4</v>
      </c>
    </row>
    <row r="1404" spans="1:8" x14ac:dyDescent="0.25">
      <c r="E1404" t="str">
        <f>"201905219354"</f>
        <v>201905219354</v>
      </c>
      <c r="F1404" t="str">
        <f>"TRASH REMOVAL 05/13-05/24/P4"</f>
        <v>TRASH REMOVAL 05/13-05/24/P4</v>
      </c>
      <c r="G1404" s="2">
        <v>435.5</v>
      </c>
      <c r="H1404" t="str">
        <f>"TRASH REMOVAL 05/13-05/24/P4"</f>
        <v>TRASH REMOVAL 05/13-05/24/P4</v>
      </c>
    </row>
    <row r="1405" spans="1:8" x14ac:dyDescent="0.25">
      <c r="A1405" t="s">
        <v>373</v>
      </c>
      <c r="B1405">
        <v>82231</v>
      </c>
      <c r="C1405" s="2">
        <v>175</v>
      </c>
      <c r="D1405" s="1">
        <v>43598</v>
      </c>
      <c r="E1405" t="str">
        <f>"201905089196"</f>
        <v>201905089196</v>
      </c>
      <c r="F1405" t="str">
        <f>"APRIL INVOCE"</f>
        <v>APRIL INVOCE</v>
      </c>
      <c r="G1405" s="2">
        <v>175</v>
      </c>
      <c r="H1405" t="str">
        <f>"APRIL INVOCE"</f>
        <v>APRIL INVOCE</v>
      </c>
    </row>
    <row r="1406" spans="1:8" x14ac:dyDescent="0.25">
      <c r="A1406" t="s">
        <v>373</v>
      </c>
      <c r="B1406">
        <v>82409</v>
      </c>
      <c r="C1406" s="2">
        <v>175</v>
      </c>
      <c r="D1406" s="1">
        <v>43613</v>
      </c>
      <c r="E1406" t="str">
        <f>"201905219465"</f>
        <v>201905219465</v>
      </c>
      <c r="F1406" t="str">
        <f>"MAY 10  2019  INVOICE"</f>
        <v>MAY 10  2019  INVOICE</v>
      </c>
      <c r="G1406" s="2">
        <v>175</v>
      </c>
      <c r="H1406" t="str">
        <f>"MAY 10 INVOICE"</f>
        <v>MAY 10 INVOICE</v>
      </c>
    </row>
    <row r="1407" spans="1:8" x14ac:dyDescent="0.25">
      <c r="A1407" t="s">
        <v>374</v>
      </c>
      <c r="B1407">
        <v>771</v>
      </c>
      <c r="C1407" s="2">
        <v>7671.76</v>
      </c>
      <c r="D1407" s="1">
        <v>43599</v>
      </c>
      <c r="E1407" t="str">
        <f>"95242450"</f>
        <v>95242450</v>
      </c>
      <c r="F1407" t="str">
        <f>"ACCT#10187718/FUEL/PCT#2"</f>
        <v>ACCT#10187718/FUEL/PCT#2</v>
      </c>
      <c r="G1407" s="2">
        <v>4053.71</v>
      </c>
      <c r="H1407" t="str">
        <f>"ACCT#10187718/FUEL/PCT#2"</f>
        <v>ACCT#10187718/FUEL/PCT#2</v>
      </c>
    </row>
    <row r="1408" spans="1:8" x14ac:dyDescent="0.25">
      <c r="E1408" t="str">
        <f>"95256019"</f>
        <v>95256019</v>
      </c>
      <c r="F1408" t="str">
        <f>"ACCT#10187718/PCT#2"</f>
        <v>ACCT#10187718/PCT#2</v>
      </c>
      <c r="G1408" s="2">
        <v>3618.05</v>
      </c>
      <c r="H1408" t="str">
        <f>"ACCT#10187718/PCT#2"</f>
        <v>ACCT#10187718/PCT#2</v>
      </c>
    </row>
    <row r="1409" spans="1:8" x14ac:dyDescent="0.25">
      <c r="A1409" t="s">
        <v>374</v>
      </c>
      <c r="B1409">
        <v>839</v>
      </c>
      <c r="C1409" s="2">
        <v>3475.79</v>
      </c>
      <c r="D1409" s="1">
        <v>43614</v>
      </c>
      <c r="E1409" t="str">
        <f>"95265577"</f>
        <v>95265577</v>
      </c>
      <c r="F1409" t="str">
        <f>"ACCT#10187718/FUEL/PCT#2"</f>
        <v>ACCT#10187718/FUEL/PCT#2</v>
      </c>
      <c r="G1409" s="2">
        <v>3475.79</v>
      </c>
      <c r="H1409" t="str">
        <f>"ACCT#10187718/FUEL/PCT#2"</f>
        <v>ACCT#10187718/FUEL/PCT#2</v>
      </c>
    </row>
    <row r="1410" spans="1:8" x14ac:dyDescent="0.25">
      <c r="A1410" t="s">
        <v>375</v>
      </c>
      <c r="B1410">
        <v>844</v>
      </c>
      <c r="C1410" s="2">
        <v>763</v>
      </c>
      <c r="D1410" s="1">
        <v>43614</v>
      </c>
      <c r="E1410" t="str">
        <f>"7252"</f>
        <v>7252</v>
      </c>
      <c r="F1410" t="str">
        <f>"ALG PURPLE POWER 4 GAL/S&amp;H/P1"</f>
        <v>ALG PURPLE POWER 4 GAL/S&amp;H/P1</v>
      </c>
      <c r="G1410" s="2">
        <v>118</v>
      </c>
      <c r="H1410" t="str">
        <f>"ALG PURPLE POWER 4 GAL/S&amp;H/P1"</f>
        <v>ALG PURPLE POWER 4 GAL/S&amp;H/P1</v>
      </c>
    </row>
    <row r="1411" spans="1:8" x14ac:dyDescent="0.25">
      <c r="E1411" t="str">
        <f>"7278"</f>
        <v>7278</v>
      </c>
      <c r="F1411" t="str">
        <f>"ZEP BIG ORANGE E AEROSOL/PCT#4"</f>
        <v>ZEP BIG ORANGE E AEROSOL/PCT#4</v>
      </c>
      <c r="G1411" s="2">
        <v>645</v>
      </c>
      <c r="H1411" t="str">
        <f>"ZEP BIG ORANGE E AEROSOL/PCT#4"</f>
        <v>ZEP BIG ORANGE E AEROSOL/PCT#4</v>
      </c>
    </row>
    <row r="1412" spans="1:8" x14ac:dyDescent="0.25">
      <c r="A1412" t="s">
        <v>376</v>
      </c>
      <c r="B1412">
        <v>762</v>
      </c>
      <c r="C1412" s="2">
        <v>62</v>
      </c>
      <c r="D1412" s="1">
        <v>43599</v>
      </c>
      <c r="E1412" t="str">
        <f>"19050213"</f>
        <v>19050213</v>
      </c>
      <c r="F1412" t="str">
        <f>"SVC CONTRACT/COUNTY CLERK"</f>
        <v>SVC CONTRACT/COUNTY CLERK</v>
      </c>
      <c r="G1412" s="2">
        <v>62</v>
      </c>
      <c r="H1412" t="str">
        <f>"SVC CONTRACT/COUNTY CLERK"</f>
        <v>SVC CONTRACT/COUNTY CLERK</v>
      </c>
    </row>
    <row r="1413" spans="1:8" x14ac:dyDescent="0.25">
      <c r="A1413" t="s">
        <v>377</v>
      </c>
      <c r="B1413">
        <v>82232</v>
      </c>
      <c r="C1413" s="2">
        <v>488.12</v>
      </c>
      <c r="D1413" s="1">
        <v>43598</v>
      </c>
      <c r="E1413" t="str">
        <f>"201905089189"</f>
        <v>201905089189</v>
      </c>
      <c r="F1413" t="str">
        <f>"TEXAS DEPARTMENT OF CRIMINAL J"</f>
        <v>TEXAS DEPARTMENT OF CRIMINAL J</v>
      </c>
      <c r="G1413" s="2">
        <v>488.12</v>
      </c>
      <c r="H1413" t="str">
        <f>"US FLAG"</f>
        <v>US FLAG</v>
      </c>
    </row>
    <row r="1414" spans="1:8" x14ac:dyDescent="0.25">
      <c r="E1414" t="str">
        <f>""</f>
        <v/>
      </c>
      <c r="F1414" t="str">
        <f>""</f>
        <v/>
      </c>
      <c r="H1414" t="str">
        <f>"TEXAS FLAG"</f>
        <v>TEXAS FLAG</v>
      </c>
    </row>
    <row r="1415" spans="1:8" x14ac:dyDescent="0.25">
      <c r="E1415" t="str">
        <f>""</f>
        <v/>
      </c>
      <c r="F1415" t="str">
        <f>""</f>
        <v/>
      </c>
      <c r="H1415" t="str">
        <f>"MOHOGONY FLAG POLE"</f>
        <v>MOHOGONY FLAG POLE</v>
      </c>
    </row>
    <row r="1416" spans="1:8" x14ac:dyDescent="0.25">
      <c r="E1416" t="str">
        <f>""</f>
        <v/>
      </c>
      <c r="F1416" t="str">
        <f>""</f>
        <v/>
      </c>
      <c r="H1416" t="str">
        <f>"STATE SEAL"</f>
        <v>STATE SEAL</v>
      </c>
    </row>
    <row r="1417" spans="1:8" x14ac:dyDescent="0.25">
      <c r="A1417" t="s">
        <v>378</v>
      </c>
      <c r="B1417">
        <v>866</v>
      </c>
      <c r="C1417" s="2">
        <v>209</v>
      </c>
      <c r="D1417" s="1">
        <v>43614</v>
      </c>
      <c r="E1417" t="str">
        <f>"1906056"</f>
        <v>1906056</v>
      </c>
      <c r="F1417" t="str">
        <f>"CUST ID:BASTROP CNTY CT/BILLIN"</f>
        <v>CUST ID:BASTROP CNTY CT/BILLIN</v>
      </c>
      <c r="G1417" s="2">
        <v>209</v>
      </c>
      <c r="H1417" t="str">
        <f>"CUST ID:BASTROP CNTY CT/BILLIN"</f>
        <v>CUST ID:BASTROP CNTY CT/BILLIN</v>
      </c>
    </row>
    <row r="1418" spans="1:8" x14ac:dyDescent="0.25">
      <c r="A1418" t="s">
        <v>379</v>
      </c>
      <c r="B1418">
        <v>82233</v>
      </c>
      <c r="C1418" s="2">
        <v>50</v>
      </c>
      <c r="D1418" s="1">
        <v>43598</v>
      </c>
      <c r="E1418" t="str">
        <f>"201905089242"</f>
        <v>201905089242</v>
      </c>
      <c r="F1418" t="str">
        <f>"FERAL HOGS"</f>
        <v>FERAL HOGS</v>
      </c>
      <c r="G1418" s="2">
        <v>50</v>
      </c>
      <c r="H1418" t="str">
        <f>"FERAL HOGS"</f>
        <v>FERAL HOGS</v>
      </c>
    </row>
    <row r="1419" spans="1:8" x14ac:dyDescent="0.25">
      <c r="A1419" t="s">
        <v>380</v>
      </c>
      <c r="B1419">
        <v>794</v>
      </c>
      <c r="C1419" s="2">
        <v>208.8</v>
      </c>
      <c r="D1419" s="1">
        <v>43599</v>
      </c>
      <c r="E1419" t="str">
        <f>"201904248748"</f>
        <v>201904248748</v>
      </c>
      <c r="F1419" t="str">
        <f>"MILEAGE REIMBURSEMENT"</f>
        <v>MILEAGE REIMBURSEMENT</v>
      </c>
      <c r="G1419" s="2">
        <v>139.19999999999999</v>
      </c>
      <c r="H1419" t="str">
        <f>"MILEAGE REIMBURSEMENT"</f>
        <v>MILEAGE REIMBURSEMENT</v>
      </c>
    </row>
    <row r="1420" spans="1:8" x14ac:dyDescent="0.25">
      <c r="E1420" t="str">
        <f>"201904248779"</f>
        <v>201904248779</v>
      </c>
      <c r="F1420" t="str">
        <f>"MILEAGE REIMBURSEMENT"</f>
        <v>MILEAGE REIMBURSEMENT</v>
      </c>
      <c r="G1420" s="2">
        <v>69.599999999999994</v>
      </c>
      <c r="H1420" t="str">
        <f>"MILEAGE REIMBURSEMENT"</f>
        <v>MILEAGE REIMBURSEMENT</v>
      </c>
    </row>
    <row r="1421" spans="1:8" x14ac:dyDescent="0.25">
      <c r="A1421" t="s">
        <v>381</v>
      </c>
      <c r="B1421">
        <v>82234</v>
      </c>
      <c r="C1421" s="2">
        <v>21811.21</v>
      </c>
      <c r="D1421" s="1">
        <v>43598</v>
      </c>
      <c r="E1421" t="str">
        <f>"0851685-IN"</f>
        <v>0851685-IN</v>
      </c>
      <c r="F1421" t="str">
        <f>"ACCT#01-0112917/FUEL/PCT#3"</f>
        <v>ACCT#01-0112917/FUEL/PCT#3</v>
      </c>
      <c r="G1421" s="2">
        <v>4426.4399999999996</v>
      </c>
      <c r="H1421" t="str">
        <f>"ACCT#01-0112917/FUEL/PCT#3"</f>
        <v>ACCT#01-0112917/FUEL/PCT#3</v>
      </c>
    </row>
    <row r="1422" spans="1:8" x14ac:dyDescent="0.25">
      <c r="E1422" t="str">
        <f>"0853997-IN"</f>
        <v>0853997-IN</v>
      </c>
      <c r="F1422" t="str">
        <f>"ACCT#01-0112917/PCT#4"</f>
        <v>ACCT#01-0112917/PCT#4</v>
      </c>
      <c r="G1422" s="2">
        <v>6723.23</v>
      </c>
      <c r="H1422" t="str">
        <f>"ACCT#01-0112917/PCT#4"</f>
        <v>ACCT#01-0112917/PCT#4</v>
      </c>
    </row>
    <row r="1423" spans="1:8" x14ac:dyDescent="0.25">
      <c r="E1423" t="str">
        <f>"0854451-IN"</f>
        <v>0854451-IN</v>
      </c>
      <c r="F1423" t="str">
        <f>"ACCT#01-0112917/PCT#3"</f>
        <v>ACCT#01-0112917/PCT#3</v>
      </c>
      <c r="G1423" s="2">
        <v>4502.9399999999996</v>
      </c>
      <c r="H1423" t="str">
        <f>"ACCT#01-0112917/PCT#3"</f>
        <v>ACCT#01-0112917/PCT#3</v>
      </c>
    </row>
    <row r="1424" spans="1:8" x14ac:dyDescent="0.25">
      <c r="E1424" t="str">
        <f>"0855104-IN"</f>
        <v>0855104-IN</v>
      </c>
      <c r="F1424" t="str">
        <f>"ACCT#01-0112917/FUEL/PCT#1"</f>
        <v>ACCT#01-0112917/FUEL/PCT#1</v>
      </c>
      <c r="G1424" s="2">
        <v>6158.6</v>
      </c>
      <c r="H1424" t="str">
        <f>"ACCT#01-0112917/FUEL/PCT#1"</f>
        <v>ACCT#01-0112917/FUEL/PCT#1</v>
      </c>
    </row>
    <row r="1425" spans="1:8" x14ac:dyDescent="0.25">
      <c r="A1425" t="s">
        <v>381</v>
      </c>
      <c r="B1425">
        <v>82410</v>
      </c>
      <c r="C1425" s="2">
        <v>5143.6099999999997</v>
      </c>
      <c r="D1425" s="1">
        <v>43613</v>
      </c>
      <c r="E1425" t="str">
        <f>"0856648-IN"</f>
        <v>0856648-IN</v>
      </c>
      <c r="F1425" t="str">
        <f>"INV 0856648-IN"</f>
        <v>INV 0856648-IN</v>
      </c>
      <c r="G1425" s="2">
        <v>462.59</v>
      </c>
      <c r="H1425" t="str">
        <f>"INV 0856648-IN"</f>
        <v>INV 0856648-IN</v>
      </c>
    </row>
    <row r="1426" spans="1:8" x14ac:dyDescent="0.25">
      <c r="E1426" t="str">
        <f>"0858754-IN"</f>
        <v>0858754-IN</v>
      </c>
      <c r="F1426" t="str">
        <f>"ACCT#01-0112917/PCT#3"</f>
        <v>ACCT#01-0112917/PCT#3</v>
      </c>
      <c r="G1426" s="2">
        <v>4681.0200000000004</v>
      </c>
      <c r="H1426" t="str">
        <f>"ACCT#01-0112917/PCT#3"</f>
        <v>ACCT#01-0112917/PCT#3</v>
      </c>
    </row>
    <row r="1427" spans="1:8" x14ac:dyDescent="0.25">
      <c r="A1427" t="s">
        <v>382</v>
      </c>
      <c r="B1427">
        <v>82411</v>
      </c>
      <c r="C1427" s="2">
        <v>155.30000000000001</v>
      </c>
      <c r="D1427" s="1">
        <v>43613</v>
      </c>
      <c r="E1427" t="str">
        <f>"201905219384"</f>
        <v>201905219384</v>
      </c>
      <c r="F1427" t="str">
        <f>"INDIGENT HEALTH"</f>
        <v>INDIGENT HEALTH</v>
      </c>
      <c r="G1427" s="2">
        <v>155.30000000000001</v>
      </c>
      <c r="H1427" t="str">
        <f>"INDIGENT HEALTH"</f>
        <v>INDIGENT HEALTH</v>
      </c>
    </row>
    <row r="1428" spans="1:8" x14ac:dyDescent="0.25">
      <c r="A1428" t="s">
        <v>383</v>
      </c>
      <c r="B1428">
        <v>82412</v>
      </c>
      <c r="C1428" s="2">
        <v>325</v>
      </c>
      <c r="D1428" s="1">
        <v>43613</v>
      </c>
      <c r="E1428" t="str">
        <f>"E902109"</f>
        <v>E902109</v>
      </c>
      <c r="F1428" t="str">
        <f>"CUST#5500000000427/PROJECTOR"</f>
        <v>CUST#5500000000427/PROJECTOR</v>
      </c>
      <c r="G1428" s="2">
        <v>325</v>
      </c>
      <c r="H1428" t="str">
        <f>"CUST#5500000000427/PROJECTOR"</f>
        <v>CUST#5500000000427/PROJECTOR</v>
      </c>
    </row>
    <row r="1429" spans="1:8" x14ac:dyDescent="0.25">
      <c r="A1429" t="s">
        <v>384</v>
      </c>
      <c r="B1429">
        <v>82235</v>
      </c>
      <c r="C1429" s="2">
        <v>225</v>
      </c>
      <c r="D1429" s="1">
        <v>43598</v>
      </c>
      <c r="E1429" t="str">
        <f>"201905089200"</f>
        <v>201905089200</v>
      </c>
      <c r="F1429" t="str">
        <f>"TRAINING - J. DZIENOWSKI"</f>
        <v>TRAINING - J. DZIENOWSKI</v>
      </c>
      <c r="G1429" s="2">
        <v>225</v>
      </c>
      <c r="H1429" t="str">
        <f>"TRAINING - J. DZIENOWSKI"</f>
        <v>TRAINING - J. DZIENOWSKI</v>
      </c>
    </row>
    <row r="1430" spans="1:8" x14ac:dyDescent="0.25">
      <c r="A1430" t="s">
        <v>385</v>
      </c>
      <c r="B1430">
        <v>82236</v>
      </c>
      <c r="C1430" s="2">
        <v>483</v>
      </c>
      <c r="D1430" s="1">
        <v>43598</v>
      </c>
      <c r="E1430" t="str">
        <f>"99891"</f>
        <v>99891</v>
      </c>
      <c r="F1430" t="str">
        <f>"TICKET#1118817/RIP RAP/PCT#1"</f>
        <v>TICKET#1118817/RIP RAP/PCT#1</v>
      </c>
      <c r="G1430" s="2">
        <v>483</v>
      </c>
      <c r="H1430" t="str">
        <f>"TICKET#1118817/RIP RAP/PCT#1"</f>
        <v>TICKET#1118817/RIP RAP/PCT#1</v>
      </c>
    </row>
    <row r="1431" spans="1:8" x14ac:dyDescent="0.25">
      <c r="A1431" t="s">
        <v>386</v>
      </c>
      <c r="B1431">
        <v>82237</v>
      </c>
      <c r="C1431" s="2">
        <v>521</v>
      </c>
      <c r="D1431" s="1">
        <v>43598</v>
      </c>
      <c r="E1431" t="str">
        <f>"201905089194"</f>
        <v>201905089194</v>
      </c>
      <c r="F1431" t="str">
        <f>"JUNE BOND RENEWALS"</f>
        <v>JUNE BOND RENEWALS</v>
      </c>
      <c r="G1431" s="2">
        <v>300</v>
      </c>
      <c r="H1431" t="str">
        <f>"JUNE BOND RENEWALS"</f>
        <v>JUNE BOND RENEWALS</v>
      </c>
    </row>
    <row r="1432" spans="1:8" x14ac:dyDescent="0.25">
      <c r="E1432" t="str">
        <f>"3102"</f>
        <v>3102</v>
      </c>
      <c r="F1432" t="str">
        <f>"INV 3102"</f>
        <v>INV 3102</v>
      </c>
      <c r="G1432" s="2">
        <v>50</v>
      </c>
      <c r="H1432" t="str">
        <f>"INV 3102"</f>
        <v>INV 3102</v>
      </c>
    </row>
    <row r="1433" spans="1:8" x14ac:dyDescent="0.25">
      <c r="E1433" t="str">
        <f>"3128"</f>
        <v>3128</v>
      </c>
      <c r="F1433" t="str">
        <f>"INV 3128"</f>
        <v>INV 3128</v>
      </c>
      <c r="G1433" s="2">
        <v>71</v>
      </c>
      <c r="H1433" t="str">
        <f>"INV 3128"</f>
        <v>INV 3128</v>
      </c>
    </row>
    <row r="1434" spans="1:8" x14ac:dyDescent="0.25">
      <c r="E1434" t="str">
        <f>"3203"</f>
        <v>3203</v>
      </c>
      <c r="F1434" t="str">
        <f>"INV 3203"</f>
        <v>INV 3203</v>
      </c>
      <c r="G1434" s="2">
        <v>50</v>
      </c>
      <c r="H1434" t="str">
        <f>"INV 3203"</f>
        <v>INV 3203</v>
      </c>
    </row>
    <row r="1435" spans="1:8" x14ac:dyDescent="0.25">
      <c r="E1435" t="str">
        <f>"3214"</f>
        <v>3214</v>
      </c>
      <c r="F1435" t="str">
        <f>"ACCT#BASCOU-08/BOND-L.SCAIFE"</f>
        <v>ACCT#BASCOU-08/BOND-L.SCAIFE</v>
      </c>
      <c r="G1435" s="2">
        <v>50</v>
      </c>
      <c r="H1435" t="str">
        <f>"ACCT#BASCOU-08/BOND-L.SCAIFE"</f>
        <v>ACCT#BASCOU-08/BOND-L.SCAIFE</v>
      </c>
    </row>
    <row r="1436" spans="1:8" x14ac:dyDescent="0.25">
      <c r="A1436" t="s">
        <v>387</v>
      </c>
      <c r="B1436">
        <v>82238</v>
      </c>
      <c r="C1436" s="2">
        <v>425</v>
      </c>
      <c r="D1436" s="1">
        <v>43598</v>
      </c>
      <c r="E1436" t="str">
        <f>"201904258866"</f>
        <v>201904258866</v>
      </c>
      <c r="F1436" t="str">
        <f>"CONFERENCE-JENNIFER ENSINGER"</f>
        <v>CONFERENCE-JENNIFER ENSINGER</v>
      </c>
      <c r="G1436" s="2">
        <v>425</v>
      </c>
      <c r="H1436" t="str">
        <f>"CONFERENCE-JENNIFER ENSINGER"</f>
        <v>CONFERENCE-JENNIFER ENSINGER</v>
      </c>
    </row>
    <row r="1437" spans="1:8" x14ac:dyDescent="0.25">
      <c r="A1437" t="s">
        <v>388</v>
      </c>
      <c r="B1437">
        <v>82239</v>
      </c>
      <c r="C1437" s="2">
        <v>225</v>
      </c>
      <c r="D1437" s="1">
        <v>43598</v>
      </c>
      <c r="E1437" t="str">
        <f>"288035"</f>
        <v>288035</v>
      </c>
      <c r="F1437" t="str">
        <f>"MEMBER#232001-LAURIE INGRAM"</f>
        <v>MEMBER#232001-LAURIE INGRAM</v>
      </c>
      <c r="G1437" s="2">
        <v>225</v>
      </c>
      <c r="H1437" t="str">
        <f>"MEMBER#232001-LAURIE INGRAM"</f>
        <v>MEMBER#232001-LAURIE INGRAM</v>
      </c>
    </row>
    <row r="1438" spans="1:8" x14ac:dyDescent="0.25">
      <c r="A1438" t="s">
        <v>389</v>
      </c>
      <c r="B1438">
        <v>82045</v>
      </c>
      <c r="C1438" s="2">
        <v>1500</v>
      </c>
      <c r="D1438" s="1">
        <v>43588</v>
      </c>
      <c r="E1438" t="str">
        <f>"201905039025"</f>
        <v>201905039025</v>
      </c>
      <c r="F1438" t="str">
        <f>"TCRFC 2019 DUES - C BECKETT"</f>
        <v>TCRFC 2019 DUES - C BECKETT</v>
      </c>
      <c r="G1438" s="2">
        <v>1500</v>
      </c>
      <c r="H1438" t="str">
        <f>"TCRFC 2019 DUES - C BECKETT"</f>
        <v>TCRFC 2019 DUES - C BECKETT</v>
      </c>
    </row>
    <row r="1439" spans="1:8" x14ac:dyDescent="0.25">
      <c r="A1439" t="s">
        <v>390</v>
      </c>
      <c r="B1439">
        <v>82413</v>
      </c>
      <c r="C1439" s="2">
        <v>5537.45</v>
      </c>
      <c r="D1439" s="1">
        <v>43613</v>
      </c>
      <c r="E1439" t="str">
        <f>"126959"</f>
        <v>126959</v>
      </c>
      <c r="F1439" t="str">
        <f>"CUST#1574/HARD STONE/PCT#4"</f>
        <v>CUST#1574/HARD STONE/PCT#4</v>
      </c>
      <c r="G1439" s="2">
        <v>1151.17</v>
      </c>
      <c r="H1439" t="str">
        <f>"CUST#1574/HARD STONE/PCT#4"</f>
        <v>CUST#1574/HARD STONE/PCT#4</v>
      </c>
    </row>
    <row r="1440" spans="1:8" x14ac:dyDescent="0.25">
      <c r="E1440" t="str">
        <f>"127196"</f>
        <v>127196</v>
      </c>
      <c r="F1440" t="str">
        <f>"CUST#1574/HARD STONE/PCT#4"</f>
        <v>CUST#1574/HARD STONE/PCT#4</v>
      </c>
      <c r="G1440" s="2">
        <v>1478.24</v>
      </c>
      <c r="H1440" t="str">
        <f>"CUST#1574/HARD STONE/PCT#4"</f>
        <v>CUST#1574/HARD STONE/PCT#4</v>
      </c>
    </row>
    <row r="1441" spans="1:8" x14ac:dyDescent="0.25">
      <c r="E1441" t="str">
        <f>"127416"</f>
        <v>127416</v>
      </c>
      <c r="F1441" t="str">
        <f>"CUST#1574/STONE/PCT#4"</f>
        <v>CUST#1574/STONE/PCT#4</v>
      </c>
      <c r="G1441" s="2">
        <v>1168.6600000000001</v>
      </c>
      <c r="H1441" t="str">
        <f>"CUST#1574/STONE/PCT#4"</f>
        <v>CUST#1574/STONE/PCT#4</v>
      </c>
    </row>
    <row r="1442" spans="1:8" x14ac:dyDescent="0.25">
      <c r="E1442" t="str">
        <f>"128446"</f>
        <v>128446</v>
      </c>
      <c r="F1442" t="str">
        <f>"CUST#1574/STONE/PCT#4"</f>
        <v>CUST#1574/STONE/PCT#4</v>
      </c>
      <c r="G1442" s="2">
        <v>1452.75</v>
      </c>
      <c r="H1442" t="str">
        <f>"CUST#1574/STONE/PCT#4"</f>
        <v>CUST#1574/STONE/PCT#4</v>
      </c>
    </row>
    <row r="1443" spans="1:8" x14ac:dyDescent="0.25">
      <c r="E1443" t="str">
        <f>"128766"</f>
        <v>128766</v>
      </c>
      <c r="F1443" t="str">
        <f>"CUST#1574/STONE/PCT#4"</f>
        <v>CUST#1574/STONE/PCT#4</v>
      </c>
      <c r="G1443" s="2">
        <v>286.63</v>
      </c>
      <c r="H1443" t="str">
        <f>"CUST#1574/STONE/PCT#4"</f>
        <v>CUST#1574/STONE/PCT#4</v>
      </c>
    </row>
    <row r="1444" spans="1:8" x14ac:dyDescent="0.25">
      <c r="A1444" t="s">
        <v>391</v>
      </c>
      <c r="B1444">
        <v>82240</v>
      </c>
      <c r="C1444" s="2">
        <v>16</v>
      </c>
      <c r="D1444" s="1">
        <v>43598</v>
      </c>
      <c r="E1444" t="str">
        <f>"CRS-201903-167551"</f>
        <v>CRS-201903-167551</v>
      </c>
      <c r="F1444" t="str">
        <f>"SECURE SITE CCH NAME SEARCH"</f>
        <v>SECURE SITE CCH NAME SEARCH</v>
      </c>
      <c r="G1444" s="2">
        <v>16</v>
      </c>
      <c r="H1444" t="str">
        <f>"SECURE SITE CCH NAME SEARCH"</f>
        <v>SECURE SITE CCH NAME SEARCH</v>
      </c>
    </row>
    <row r="1445" spans="1:8" x14ac:dyDescent="0.25">
      <c r="A1445" t="s">
        <v>391</v>
      </c>
      <c r="B1445">
        <v>82414</v>
      </c>
      <c r="C1445" s="2">
        <v>21</v>
      </c>
      <c r="D1445" s="1">
        <v>43613</v>
      </c>
      <c r="E1445" t="str">
        <f>"CRS-201904-169625"</f>
        <v>CRS-201904-169625</v>
      </c>
      <c r="F1445" t="str">
        <f>"SECURE SITE CCH NAME SEARCH"</f>
        <v>SECURE SITE CCH NAME SEARCH</v>
      </c>
      <c r="G1445" s="2">
        <v>21</v>
      </c>
      <c r="H1445" t="str">
        <f>"SECURE SITE CCH NAME SEARCH"</f>
        <v>SECURE SITE CCH NAME SEARCH</v>
      </c>
    </row>
    <row r="1446" spans="1:8" x14ac:dyDescent="0.25">
      <c r="A1446" t="s">
        <v>392</v>
      </c>
      <c r="B1446">
        <v>82241</v>
      </c>
      <c r="C1446" s="2">
        <v>415</v>
      </c>
      <c r="D1446" s="1">
        <v>43598</v>
      </c>
      <c r="E1446" t="str">
        <f>"12214"</f>
        <v>12214</v>
      </c>
      <c r="F1446" t="str">
        <f>"GOVERNMENT 50K TO 100K POP"</f>
        <v>GOVERNMENT 50K TO 100K POP</v>
      </c>
      <c r="G1446" s="2">
        <v>415</v>
      </c>
      <c r="H1446" t="str">
        <f>"GOVERNMENT 50K TO 100K POP"</f>
        <v>GOVERNMENT 50K TO 100K POP</v>
      </c>
    </row>
    <row r="1447" spans="1:8" x14ac:dyDescent="0.25">
      <c r="A1447" t="s">
        <v>393</v>
      </c>
      <c r="B1447">
        <v>82242</v>
      </c>
      <c r="C1447" s="2">
        <v>1460</v>
      </c>
      <c r="D1447" s="1">
        <v>43598</v>
      </c>
      <c r="E1447" t="str">
        <f>"201905089202"</f>
        <v>201905089202</v>
      </c>
      <c r="F1447" t="str">
        <f>"CONFERENCE REGISTRATION"</f>
        <v>CONFERENCE REGISTRATION</v>
      </c>
      <c r="G1447" s="2">
        <v>1460</v>
      </c>
      <c r="H1447" t="str">
        <f>"CONFERENCE REGISTRATION"</f>
        <v>CONFERENCE REGISTRATION</v>
      </c>
    </row>
    <row r="1448" spans="1:8" x14ac:dyDescent="0.25">
      <c r="A1448" t="s">
        <v>394</v>
      </c>
      <c r="B1448">
        <v>82243</v>
      </c>
      <c r="C1448" s="2">
        <v>623.04999999999995</v>
      </c>
      <c r="D1448" s="1">
        <v>43598</v>
      </c>
      <c r="E1448" t="str">
        <f>"3CO-3910-18"</f>
        <v>3CO-3910-18</v>
      </c>
      <c r="F1448" t="str">
        <f>"A8245770  G.M. MENDOZA"</f>
        <v>A8245770  G.M. MENDOZA</v>
      </c>
      <c r="G1448" s="2">
        <v>233.75</v>
      </c>
      <c r="H1448" t="str">
        <f>"A8245770  G.M. MENDOZA"</f>
        <v>A8245770  G.M. MENDOZA</v>
      </c>
    </row>
    <row r="1449" spans="1:8" x14ac:dyDescent="0.25">
      <c r="E1449" t="str">
        <f>"A-16211"</f>
        <v>A-16211</v>
      </c>
      <c r="F1449" t="str">
        <f>"J2-63546/G.J. KLEIN"</f>
        <v>J2-63546/G.J. KLEIN</v>
      </c>
      <c r="G1449" s="2">
        <v>79.05</v>
      </c>
      <c r="H1449" t="str">
        <f>"J2-63546/G.J. KLEIN"</f>
        <v>J2-63546/G.J. KLEIN</v>
      </c>
    </row>
    <row r="1450" spans="1:8" x14ac:dyDescent="0.25">
      <c r="E1450" t="str">
        <f>"A8245830"</f>
        <v>A8245830</v>
      </c>
      <c r="F1450" t="str">
        <f>"J2-59776 - M.W. BYRN"</f>
        <v>J2-59776 - M.W. BYRN</v>
      </c>
      <c r="G1450" s="2">
        <v>80.75</v>
      </c>
      <c r="H1450" t="str">
        <f>"J2-59776 - M.W. BYRN"</f>
        <v>J2-59776 - M.W. BYRN</v>
      </c>
    </row>
    <row r="1451" spans="1:8" x14ac:dyDescent="0.25">
      <c r="E1451" t="str">
        <f>"A8303663"</f>
        <v>A8303663</v>
      </c>
      <c r="F1451" t="str">
        <f>"J2-63764  R.R. RUST"</f>
        <v>J2-63764  R.R. RUST</v>
      </c>
      <c r="G1451" s="2">
        <v>114.75</v>
      </c>
      <c r="H1451" t="str">
        <f>"J2-63764  R.R. RUST"</f>
        <v>J2-63764  R.R. RUST</v>
      </c>
    </row>
    <row r="1452" spans="1:8" x14ac:dyDescent="0.25">
      <c r="E1452" t="str">
        <f>"A8303664"</f>
        <v>A8303664</v>
      </c>
      <c r="F1452" t="str">
        <f>"J2-63766 R.R. RUST"</f>
        <v>J2-63766 R.R. RUST</v>
      </c>
      <c r="G1452" s="2">
        <v>114.75</v>
      </c>
      <c r="H1452" t="str">
        <f>"J2-63766 R.R. RUST"</f>
        <v>J2-63766 R.R. RUST</v>
      </c>
    </row>
    <row r="1453" spans="1:8" x14ac:dyDescent="0.25">
      <c r="A1453" t="s">
        <v>394</v>
      </c>
      <c r="B1453">
        <v>82415</v>
      </c>
      <c r="C1453" s="2">
        <v>114.75</v>
      </c>
      <c r="D1453" s="1">
        <v>43613</v>
      </c>
      <c r="E1453" t="str">
        <f>"J2-63768"</f>
        <v>J2-63768</v>
      </c>
      <c r="F1453" t="str">
        <f>"A8303665-F.M. SMITH"</f>
        <v>A8303665-F.M. SMITH</v>
      </c>
      <c r="G1453" s="2">
        <v>114.75</v>
      </c>
      <c r="H1453" t="str">
        <f>"A8303665-F.M. SMITH"</f>
        <v>A8303665-F.M. SMITH</v>
      </c>
    </row>
    <row r="1454" spans="1:8" x14ac:dyDescent="0.25">
      <c r="A1454" t="s">
        <v>395</v>
      </c>
      <c r="B1454">
        <v>82244</v>
      </c>
      <c r="C1454" s="2">
        <v>1518</v>
      </c>
      <c r="D1454" s="1">
        <v>43598</v>
      </c>
      <c r="E1454" t="str">
        <f>"41019"</f>
        <v>41019</v>
      </c>
      <c r="F1454" t="str">
        <f>"REPAIRS/PCT#1"</f>
        <v>REPAIRS/PCT#1</v>
      </c>
      <c r="G1454" s="2">
        <v>1518</v>
      </c>
      <c r="H1454" t="str">
        <f>"REPAIRS/PCT#1"</f>
        <v>REPAIRS/PCT#1</v>
      </c>
    </row>
    <row r="1455" spans="1:8" x14ac:dyDescent="0.25">
      <c r="A1455" t="s">
        <v>396</v>
      </c>
      <c r="B1455">
        <v>82416</v>
      </c>
      <c r="C1455" s="2">
        <v>207.84</v>
      </c>
      <c r="D1455" s="1">
        <v>43613</v>
      </c>
      <c r="E1455" t="str">
        <f>"201905219386"</f>
        <v>201905219386</v>
      </c>
      <c r="F1455" t="str">
        <f>"INDIGENT HEALTH"</f>
        <v>INDIGENT HEALTH</v>
      </c>
      <c r="G1455" s="2">
        <v>207.84</v>
      </c>
      <c r="H1455" t="str">
        <f>"INDIGENT HEALTH"</f>
        <v>INDIGENT HEALTH</v>
      </c>
    </row>
    <row r="1456" spans="1:8" x14ac:dyDescent="0.25">
      <c r="A1456" t="s">
        <v>397</v>
      </c>
      <c r="B1456">
        <v>82245</v>
      </c>
      <c r="C1456" s="2">
        <v>49.91</v>
      </c>
      <c r="D1456" s="1">
        <v>43598</v>
      </c>
      <c r="E1456" t="str">
        <f>"824347"</f>
        <v>824347</v>
      </c>
      <c r="F1456" t="str">
        <f>"CUST ID:BASTR5/LABOR/PARTS/P4"</f>
        <v>CUST ID:BASTR5/LABOR/PARTS/P4</v>
      </c>
      <c r="G1456" s="2">
        <v>49.91</v>
      </c>
      <c r="H1456" t="str">
        <f>"CUST ID:BASTR5/LABOR/PARTS/P4"</f>
        <v>CUST ID:BASTR5/LABOR/PARTS/P4</v>
      </c>
    </row>
    <row r="1457" spans="1:8" x14ac:dyDescent="0.25">
      <c r="A1457" t="s">
        <v>398</v>
      </c>
      <c r="B1457">
        <v>82246</v>
      </c>
      <c r="C1457" s="2">
        <v>2686</v>
      </c>
      <c r="D1457" s="1">
        <v>43598</v>
      </c>
      <c r="E1457" t="str">
        <f>"100927"</f>
        <v>100927</v>
      </c>
      <c r="F1457" t="str">
        <f>"ACCT#188757/RD&amp;BRIDGE/SIGN/MET"</f>
        <v>ACCT#188757/RD&amp;BRIDGE/SIGN/MET</v>
      </c>
      <c r="G1457" s="2">
        <v>95</v>
      </c>
      <c r="H1457" t="str">
        <f>"ACCT#188757/RD&amp;BRIDGE/SIGN/MET"</f>
        <v>ACCT#188757/RD&amp;BRIDGE/SIGN/MET</v>
      </c>
    </row>
    <row r="1458" spans="1:8" x14ac:dyDescent="0.25">
      <c r="E1458" t="str">
        <f>"100959"</f>
        <v>100959</v>
      </c>
      <c r="F1458" t="str">
        <f>"ACCT#188757/JUVENILE BOOT CAMP"</f>
        <v>ACCT#188757/JUVENILE BOOT CAMP</v>
      </c>
      <c r="G1458" s="2">
        <v>118.5</v>
      </c>
      <c r="H1458" t="str">
        <f>"ACCT#188757/JUVENILE BOOT CAMP"</f>
        <v>ACCT#188757/JUVENILE BOOT CAMP</v>
      </c>
    </row>
    <row r="1459" spans="1:8" x14ac:dyDescent="0.25">
      <c r="E1459" t="str">
        <f>"101081"</f>
        <v>101081</v>
      </c>
      <c r="F1459" t="str">
        <f>"ACCT#188757/JP4/TAX OFFICE"</f>
        <v>ACCT#188757/JP4/TAX OFFICE</v>
      </c>
      <c r="G1459" s="2">
        <v>95</v>
      </c>
      <c r="H1459" t="str">
        <f>"ACCT#188757/JP4/TAX OFFICE"</f>
        <v>ACCT#188757/JP4/TAX OFFICE</v>
      </c>
    </row>
    <row r="1460" spans="1:8" x14ac:dyDescent="0.25">
      <c r="E1460" t="str">
        <f>"101084"</f>
        <v>101084</v>
      </c>
      <c r="F1460" t="str">
        <f>"ACCT#188757/MIKE FISHER BLDG"</f>
        <v>ACCT#188757/MIKE FISHER BLDG</v>
      </c>
      <c r="G1460" s="2">
        <v>112</v>
      </c>
      <c r="H1460" t="str">
        <f>"ACCT#188757/MIKE FISHER BLDG"</f>
        <v>ACCT#188757/MIKE FISHER BLDG</v>
      </c>
    </row>
    <row r="1461" spans="1:8" x14ac:dyDescent="0.25">
      <c r="E1461" t="str">
        <f>"101399"</f>
        <v>101399</v>
      </c>
      <c r="F1461" t="str">
        <f>"ACCT#188757/JP3 TAX OFFICE"</f>
        <v>ACCT#188757/JP3 TAX OFFICE</v>
      </c>
      <c r="G1461" s="2">
        <v>95</v>
      </c>
      <c r="H1461" t="str">
        <f>"ACCT#188757/JP3 TAX OFFICE"</f>
        <v>ACCT#188757/JP3 TAX OFFICE</v>
      </c>
    </row>
    <row r="1462" spans="1:8" x14ac:dyDescent="0.25">
      <c r="E1462" t="str">
        <f>"101545"</f>
        <v>101545</v>
      </c>
      <c r="F1462" t="str">
        <f>"ACCT#188757/PCT#3 WAREHOUSE"</f>
        <v>ACCT#188757/PCT#3 WAREHOUSE</v>
      </c>
      <c r="G1462" s="2">
        <v>95</v>
      </c>
      <c r="H1462" t="str">
        <f>"ACCT#188757/PCT#3 WAREHOUSE"</f>
        <v>ACCT#188757/PCT#3 WAREHOUSE</v>
      </c>
    </row>
    <row r="1463" spans="1:8" x14ac:dyDescent="0.25">
      <c r="E1463" t="str">
        <f>"101561"</f>
        <v>101561</v>
      </c>
      <c r="F1463" t="str">
        <f>"ACCT#188757/JUVENILE PROBATION"</f>
        <v>ACCT#188757/JUVENILE PROBATION</v>
      </c>
      <c r="G1463" s="2">
        <v>132</v>
      </c>
      <c r="H1463" t="str">
        <f>"ACCT#188757/JUVENILE PROBATION"</f>
        <v>ACCT#188757/JUVENILE PROBATION</v>
      </c>
    </row>
    <row r="1464" spans="1:8" x14ac:dyDescent="0.25">
      <c r="E1464" t="str">
        <f>"101577"</f>
        <v>101577</v>
      </c>
      <c r="F1464" t="str">
        <f>"ACCT#188757/CT HSE MAIN&amp;ANNEX"</f>
        <v>ACCT#188757/CT HSE MAIN&amp;ANNEX</v>
      </c>
      <c r="G1464" s="2">
        <v>137</v>
      </c>
      <c r="H1464" t="str">
        <f>"ACCT#188757/CT HSE MAIN&amp;ANNEX"</f>
        <v>ACCT#188757/CT HSE MAIN&amp;ANNEX</v>
      </c>
    </row>
    <row r="1465" spans="1:8" x14ac:dyDescent="0.25">
      <c r="E1465" t="str">
        <f>"101578"</f>
        <v>101578</v>
      </c>
      <c r="F1465" t="str">
        <f>"ACCT#188757/HISTORIC JAIL"</f>
        <v>ACCT#188757/HISTORIC JAIL</v>
      </c>
      <c r="G1465" s="2">
        <v>76</v>
      </c>
      <c r="H1465" t="str">
        <f>"ACCT#188757/HISTORIC JAIL"</f>
        <v>ACCT#188757/HISTORIC JAIL</v>
      </c>
    </row>
    <row r="1466" spans="1:8" x14ac:dyDescent="0.25">
      <c r="E1466" t="str">
        <f>"101589"</f>
        <v>101589</v>
      </c>
      <c r="F1466" t="str">
        <f>"ACCT#188757/EXTENSION HABITAT"</f>
        <v>ACCT#188757/EXTENSION HABITAT</v>
      </c>
      <c r="G1466" s="2">
        <v>89</v>
      </c>
      <c r="H1466" t="str">
        <f>"ACCT#188757/EXTENSION HABITAT"</f>
        <v>ACCT#188757/EXTENSION HABITAT</v>
      </c>
    </row>
    <row r="1467" spans="1:8" x14ac:dyDescent="0.25">
      <c r="E1467" t="str">
        <f>"101820"</f>
        <v>101820</v>
      </c>
      <c r="F1467" t="str">
        <f>"ACCT#188757/TAX OFFICE"</f>
        <v>ACCT#188757/TAX OFFICE</v>
      </c>
      <c r="G1467" s="2">
        <v>102</v>
      </c>
      <c r="H1467" t="str">
        <f>"ACCT#188757/TAX OFFICE"</f>
        <v>ACCT#188757/TAX OFFICE</v>
      </c>
    </row>
    <row r="1468" spans="1:8" x14ac:dyDescent="0.25">
      <c r="E1468" t="str">
        <f>"101843"</f>
        <v>101843</v>
      </c>
      <c r="F1468" t="str">
        <f>"ACCT#188757/CT HSE MAIN&amp;ANNEX"</f>
        <v>ACCT#188757/CT HSE MAIN&amp;ANNEX</v>
      </c>
      <c r="G1468" s="2">
        <v>225</v>
      </c>
      <c r="H1468" t="str">
        <f>"ACCT#188757/CT HSE MAIN&amp;ANNEX"</f>
        <v>ACCT#188757/CT HSE MAIN&amp;ANNEX</v>
      </c>
    </row>
    <row r="1469" spans="1:8" x14ac:dyDescent="0.25">
      <c r="E1469" t="str">
        <f>"101855"</f>
        <v>101855</v>
      </c>
      <c r="F1469" t="str">
        <f>"ACCT#188757/LBJ BLDG/HLTH DEPT"</f>
        <v>ACCT#188757/LBJ BLDG/HLTH DEPT</v>
      </c>
      <c r="G1469" s="2">
        <v>69</v>
      </c>
      <c r="H1469" t="str">
        <f>"ACCT#188757/LBJ BLDG/HLTH DEPT"</f>
        <v>ACCT#188757/LBJ BLDG/HLTH DEPT</v>
      </c>
    </row>
    <row r="1470" spans="1:8" x14ac:dyDescent="0.25">
      <c r="E1470" t="str">
        <f>"101867"</f>
        <v>101867</v>
      </c>
      <c r="F1470" t="str">
        <f>"ACCT#188757/PCT#4 RD &amp; BRIDGE"</f>
        <v>ACCT#188757/PCT#4 RD &amp; BRIDGE</v>
      </c>
      <c r="G1470" s="2">
        <v>95.5</v>
      </c>
      <c r="H1470" t="str">
        <f>"ACCT#188757/PCT#4 RD &amp; BRIDGE"</f>
        <v>ACCT#188757/PCT#4 RD &amp; BRIDGE</v>
      </c>
    </row>
    <row r="1471" spans="1:8" x14ac:dyDescent="0.25">
      <c r="E1471" t="str">
        <f>"102057"</f>
        <v>102057</v>
      </c>
      <c r="F1471" t="str">
        <f>"ACCT#188757/PCT#2 MAINT BARN"</f>
        <v>ACCT#188757/PCT#2 MAINT BARN</v>
      </c>
      <c r="G1471" s="2">
        <v>95</v>
      </c>
      <c r="H1471" t="str">
        <f>"ACCT#188757/PCT#2 MAINT BARN"</f>
        <v>ACCT#188757/PCT#2 MAINT BARN</v>
      </c>
    </row>
    <row r="1472" spans="1:8" x14ac:dyDescent="0.25">
      <c r="E1472" t="str">
        <f>"102075"</f>
        <v>102075</v>
      </c>
      <c r="F1472" t="str">
        <f>"ACCT#188757/COURT HOUSE"</f>
        <v>ACCT#188757/COURT HOUSE</v>
      </c>
      <c r="G1472" s="2">
        <v>450</v>
      </c>
      <c r="H1472" t="str">
        <f>"ACCT#188757/COURT HOUSE"</f>
        <v>ACCT#188757/COURT HOUSE</v>
      </c>
    </row>
    <row r="1473" spans="1:8" x14ac:dyDescent="0.25">
      <c r="E1473" t="str">
        <f>"102083"</f>
        <v>102083</v>
      </c>
      <c r="F1473" t="str">
        <f>"ACCT#188757/ANNEX BLDG"</f>
        <v>ACCT#188757/ANNEX BLDG</v>
      </c>
      <c r="G1473" s="2">
        <v>95</v>
      </c>
      <c r="H1473" t="str">
        <f>"ACCT#188757/ANNEX BLDG"</f>
        <v>ACCT#188757/ANNEX BLDG</v>
      </c>
    </row>
    <row r="1474" spans="1:8" x14ac:dyDescent="0.25">
      <c r="E1474" t="str">
        <f>"102111"</f>
        <v>102111</v>
      </c>
      <c r="F1474" t="str">
        <f>"ACCT#188757/STONY PT PARK"</f>
        <v>ACCT#188757/STONY PT PARK</v>
      </c>
      <c r="G1474" s="2">
        <v>95</v>
      </c>
      <c r="H1474" t="str">
        <f>"ACCT#188757/STONY PT PARK"</f>
        <v>ACCT#188757/STONY PT PARK</v>
      </c>
    </row>
    <row r="1475" spans="1:8" x14ac:dyDescent="0.25">
      <c r="E1475" t="str">
        <f>"103208"</f>
        <v>103208</v>
      </c>
      <c r="F1475" t="str">
        <f>"ACCT#188757/CEDAR CREEK PARK"</f>
        <v>ACCT#188757/CEDAR CREEK PARK</v>
      </c>
      <c r="G1475" s="2">
        <v>125</v>
      </c>
      <c r="H1475" t="str">
        <f>"ACCT#188757/CEDAR CREEK PARK"</f>
        <v>ACCT#188757/CEDAR CREEK PARK</v>
      </c>
    </row>
    <row r="1476" spans="1:8" x14ac:dyDescent="0.25">
      <c r="E1476" t="str">
        <f>"103428"</f>
        <v>103428</v>
      </c>
      <c r="F1476" t="str">
        <f>"ACCT#188757/ANIMAL SHELTER"</f>
        <v>ACCT#188757/ANIMAL SHELTER</v>
      </c>
      <c r="G1476" s="2">
        <v>290</v>
      </c>
      <c r="H1476" t="str">
        <f>"ACCT#188757/ANIMAL SHELTER"</f>
        <v>ACCT#188757/ANIMAL SHELTER</v>
      </c>
    </row>
    <row r="1477" spans="1:8" x14ac:dyDescent="0.25">
      <c r="A1477" t="s">
        <v>398</v>
      </c>
      <c r="B1477">
        <v>82417</v>
      </c>
      <c r="C1477" s="2">
        <v>76</v>
      </c>
      <c r="D1477" s="1">
        <v>43613</v>
      </c>
      <c r="E1477" t="str">
        <f>"103724"</f>
        <v>103724</v>
      </c>
      <c r="F1477" t="str">
        <f>"ACCT#188757/DPS/AQUA WATER BLD"</f>
        <v>ACCT#188757/DPS/AQUA WATER BLD</v>
      </c>
      <c r="G1477" s="2">
        <v>76</v>
      </c>
      <c r="H1477" t="str">
        <f>"ACCT#188757/DPS/AQUA WATER BLD"</f>
        <v>ACCT#188757/DPS/AQUA WATER BLD</v>
      </c>
    </row>
    <row r="1478" spans="1:8" x14ac:dyDescent="0.25">
      <c r="A1478" t="s">
        <v>399</v>
      </c>
      <c r="B1478">
        <v>82247</v>
      </c>
      <c r="C1478" s="2">
        <v>875</v>
      </c>
      <c r="D1478" s="1">
        <v>43598</v>
      </c>
      <c r="E1478" t="str">
        <f>"201904248831"</f>
        <v>201904248831</v>
      </c>
      <c r="F1478" t="str">
        <f>"56058"</f>
        <v>56058</v>
      </c>
      <c r="G1478" s="2">
        <v>375</v>
      </c>
      <c r="H1478" t="str">
        <f>"56058"</f>
        <v>56058</v>
      </c>
    </row>
    <row r="1479" spans="1:8" x14ac:dyDescent="0.25">
      <c r="E1479" t="str">
        <f>"201904248832"</f>
        <v>201904248832</v>
      </c>
      <c r="F1479" t="str">
        <f>"56 037"</f>
        <v>56 037</v>
      </c>
      <c r="G1479" s="2">
        <v>250</v>
      </c>
      <c r="H1479" t="str">
        <f>"56 037"</f>
        <v>56 037</v>
      </c>
    </row>
    <row r="1480" spans="1:8" x14ac:dyDescent="0.25">
      <c r="E1480" t="str">
        <f>"201904248833"</f>
        <v>201904248833</v>
      </c>
      <c r="F1480" t="str">
        <f>"51925"</f>
        <v>51925</v>
      </c>
      <c r="G1480" s="2">
        <v>250</v>
      </c>
      <c r="H1480" t="str">
        <f>"51925"</f>
        <v>51925</v>
      </c>
    </row>
    <row r="1481" spans="1:8" x14ac:dyDescent="0.25">
      <c r="A1481" t="s">
        <v>400</v>
      </c>
      <c r="B1481">
        <v>749</v>
      </c>
      <c r="C1481" s="2">
        <v>5225</v>
      </c>
      <c r="D1481" s="1">
        <v>43599</v>
      </c>
      <c r="E1481" t="str">
        <f>"201904248745"</f>
        <v>201904248745</v>
      </c>
      <c r="F1481" t="str">
        <f>"16 482  1JPG117-2"</f>
        <v>16 482  1JPG117-2</v>
      </c>
      <c r="G1481" s="2">
        <v>1000</v>
      </c>
      <c r="H1481" t="str">
        <f>"16 482  1JPG117-2"</f>
        <v>16 482  1JPG117-2</v>
      </c>
    </row>
    <row r="1482" spans="1:8" x14ac:dyDescent="0.25">
      <c r="E1482" t="str">
        <f>"201904248746"</f>
        <v>201904248746</v>
      </c>
      <c r="F1482" t="str">
        <f>"16 503"</f>
        <v>16 503</v>
      </c>
      <c r="G1482" s="2">
        <v>400</v>
      </c>
      <c r="H1482" t="str">
        <f>"16 503"</f>
        <v>16 503</v>
      </c>
    </row>
    <row r="1483" spans="1:8" x14ac:dyDescent="0.25">
      <c r="E1483" t="str">
        <f>"201904248747"</f>
        <v>201904248747</v>
      </c>
      <c r="F1483" t="str">
        <f>"412188-1  412188-2  412188-3"</f>
        <v>412188-1  412188-2  412188-3</v>
      </c>
      <c r="G1483" s="2">
        <v>300</v>
      </c>
      <c r="H1483" t="str">
        <f>"412188-1  412188-2  412188-3"</f>
        <v>412188-1  412188-2  412188-3</v>
      </c>
    </row>
    <row r="1484" spans="1:8" x14ac:dyDescent="0.25">
      <c r="E1484" t="str">
        <f>"201904248821"</f>
        <v>201904248821</v>
      </c>
      <c r="F1484" t="str">
        <f>"301142019A  19-19574"</f>
        <v>301142019A  19-19574</v>
      </c>
      <c r="G1484" s="2">
        <v>100</v>
      </c>
      <c r="H1484" t="str">
        <f>"301142019A  19-19574"</f>
        <v>301142019A  19-19574</v>
      </c>
    </row>
    <row r="1485" spans="1:8" x14ac:dyDescent="0.25">
      <c r="E1485" t="str">
        <f>"201904268879"</f>
        <v>201904268879</v>
      </c>
      <c r="F1485" t="str">
        <f>"16 751"</f>
        <v>16 751</v>
      </c>
      <c r="G1485" s="2">
        <v>400</v>
      </c>
      <c r="H1485" t="str">
        <f>"16 751"</f>
        <v>16 751</v>
      </c>
    </row>
    <row r="1486" spans="1:8" x14ac:dyDescent="0.25">
      <c r="E1486" t="str">
        <f>"201904268880"</f>
        <v>201904268880</v>
      </c>
      <c r="F1486" t="str">
        <f>"16 750"</f>
        <v>16 750</v>
      </c>
      <c r="G1486" s="2">
        <v>400</v>
      </c>
      <c r="H1486" t="str">
        <f>"16 750"</f>
        <v>16 750</v>
      </c>
    </row>
    <row r="1487" spans="1:8" x14ac:dyDescent="0.25">
      <c r="E1487" t="str">
        <f>"201905069027"</f>
        <v>201905069027</v>
      </c>
      <c r="F1487" t="str">
        <f>"NO CAUSE # LISTED"</f>
        <v>NO CAUSE # LISTED</v>
      </c>
      <c r="G1487" s="2">
        <v>400</v>
      </c>
      <c r="H1487" t="str">
        <f>"NO CAUSE # LISTED"</f>
        <v>NO CAUSE # LISTED</v>
      </c>
    </row>
    <row r="1488" spans="1:8" x14ac:dyDescent="0.25">
      <c r="E1488" t="str">
        <f>"201905079070"</f>
        <v>201905079070</v>
      </c>
      <c r="F1488" t="str">
        <f>"18503924"</f>
        <v>18503924</v>
      </c>
      <c r="G1488" s="2">
        <v>250</v>
      </c>
      <c r="H1488" t="str">
        <f>"18503924"</f>
        <v>18503924</v>
      </c>
    </row>
    <row r="1489" spans="1:8" x14ac:dyDescent="0.25">
      <c r="E1489" t="str">
        <f>"201905079071"</f>
        <v>201905079071</v>
      </c>
      <c r="F1489" t="str">
        <f>"56 435  56 726"</f>
        <v>56 435  56 726</v>
      </c>
      <c r="G1489" s="2">
        <v>375</v>
      </c>
      <c r="H1489" t="str">
        <f>"56 435  56 726"</f>
        <v>56 435  56 726</v>
      </c>
    </row>
    <row r="1490" spans="1:8" x14ac:dyDescent="0.25">
      <c r="E1490" t="str">
        <f>"201905079075"</f>
        <v>201905079075</v>
      </c>
      <c r="F1490" t="str">
        <f>"56 834"</f>
        <v>56 834</v>
      </c>
      <c r="G1490" s="2">
        <v>250</v>
      </c>
      <c r="H1490" t="str">
        <f>"56 834"</f>
        <v>56 834</v>
      </c>
    </row>
    <row r="1491" spans="1:8" x14ac:dyDescent="0.25">
      <c r="E1491" t="str">
        <f>"201905079086"</f>
        <v>201905079086</v>
      </c>
      <c r="F1491" t="str">
        <f>"20160066B"</f>
        <v>20160066B</v>
      </c>
      <c r="G1491" s="2">
        <v>250</v>
      </c>
      <c r="H1491" t="str">
        <f>"20160066B"</f>
        <v>20160066B</v>
      </c>
    </row>
    <row r="1492" spans="1:8" x14ac:dyDescent="0.25">
      <c r="E1492" t="str">
        <f>"201905079113"</f>
        <v>201905079113</v>
      </c>
      <c r="F1492" t="str">
        <f>"17-18617"</f>
        <v>17-18617</v>
      </c>
      <c r="G1492" s="2">
        <v>325</v>
      </c>
      <c r="H1492" t="str">
        <f>"17-18617"</f>
        <v>17-18617</v>
      </c>
    </row>
    <row r="1493" spans="1:8" x14ac:dyDescent="0.25">
      <c r="E1493" t="str">
        <f>"201905079114"</f>
        <v>201905079114</v>
      </c>
      <c r="F1493" t="str">
        <f>"17-18786"</f>
        <v>17-18786</v>
      </c>
      <c r="G1493" s="2">
        <v>325</v>
      </c>
      <c r="H1493" t="str">
        <f>"17-18786"</f>
        <v>17-18786</v>
      </c>
    </row>
    <row r="1494" spans="1:8" x14ac:dyDescent="0.25">
      <c r="E1494" t="str">
        <f>"201905079130"</f>
        <v>201905079130</v>
      </c>
      <c r="F1494" t="str">
        <f>"17-18617"</f>
        <v>17-18617</v>
      </c>
      <c r="G1494" s="2">
        <v>450</v>
      </c>
      <c r="H1494" t="str">
        <f>"17-18617"</f>
        <v>17-18617</v>
      </c>
    </row>
    <row r="1495" spans="1:8" x14ac:dyDescent="0.25">
      <c r="A1495" t="s">
        <v>400</v>
      </c>
      <c r="B1495">
        <v>822</v>
      </c>
      <c r="C1495" s="2">
        <v>3850</v>
      </c>
      <c r="D1495" s="1">
        <v>43614</v>
      </c>
      <c r="E1495" t="str">
        <f>"201905159286"</f>
        <v>201905159286</v>
      </c>
      <c r="F1495" t="str">
        <f>"16 746"</f>
        <v>16 746</v>
      </c>
      <c r="G1495" s="2">
        <v>3000</v>
      </c>
      <c r="H1495" t="str">
        <f>"16 746"</f>
        <v>16 746</v>
      </c>
    </row>
    <row r="1496" spans="1:8" x14ac:dyDescent="0.25">
      <c r="E1496" t="str">
        <f>"201905159287"</f>
        <v>201905159287</v>
      </c>
      <c r="F1496" t="str">
        <f>"16 630"</f>
        <v>16 630</v>
      </c>
      <c r="G1496" s="2">
        <v>600</v>
      </c>
      <c r="H1496" t="str">
        <f>"16 630"</f>
        <v>16 630</v>
      </c>
    </row>
    <row r="1497" spans="1:8" x14ac:dyDescent="0.25">
      <c r="E1497" t="str">
        <f>"201905219446"</f>
        <v>201905219446</v>
      </c>
      <c r="F1497" t="str">
        <f>"18-18996"</f>
        <v>18-18996</v>
      </c>
      <c r="G1497" s="2">
        <v>250</v>
      </c>
      <c r="H1497" t="str">
        <f>"18-18996"</f>
        <v>18-18996</v>
      </c>
    </row>
    <row r="1498" spans="1:8" x14ac:dyDescent="0.25">
      <c r="A1498" t="s">
        <v>401</v>
      </c>
      <c r="B1498">
        <v>804</v>
      </c>
      <c r="C1498" s="2">
        <v>100</v>
      </c>
      <c r="D1498" s="1">
        <v>43599</v>
      </c>
      <c r="E1498" t="str">
        <f>"236097"</f>
        <v>236097</v>
      </c>
      <c r="F1498" t="str">
        <f>"CLIENT:BASTRCOU/ORD#1*174748"</f>
        <v>CLIENT:BASTRCOU/ORD#1*174748</v>
      </c>
      <c r="G1498" s="2">
        <v>100</v>
      </c>
      <c r="H1498" t="str">
        <f>"CLIENT:BASTRCOU/ORD#1*174748"</f>
        <v>CLIENT:BASTRCOU/ORD#1*174748</v>
      </c>
    </row>
    <row r="1499" spans="1:8" x14ac:dyDescent="0.25">
      <c r="A1499" t="s">
        <v>402</v>
      </c>
      <c r="B1499">
        <v>82418</v>
      </c>
      <c r="C1499" s="2">
        <v>2311.5</v>
      </c>
      <c r="D1499" s="1">
        <v>43613</v>
      </c>
      <c r="E1499" t="str">
        <f>"201905179333"</f>
        <v>201905179333</v>
      </c>
      <c r="F1499" t="str">
        <f>"THE TRAVELERS INDEMNITY COMPAN"</f>
        <v>THE TRAVELERS INDEMNITY COMPAN</v>
      </c>
      <c r="G1499" s="2">
        <v>2311.5</v>
      </c>
      <c r="H1499" t="str">
        <f>"Claim # E7C2454"</f>
        <v>Claim # E7C2454</v>
      </c>
    </row>
    <row r="1500" spans="1:8" x14ac:dyDescent="0.25">
      <c r="E1500" t="str">
        <f>""</f>
        <v/>
      </c>
      <c r="F1500" t="str">
        <f>""</f>
        <v/>
      </c>
      <c r="H1500" t="str">
        <f>"Claim# E7C9208"</f>
        <v>Claim# E7C9208</v>
      </c>
    </row>
    <row r="1501" spans="1:8" x14ac:dyDescent="0.25">
      <c r="A1501" t="s">
        <v>403</v>
      </c>
      <c r="B1501">
        <v>82419</v>
      </c>
      <c r="C1501" s="2">
        <v>12249</v>
      </c>
      <c r="D1501" s="1">
        <v>43613</v>
      </c>
      <c r="E1501" t="str">
        <f>"019-26095"</f>
        <v>019-26095</v>
      </c>
      <c r="F1501" t="str">
        <f>"THLA MEMBERSHIP"</f>
        <v>THLA MEMBERSHIP</v>
      </c>
      <c r="G1501" s="2">
        <v>12249</v>
      </c>
      <c r="H1501" t="str">
        <f>"THLA MEMBERSHIP"</f>
        <v>THLA MEMBERSHIP</v>
      </c>
    </row>
    <row r="1502" spans="1:8" x14ac:dyDescent="0.25">
      <c r="A1502" t="s">
        <v>404</v>
      </c>
      <c r="B1502">
        <v>82420</v>
      </c>
      <c r="C1502" s="2">
        <v>1440.5</v>
      </c>
      <c r="D1502" s="1">
        <v>43613</v>
      </c>
      <c r="E1502" t="str">
        <f>"840181960"</f>
        <v>840181960</v>
      </c>
      <c r="F1502" t="str">
        <f>"ACCT#1000648597/WEST INFO CHRG"</f>
        <v>ACCT#1000648597/WEST INFO CHRG</v>
      </c>
      <c r="G1502" s="2">
        <v>548</v>
      </c>
      <c r="H1502" t="str">
        <f>"ACCT#1000648597/WEST INFO CHRG"</f>
        <v>ACCT#1000648597/WEST INFO CHRG</v>
      </c>
    </row>
    <row r="1503" spans="1:8" x14ac:dyDescent="0.25">
      <c r="E1503" t="str">
        <f>"840197092"</f>
        <v>840197092</v>
      </c>
      <c r="F1503" t="str">
        <f>"ACCT#1005022937/WEST INFO CHRG"</f>
        <v>ACCT#1005022937/WEST INFO CHRG</v>
      </c>
      <c r="G1503" s="2">
        <v>892.5</v>
      </c>
      <c r="H1503" t="str">
        <f>"ACCT#1005022937/WEST INFO CHRG"</f>
        <v>ACCT#1005022937/WEST INFO CHRG</v>
      </c>
    </row>
    <row r="1504" spans="1:8" x14ac:dyDescent="0.25">
      <c r="A1504" t="s">
        <v>405</v>
      </c>
      <c r="B1504">
        <v>82248</v>
      </c>
      <c r="C1504" s="2">
        <v>13149.43</v>
      </c>
      <c r="D1504" s="1">
        <v>43598</v>
      </c>
      <c r="E1504" t="str">
        <f>"00036669042819"</f>
        <v>00036669042819</v>
      </c>
      <c r="F1504" t="str">
        <f>"ACCT#8260163000003669"</f>
        <v>ACCT#8260163000003669</v>
      </c>
      <c r="G1504" s="2">
        <v>11472.94</v>
      </c>
      <c r="H1504" t="str">
        <f>"ACCT#8260163000003669"</f>
        <v>ACCT#8260163000003669</v>
      </c>
    </row>
    <row r="1505" spans="1:8" x14ac:dyDescent="0.25">
      <c r="E1505" t="str">
        <f>""</f>
        <v/>
      </c>
      <c r="F1505" t="str">
        <f>""</f>
        <v/>
      </c>
      <c r="H1505" t="str">
        <f>"ACCT#8260163000003669"</f>
        <v>ACCT#8260163000003669</v>
      </c>
    </row>
    <row r="1506" spans="1:8" x14ac:dyDescent="0.25">
      <c r="E1506" t="str">
        <f>""</f>
        <v/>
      </c>
      <c r="F1506" t="str">
        <f>""</f>
        <v/>
      </c>
      <c r="H1506" t="str">
        <f>"ACCT#8260163000003669"</f>
        <v>ACCT#8260163000003669</v>
      </c>
    </row>
    <row r="1507" spans="1:8" x14ac:dyDescent="0.25">
      <c r="E1507" t="str">
        <f>"0155923041219"</f>
        <v>0155923041219</v>
      </c>
      <c r="F1507" t="str">
        <f>"ACCT#8260 16 017 0155923"</f>
        <v>ACCT#8260 16 017 0155923</v>
      </c>
      <c r="G1507" s="2">
        <v>1676.49</v>
      </c>
      <c r="H1507" t="str">
        <f>"ACCT#8260 16 017 0155923"</f>
        <v>ACCT#8260 16 017 0155923</v>
      </c>
    </row>
    <row r="1508" spans="1:8" x14ac:dyDescent="0.25">
      <c r="A1508" t="s">
        <v>405</v>
      </c>
      <c r="B1508">
        <v>82421</v>
      </c>
      <c r="C1508" s="2">
        <v>137.38999999999999</v>
      </c>
      <c r="D1508" s="1">
        <v>43613</v>
      </c>
      <c r="E1508" t="str">
        <f>"0155923051219"</f>
        <v>0155923051219</v>
      </c>
      <c r="F1508" t="str">
        <f>"ACCT#8260 16 017 0155923"</f>
        <v>ACCT#8260 16 017 0155923</v>
      </c>
      <c r="G1508" s="2">
        <v>137.38999999999999</v>
      </c>
      <c r="H1508" t="str">
        <f>"ACCT#8260 16 017 0155923"</f>
        <v>ACCT#8260 16 017 0155923</v>
      </c>
    </row>
    <row r="1509" spans="1:8" x14ac:dyDescent="0.25">
      <c r="A1509" t="s">
        <v>406</v>
      </c>
      <c r="B1509">
        <v>82249</v>
      </c>
      <c r="C1509" s="2">
        <v>1908.86</v>
      </c>
      <c r="D1509" s="1">
        <v>43598</v>
      </c>
      <c r="E1509" t="str">
        <f>"201905089190"</f>
        <v>201905089190</v>
      </c>
      <c r="F1509" t="str">
        <f>"acct# 6035301200160982"</f>
        <v>acct# 6035301200160982</v>
      </c>
      <c r="G1509" s="2">
        <v>1908.86</v>
      </c>
      <c r="H1509" t="str">
        <f>"inv# 200559104"</f>
        <v>inv# 200559104</v>
      </c>
    </row>
    <row r="1510" spans="1:8" x14ac:dyDescent="0.25">
      <c r="E1510" t="str">
        <f>""</f>
        <v/>
      </c>
      <c r="F1510" t="str">
        <f>""</f>
        <v/>
      </c>
      <c r="H1510" t="str">
        <f>"inv# 200560065"</f>
        <v>inv# 200560065</v>
      </c>
    </row>
    <row r="1511" spans="1:8" x14ac:dyDescent="0.25">
      <c r="E1511" t="str">
        <f>""</f>
        <v/>
      </c>
      <c r="F1511" t="str">
        <f>""</f>
        <v/>
      </c>
      <c r="H1511" t="str">
        <f>"inv# 300532256"</f>
        <v>inv# 300532256</v>
      </c>
    </row>
    <row r="1512" spans="1:8" x14ac:dyDescent="0.25">
      <c r="E1512" t="str">
        <f>""</f>
        <v/>
      </c>
      <c r="F1512" t="str">
        <f>""</f>
        <v/>
      </c>
      <c r="H1512" t="str">
        <f>"inv# 100586156"</f>
        <v>inv# 100586156</v>
      </c>
    </row>
    <row r="1513" spans="1:8" x14ac:dyDescent="0.25">
      <c r="E1513" t="str">
        <f>""</f>
        <v/>
      </c>
      <c r="F1513" t="str">
        <f>""</f>
        <v/>
      </c>
      <c r="H1513" t="str">
        <f>"inv# 200561093"</f>
        <v>inv# 200561093</v>
      </c>
    </row>
    <row r="1514" spans="1:8" x14ac:dyDescent="0.25">
      <c r="E1514" t="str">
        <f>""</f>
        <v/>
      </c>
      <c r="F1514" t="str">
        <f>""</f>
        <v/>
      </c>
      <c r="H1514" t="str">
        <f>"inv# 300533670"</f>
        <v>inv# 300533670</v>
      </c>
    </row>
    <row r="1515" spans="1:8" x14ac:dyDescent="0.25">
      <c r="E1515" t="str">
        <f>""</f>
        <v/>
      </c>
      <c r="F1515" t="str">
        <f>""</f>
        <v/>
      </c>
      <c r="H1515" t="str">
        <f>"inv# 300531484"</f>
        <v>inv# 300531484</v>
      </c>
    </row>
    <row r="1516" spans="1:8" x14ac:dyDescent="0.25">
      <c r="E1516" t="str">
        <f>""</f>
        <v/>
      </c>
      <c r="F1516" t="str">
        <f>""</f>
        <v/>
      </c>
      <c r="H1516" t="str">
        <f>"inv# 200564694"</f>
        <v>inv# 200564694</v>
      </c>
    </row>
    <row r="1517" spans="1:8" x14ac:dyDescent="0.25">
      <c r="E1517" t="str">
        <f>""</f>
        <v/>
      </c>
      <c r="F1517" t="str">
        <f>""</f>
        <v/>
      </c>
      <c r="H1517" t="str">
        <f>"inv# 300534503"</f>
        <v>inv# 300534503</v>
      </c>
    </row>
    <row r="1518" spans="1:8" x14ac:dyDescent="0.25">
      <c r="E1518" t="str">
        <f>""</f>
        <v/>
      </c>
      <c r="F1518" t="str">
        <f>""</f>
        <v/>
      </c>
      <c r="H1518" t="str">
        <f>"inv# 300536704"</f>
        <v>inv# 300536704</v>
      </c>
    </row>
    <row r="1519" spans="1:8" x14ac:dyDescent="0.25">
      <c r="E1519" t="str">
        <f>""</f>
        <v/>
      </c>
      <c r="F1519" t="str">
        <f>""</f>
        <v/>
      </c>
      <c r="H1519" t="str">
        <f>"inv# 100587030"</f>
        <v>inv# 100587030</v>
      </c>
    </row>
    <row r="1520" spans="1:8" x14ac:dyDescent="0.25">
      <c r="E1520" t="str">
        <f>""</f>
        <v/>
      </c>
      <c r="F1520" t="str">
        <f>""</f>
        <v/>
      </c>
      <c r="H1520" t="str">
        <f>"inv# 200562315"</f>
        <v>inv# 200562315</v>
      </c>
    </row>
    <row r="1521" spans="1:8" x14ac:dyDescent="0.25">
      <c r="E1521" t="str">
        <f>""</f>
        <v/>
      </c>
      <c r="F1521" t="str">
        <f>""</f>
        <v/>
      </c>
      <c r="H1521" t="str">
        <f>"inv# 300530971"</f>
        <v>inv# 300530971</v>
      </c>
    </row>
    <row r="1522" spans="1:8" x14ac:dyDescent="0.25">
      <c r="E1522" t="str">
        <f>""</f>
        <v/>
      </c>
      <c r="F1522" t="str">
        <f>""</f>
        <v/>
      </c>
      <c r="H1522" t="str">
        <f>"inv# 300530998"</f>
        <v>inv# 300530998</v>
      </c>
    </row>
    <row r="1523" spans="1:8" x14ac:dyDescent="0.25">
      <c r="E1523" t="str">
        <f>""</f>
        <v/>
      </c>
      <c r="F1523" t="str">
        <f>""</f>
        <v/>
      </c>
      <c r="H1523" t="str">
        <f>"inv# 300536108"</f>
        <v>inv# 300536108</v>
      </c>
    </row>
    <row r="1524" spans="1:8" x14ac:dyDescent="0.25">
      <c r="E1524" t="str">
        <f>""</f>
        <v/>
      </c>
      <c r="F1524" t="str">
        <f>""</f>
        <v/>
      </c>
      <c r="H1524" t="str">
        <f>"inv# 300538134"</f>
        <v>inv# 300538134</v>
      </c>
    </row>
    <row r="1525" spans="1:8" x14ac:dyDescent="0.25">
      <c r="E1525" t="str">
        <f>""</f>
        <v/>
      </c>
      <c r="F1525" t="str">
        <f>""</f>
        <v/>
      </c>
      <c r="H1525" t="str">
        <f>"inv# 100585349"</f>
        <v>inv# 100585349</v>
      </c>
    </row>
    <row r="1526" spans="1:8" x14ac:dyDescent="0.25">
      <c r="E1526" t="str">
        <f>""</f>
        <v/>
      </c>
      <c r="F1526" t="str">
        <f>""</f>
        <v/>
      </c>
      <c r="H1526" t="str">
        <f>"inv# 200558674"</f>
        <v>inv# 200558674</v>
      </c>
    </row>
    <row r="1527" spans="1:8" x14ac:dyDescent="0.25">
      <c r="E1527" t="str">
        <f>""</f>
        <v/>
      </c>
      <c r="F1527" t="str">
        <f>""</f>
        <v/>
      </c>
      <c r="H1527" t="str">
        <f>"inv# 300531005"</f>
        <v>inv# 300531005</v>
      </c>
    </row>
    <row r="1528" spans="1:8" x14ac:dyDescent="0.25">
      <c r="E1528" t="str">
        <f>""</f>
        <v/>
      </c>
      <c r="F1528" t="str">
        <f>""</f>
        <v/>
      </c>
      <c r="H1528" t="str">
        <f>"inv# 300535892"</f>
        <v>inv# 300535892</v>
      </c>
    </row>
    <row r="1529" spans="1:8" x14ac:dyDescent="0.25">
      <c r="E1529" t="str">
        <f>""</f>
        <v/>
      </c>
      <c r="F1529" t="str">
        <f>""</f>
        <v/>
      </c>
      <c r="H1529" t="str">
        <f>"inv# 10099981"</f>
        <v>inv# 10099981</v>
      </c>
    </row>
    <row r="1530" spans="1:8" x14ac:dyDescent="0.25">
      <c r="E1530" t="str">
        <f>""</f>
        <v/>
      </c>
      <c r="F1530" t="str">
        <f>""</f>
        <v/>
      </c>
      <c r="H1530" t="str">
        <f>"inv# 100096088"</f>
        <v>inv# 100096088</v>
      </c>
    </row>
    <row r="1531" spans="1:8" x14ac:dyDescent="0.25">
      <c r="E1531" t="str">
        <f>""</f>
        <v/>
      </c>
      <c r="F1531" t="str">
        <f>""</f>
        <v/>
      </c>
      <c r="H1531" t="str">
        <f>"inv# 200558645"</f>
        <v>inv# 200558645</v>
      </c>
    </row>
    <row r="1532" spans="1:8" x14ac:dyDescent="0.25">
      <c r="E1532" t="str">
        <f>""</f>
        <v/>
      </c>
      <c r="F1532" t="str">
        <f>""</f>
        <v/>
      </c>
      <c r="H1532" t="str">
        <f>"inv# 300533065"</f>
        <v>inv# 300533065</v>
      </c>
    </row>
    <row r="1533" spans="1:8" x14ac:dyDescent="0.25">
      <c r="A1533" t="s">
        <v>407</v>
      </c>
      <c r="B1533">
        <v>82250</v>
      </c>
      <c r="C1533" s="2">
        <v>750</v>
      </c>
      <c r="D1533" s="1">
        <v>43598</v>
      </c>
      <c r="E1533" t="str">
        <f>"10383  03/13/19"</f>
        <v>10383  03/13/19</v>
      </c>
      <c r="F1533" t="str">
        <f>"SERVICE"</f>
        <v>SERVICE</v>
      </c>
      <c r="G1533" s="2">
        <v>75</v>
      </c>
      <c r="H1533" t="str">
        <f>"SERVICE"</f>
        <v>SERVICE</v>
      </c>
    </row>
    <row r="1534" spans="1:8" x14ac:dyDescent="0.25">
      <c r="E1534" t="str">
        <f>"12533"</f>
        <v>12533</v>
      </c>
      <c r="F1534" t="str">
        <f>"SERVICE"</f>
        <v>SERVICE</v>
      </c>
      <c r="G1534" s="2">
        <v>75</v>
      </c>
      <c r="H1534" t="str">
        <f>"SERVICE"</f>
        <v>SERVICE</v>
      </c>
    </row>
    <row r="1535" spans="1:8" x14ac:dyDescent="0.25">
      <c r="E1535" t="str">
        <f>"13040"</f>
        <v>13040</v>
      </c>
      <c r="F1535" t="str">
        <f>"SERVICE"</f>
        <v>SERVICE</v>
      </c>
      <c r="G1535" s="2">
        <v>75</v>
      </c>
      <c r="H1535" t="str">
        <f>"SERVICE"</f>
        <v>SERVICE</v>
      </c>
    </row>
    <row r="1536" spans="1:8" x14ac:dyDescent="0.25">
      <c r="E1536" t="str">
        <f>"13143"</f>
        <v>13143</v>
      </c>
      <c r="F1536" t="str">
        <f>"SERVICE"</f>
        <v>SERVICE</v>
      </c>
      <c r="G1536" s="2">
        <v>225</v>
      </c>
      <c r="H1536" t="str">
        <f>"SERVICE"</f>
        <v>SERVICE</v>
      </c>
    </row>
    <row r="1537" spans="1:8" x14ac:dyDescent="0.25">
      <c r="E1537" t="str">
        <f>"13161"</f>
        <v>13161</v>
      </c>
      <c r="F1537" t="str">
        <f>"SERVICE  03/01/19"</f>
        <v>SERVICE  03/01/19</v>
      </c>
      <c r="G1537" s="2">
        <v>225</v>
      </c>
      <c r="H1537" t="str">
        <f>"SERVICE  03/01/19"</f>
        <v>SERVICE  03/01/19</v>
      </c>
    </row>
    <row r="1538" spans="1:8" x14ac:dyDescent="0.25">
      <c r="E1538" t="str">
        <f>"13179"</f>
        <v>13179</v>
      </c>
      <c r="F1538" t="str">
        <f>"SERVICE"</f>
        <v>SERVICE</v>
      </c>
      <c r="G1538" s="2">
        <v>75</v>
      </c>
      <c r="H1538" t="str">
        <f>"SERVICE"</f>
        <v>SERVICE</v>
      </c>
    </row>
    <row r="1539" spans="1:8" x14ac:dyDescent="0.25">
      <c r="A1539" t="s">
        <v>408</v>
      </c>
      <c r="B1539">
        <v>82251</v>
      </c>
      <c r="C1539" s="2">
        <v>98.98</v>
      </c>
      <c r="D1539" s="1">
        <v>43598</v>
      </c>
      <c r="E1539" t="str">
        <f>"4521*98082*1"</f>
        <v>4521*98082*1</v>
      </c>
      <c r="F1539" t="str">
        <f>"JAIL MEDICAL"</f>
        <v>JAIL MEDICAL</v>
      </c>
      <c r="G1539" s="2">
        <v>98.98</v>
      </c>
      <c r="H1539" t="str">
        <f>"JAIL MEDICAL"</f>
        <v>JAIL MEDICAL</v>
      </c>
    </row>
    <row r="1540" spans="1:8" x14ac:dyDescent="0.25">
      <c r="A1540" t="s">
        <v>409</v>
      </c>
      <c r="B1540">
        <v>82252</v>
      </c>
      <c r="C1540" s="2">
        <v>8700</v>
      </c>
      <c r="D1540" s="1">
        <v>43598</v>
      </c>
      <c r="E1540" t="str">
        <f>"3300002226"</f>
        <v>3300002226</v>
      </c>
      <c r="F1540" t="str">
        <f>"CUST#100733/INV#3300002226"</f>
        <v>CUST#100733/INV#3300002226</v>
      </c>
      <c r="G1540" s="2">
        <v>5800</v>
      </c>
      <c r="H1540" t="str">
        <f>"CUST#100733/INV#3300002226"</f>
        <v>CUST#100733/INV#3300002226</v>
      </c>
    </row>
    <row r="1541" spans="1:8" x14ac:dyDescent="0.25">
      <c r="E1541" t="str">
        <f>"330002236"</f>
        <v>330002236</v>
      </c>
      <c r="F1541" t="str">
        <f>"CUST#100010/INV#3300002236"</f>
        <v>CUST#100010/INV#3300002236</v>
      </c>
      <c r="G1541" s="2">
        <v>2900</v>
      </c>
      <c r="H1541" t="str">
        <f>"CUST#100010/INV#3300002236"</f>
        <v>CUST#100010/INV#3300002236</v>
      </c>
    </row>
    <row r="1542" spans="1:8" x14ac:dyDescent="0.25">
      <c r="A1542" t="s">
        <v>410</v>
      </c>
      <c r="B1542">
        <v>82253</v>
      </c>
      <c r="C1542" s="2">
        <v>1742</v>
      </c>
      <c r="D1542" s="1">
        <v>43598</v>
      </c>
      <c r="E1542" t="str">
        <f>"5552"</f>
        <v>5552</v>
      </c>
      <c r="F1542" t="str">
        <f>"INV 5552"</f>
        <v>INV 5552</v>
      </c>
      <c r="G1542" s="2">
        <v>1742</v>
      </c>
      <c r="H1542" t="str">
        <f>"INV 5552"</f>
        <v>INV 5552</v>
      </c>
    </row>
    <row r="1543" spans="1:8" x14ac:dyDescent="0.25">
      <c r="A1543" t="s">
        <v>411</v>
      </c>
      <c r="B1543">
        <v>752</v>
      </c>
      <c r="C1543" s="2">
        <v>568.44000000000005</v>
      </c>
      <c r="D1543" s="1">
        <v>43599</v>
      </c>
      <c r="E1543" t="str">
        <f>"760444"</f>
        <v>760444</v>
      </c>
      <c r="F1543" t="str">
        <f>"INV 760444 / UNIT 4717"</f>
        <v>INV 760444 / UNIT 4717</v>
      </c>
      <c r="G1543" s="2">
        <v>568.44000000000005</v>
      </c>
      <c r="H1543" t="str">
        <f>"INV 760444 / UNIT 4717"</f>
        <v>INV 760444 / UNIT 4717</v>
      </c>
    </row>
    <row r="1544" spans="1:8" x14ac:dyDescent="0.25">
      <c r="A1544" t="s">
        <v>411</v>
      </c>
      <c r="B1544">
        <v>823</v>
      </c>
      <c r="C1544" s="2">
        <v>996.88</v>
      </c>
      <c r="D1544" s="1">
        <v>43614</v>
      </c>
      <c r="E1544" t="str">
        <f>"756021"</f>
        <v>756021</v>
      </c>
      <c r="F1544" t="str">
        <f>"INV 756021/ UNIT 6523"</f>
        <v>INV 756021/ UNIT 6523</v>
      </c>
      <c r="G1544" s="2">
        <v>142.11000000000001</v>
      </c>
      <c r="H1544" t="str">
        <f>"INV 756021"</f>
        <v>INV 756021</v>
      </c>
    </row>
    <row r="1545" spans="1:8" x14ac:dyDescent="0.25">
      <c r="E1545" t="str">
        <f>"757737"</f>
        <v>757737</v>
      </c>
      <c r="F1545" t="str">
        <f>"INV 757737 / unit 8944"</f>
        <v>INV 757737 / unit 8944</v>
      </c>
      <c r="G1545" s="2">
        <v>366.33</v>
      </c>
      <c r="H1545" t="str">
        <f>"INV 757737 /"</f>
        <v>INV 757737 /</v>
      </c>
    </row>
    <row r="1546" spans="1:8" x14ac:dyDescent="0.25">
      <c r="E1546" t="str">
        <f>"759450"</f>
        <v>759450</v>
      </c>
      <c r="F1546" t="str">
        <f>"INV 759450 / UNIT 77"</f>
        <v>INV 759450 / UNIT 77</v>
      </c>
      <c r="G1546" s="2">
        <v>488.44</v>
      </c>
      <c r="H1546" t="str">
        <f>"INV 759450 /"</f>
        <v>INV 759450 /</v>
      </c>
    </row>
    <row r="1547" spans="1:8" x14ac:dyDescent="0.25">
      <c r="A1547" t="s">
        <v>412</v>
      </c>
      <c r="B1547">
        <v>82254</v>
      </c>
      <c r="C1547" s="2">
        <v>1585</v>
      </c>
      <c r="D1547" s="1">
        <v>43598</v>
      </c>
      <c r="E1547" t="str">
        <f>"7317"</f>
        <v>7317</v>
      </c>
      <c r="F1547" t="str">
        <f>"2019 TRAVEL COLLEGE-F. HUNTER"</f>
        <v>2019 TRAVEL COLLEGE-F. HUNTER</v>
      </c>
      <c r="G1547" s="2">
        <v>850</v>
      </c>
      <c r="H1547" t="str">
        <f>"2019 TRAVEL COLLEGE-F. HUNTER"</f>
        <v>2019 TRAVEL COLLEGE-F. HUNTER</v>
      </c>
    </row>
    <row r="1548" spans="1:8" x14ac:dyDescent="0.25">
      <c r="E1548" t="str">
        <f>"7318"</f>
        <v>7318</v>
      </c>
      <c r="F1548" t="str">
        <f>"2019 SUMMIT REGIST-ADENA LEWIS"</f>
        <v>2019 SUMMIT REGIST-ADENA LEWIS</v>
      </c>
      <c r="G1548" s="2">
        <v>735</v>
      </c>
      <c r="H1548" t="str">
        <f>"2019 SUMMIT REGIST-ADENA LEWIS"</f>
        <v>2019 SUMMIT REGIST-ADENA LEWIS</v>
      </c>
    </row>
    <row r="1549" spans="1:8" x14ac:dyDescent="0.25">
      <c r="A1549" t="s">
        <v>413</v>
      </c>
      <c r="B1549">
        <v>809</v>
      </c>
      <c r="C1549" s="2">
        <v>500</v>
      </c>
      <c r="D1549" s="1">
        <v>43599</v>
      </c>
      <c r="E1549" t="str">
        <f>"201904248843"</f>
        <v>201904248843</v>
      </c>
      <c r="F1549" t="str">
        <f>"56 235"</f>
        <v>56 235</v>
      </c>
      <c r="G1549" s="2">
        <v>250</v>
      </c>
      <c r="H1549" t="str">
        <f>"56 235"</f>
        <v>56 235</v>
      </c>
    </row>
    <row r="1550" spans="1:8" x14ac:dyDescent="0.25">
      <c r="E1550" t="str">
        <f>"201904248845"</f>
        <v>201904248845</v>
      </c>
      <c r="F1550" t="str">
        <f>"55 644"</f>
        <v>55 644</v>
      </c>
      <c r="G1550" s="2">
        <v>250</v>
      </c>
      <c r="H1550" t="str">
        <f>"55 644"</f>
        <v>55 644</v>
      </c>
    </row>
    <row r="1551" spans="1:8" x14ac:dyDescent="0.25">
      <c r="A1551" t="s">
        <v>413</v>
      </c>
      <c r="B1551">
        <v>870</v>
      </c>
      <c r="C1551" s="2">
        <v>1600</v>
      </c>
      <c r="D1551" s="1">
        <v>43614</v>
      </c>
      <c r="E1551" t="str">
        <f>"201905209337"</f>
        <v>201905209337</v>
      </c>
      <c r="F1551" t="str">
        <f>"16 744"</f>
        <v>16 744</v>
      </c>
      <c r="G1551" s="2">
        <v>400</v>
      </c>
      <c r="H1551" t="str">
        <f>"16 744"</f>
        <v>16 744</v>
      </c>
    </row>
    <row r="1552" spans="1:8" x14ac:dyDescent="0.25">
      <c r="E1552" t="str">
        <f>"201905209338"</f>
        <v>201905209338</v>
      </c>
      <c r="F1552" t="str">
        <f>"407024.1"</f>
        <v>407024.1</v>
      </c>
      <c r="G1552" s="2">
        <v>400</v>
      </c>
      <c r="H1552" t="str">
        <f>"407024.1"</f>
        <v>407024.1</v>
      </c>
    </row>
    <row r="1553" spans="1:8" x14ac:dyDescent="0.25">
      <c r="E1553" t="str">
        <f>"201905209339"</f>
        <v>201905209339</v>
      </c>
      <c r="F1553" t="str">
        <f>"20180363"</f>
        <v>20180363</v>
      </c>
      <c r="G1553" s="2">
        <v>400</v>
      </c>
      <c r="H1553" t="str">
        <f>"20180363"</f>
        <v>20180363</v>
      </c>
    </row>
    <row r="1554" spans="1:8" x14ac:dyDescent="0.25">
      <c r="E1554" t="str">
        <f>"201905209340"</f>
        <v>201905209340</v>
      </c>
      <c r="F1554" t="str">
        <f>"1JP32318F"</f>
        <v>1JP32318F</v>
      </c>
      <c r="G1554" s="2">
        <v>400</v>
      </c>
      <c r="H1554" t="str">
        <f>"1JP32318F"</f>
        <v>1JP32318F</v>
      </c>
    </row>
    <row r="1555" spans="1:8" x14ac:dyDescent="0.25">
      <c r="A1555" t="s">
        <v>414</v>
      </c>
      <c r="B1555">
        <v>82255</v>
      </c>
      <c r="C1555" s="2">
        <v>180</v>
      </c>
      <c r="D1555" s="1">
        <v>43598</v>
      </c>
      <c r="E1555" t="str">
        <f>"201905089243"</f>
        <v>201905089243</v>
      </c>
      <c r="F1555" t="str">
        <f>"FERAL HOGS"</f>
        <v>FERAL HOGS</v>
      </c>
      <c r="G1555" s="2">
        <v>180</v>
      </c>
      <c r="H1555" t="str">
        <f>"FERAL HOGS"</f>
        <v>FERAL HOGS</v>
      </c>
    </row>
    <row r="1556" spans="1:8" x14ac:dyDescent="0.25">
      <c r="A1556" t="s">
        <v>415</v>
      </c>
      <c r="B1556">
        <v>82256</v>
      </c>
      <c r="C1556" s="2">
        <v>14483.15</v>
      </c>
      <c r="D1556" s="1">
        <v>43598</v>
      </c>
      <c r="E1556" t="str">
        <f>"025-256157"</f>
        <v>025-256157</v>
      </c>
      <c r="F1556" t="str">
        <f>"CUST#42161/ORD#106932"</f>
        <v>CUST#42161/ORD#106932</v>
      </c>
      <c r="G1556" s="2">
        <v>11323.15</v>
      </c>
      <c r="H1556" t="str">
        <f>"CUST#42161/ORD#106932"</f>
        <v>CUST#42161/ORD#106932</v>
      </c>
    </row>
    <row r="1557" spans="1:8" x14ac:dyDescent="0.25">
      <c r="E1557" t="str">
        <f>""</f>
        <v/>
      </c>
      <c r="F1557" t="str">
        <f>""</f>
        <v/>
      </c>
      <c r="H1557" t="str">
        <f>"CUST#42161/ORD#106932"</f>
        <v>CUST#42161/ORD#106932</v>
      </c>
    </row>
    <row r="1558" spans="1:8" x14ac:dyDescent="0.25">
      <c r="E1558" t="str">
        <f>"025-256158A"</f>
        <v>025-256158A</v>
      </c>
      <c r="F1558" t="str">
        <f>"CUST#42161/ORD#106933"</f>
        <v>CUST#42161/ORD#106933</v>
      </c>
      <c r="G1558" s="2">
        <v>3160</v>
      </c>
      <c r="H1558" t="str">
        <f>"CUST#42161/ORD#106933"</f>
        <v>CUST#42161/ORD#106933</v>
      </c>
    </row>
    <row r="1559" spans="1:8" x14ac:dyDescent="0.25">
      <c r="E1559" t="str">
        <f>""</f>
        <v/>
      </c>
      <c r="F1559" t="str">
        <f>""</f>
        <v/>
      </c>
      <c r="H1559" t="str">
        <f>"CUST#42161/ORD#106933"</f>
        <v>CUST#42161/ORD#106933</v>
      </c>
    </row>
    <row r="1560" spans="1:8" x14ac:dyDescent="0.25">
      <c r="A1560" t="s">
        <v>415</v>
      </c>
      <c r="B1560">
        <v>82422</v>
      </c>
      <c r="C1560" s="2">
        <v>1190.46</v>
      </c>
      <c r="D1560" s="1">
        <v>43613</v>
      </c>
      <c r="E1560" t="str">
        <f>"020-19374"</f>
        <v>020-19374</v>
      </c>
      <c r="F1560" t="str">
        <f>"CUST#42161/ORD#99606/DIST CLK"</f>
        <v>CUST#42161/ORD#99606/DIST CLK</v>
      </c>
      <c r="G1560" s="2">
        <v>1190.46</v>
      </c>
      <c r="H1560" t="str">
        <f>"CUST#42161/ORD#99606/DIST CLK"</f>
        <v>CUST#42161/ORD#99606/DIST CLK</v>
      </c>
    </row>
    <row r="1561" spans="1:8" x14ac:dyDescent="0.25">
      <c r="E1561" t="str">
        <f>""</f>
        <v/>
      </c>
      <c r="F1561" t="str">
        <f>""</f>
        <v/>
      </c>
      <c r="H1561" t="str">
        <f>"CUST#42161/ORD#99606/DIST CLK"</f>
        <v>CUST#42161/ORD#99606/DIST CLK</v>
      </c>
    </row>
    <row r="1562" spans="1:8" x14ac:dyDescent="0.25">
      <c r="A1562" t="s">
        <v>416</v>
      </c>
      <c r="B1562">
        <v>82423</v>
      </c>
      <c r="C1562" s="2">
        <v>2228.08</v>
      </c>
      <c r="D1562" s="1">
        <v>43613</v>
      </c>
      <c r="E1562" t="str">
        <f>"108452102"</f>
        <v>108452102</v>
      </c>
      <c r="F1562" t="str">
        <f>"inv# 108452102"</f>
        <v>inv# 108452102</v>
      </c>
      <c r="G1562" s="2">
        <v>951.54</v>
      </c>
      <c r="H1562" t="str">
        <f>"inv# 108452102"</f>
        <v>inv# 108452102</v>
      </c>
    </row>
    <row r="1563" spans="1:8" x14ac:dyDescent="0.25">
      <c r="E1563" t="str">
        <f>"108452216-7"</f>
        <v>108452216-7</v>
      </c>
      <c r="F1563" t="str">
        <f>"Type 1 barricades"</f>
        <v>Type 1 barricades</v>
      </c>
      <c r="G1563" s="2">
        <v>1276.54</v>
      </c>
      <c r="H1563" t="str">
        <f>"inv# 108452216"</f>
        <v>inv# 108452216</v>
      </c>
    </row>
    <row r="1564" spans="1:8" x14ac:dyDescent="0.25">
      <c r="E1564" t="str">
        <f>""</f>
        <v/>
      </c>
      <c r="F1564" t="str">
        <f>""</f>
        <v/>
      </c>
      <c r="H1564" t="str">
        <f>"Inv# 108452217"</f>
        <v>Inv# 108452217</v>
      </c>
    </row>
    <row r="1565" spans="1:8" x14ac:dyDescent="0.25">
      <c r="A1565" t="s">
        <v>417</v>
      </c>
      <c r="B1565">
        <v>746</v>
      </c>
      <c r="C1565" s="2">
        <v>739.89</v>
      </c>
      <c r="D1565" s="1">
        <v>43599</v>
      </c>
      <c r="E1565" t="str">
        <f>"201905089219"</f>
        <v>201905089219</v>
      </c>
      <c r="F1565" t="str">
        <f>"ACCT#38049/PARTS SALE/PCT#4"</f>
        <v>ACCT#38049/PARTS SALE/PCT#4</v>
      </c>
      <c r="G1565" s="2">
        <v>739.89</v>
      </c>
      <c r="H1565" t="str">
        <f>"ACCT#38049/PARTS SALE/PCT#4"</f>
        <v>ACCT#38049/PARTS SALE/PCT#4</v>
      </c>
    </row>
    <row r="1566" spans="1:8" x14ac:dyDescent="0.25">
      <c r="A1566" t="s">
        <v>417</v>
      </c>
      <c r="B1566">
        <v>818</v>
      </c>
      <c r="C1566" s="2">
        <v>223.26</v>
      </c>
      <c r="D1566" s="1">
        <v>43614</v>
      </c>
      <c r="E1566" t="str">
        <f>"10412848"</f>
        <v>10412848</v>
      </c>
      <c r="F1566" t="str">
        <f>"ACCT#38049/PCT#4"</f>
        <v>ACCT#38049/PCT#4</v>
      </c>
      <c r="G1566" s="2">
        <v>100.87</v>
      </c>
      <c r="H1566" t="str">
        <f>"ACCT#38049/PCT#4"</f>
        <v>ACCT#38049/PCT#4</v>
      </c>
    </row>
    <row r="1567" spans="1:8" x14ac:dyDescent="0.25">
      <c r="E1567" t="str">
        <f>"10414003"</f>
        <v>10414003</v>
      </c>
      <c r="F1567" t="str">
        <f>"ACCT#38049/SENSOR/PCT#4"</f>
        <v>ACCT#38049/SENSOR/PCT#4</v>
      </c>
      <c r="G1567" s="2">
        <v>122.39</v>
      </c>
      <c r="H1567" t="str">
        <f>"ACCT#38049/SENSOR/PCT#4"</f>
        <v>ACCT#38049/SENSOR/PCT#4</v>
      </c>
    </row>
    <row r="1568" spans="1:8" x14ac:dyDescent="0.25">
      <c r="A1568" t="s">
        <v>418</v>
      </c>
      <c r="B1568">
        <v>82257</v>
      </c>
      <c r="C1568" s="2">
        <v>171.71</v>
      </c>
      <c r="D1568" s="1">
        <v>43598</v>
      </c>
      <c r="E1568" t="str">
        <f>"67628063-00"</f>
        <v>67628063-00</v>
      </c>
      <c r="F1568" t="str">
        <f>"INV 67628063-00"</f>
        <v>INV 67628063-00</v>
      </c>
      <c r="G1568" s="2">
        <v>154.82</v>
      </c>
      <c r="H1568" t="str">
        <f>"INV 67628063-00"</f>
        <v>INV 67628063-00</v>
      </c>
    </row>
    <row r="1569" spans="1:8" x14ac:dyDescent="0.25">
      <c r="E1569" t="str">
        <f>"67769693-00"</f>
        <v>67769693-00</v>
      </c>
      <c r="F1569" t="str">
        <f>"INV 67769693-00"</f>
        <v>INV 67769693-00</v>
      </c>
      <c r="G1569" s="2">
        <v>16.89</v>
      </c>
      <c r="H1569" t="str">
        <f>"INV 67769693-00"</f>
        <v>INV 67769693-00</v>
      </c>
    </row>
    <row r="1570" spans="1:8" x14ac:dyDescent="0.25">
      <c r="A1570" t="s">
        <v>419</v>
      </c>
      <c r="B1570">
        <v>82258</v>
      </c>
      <c r="C1570" s="2">
        <v>32.92</v>
      </c>
      <c r="D1570" s="1">
        <v>43598</v>
      </c>
      <c r="E1570" t="str">
        <f>"000018VW63169"</f>
        <v>000018VW63169</v>
      </c>
      <c r="F1570" t="str">
        <f>"INV 000018VW63169"</f>
        <v>INV 000018VW63169</v>
      </c>
      <c r="G1570" s="2">
        <v>32.92</v>
      </c>
      <c r="H1570" t="str">
        <f>"INV 000018VW63169"</f>
        <v>INV 000018VW63169</v>
      </c>
    </row>
    <row r="1571" spans="1:8" x14ac:dyDescent="0.25">
      <c r="A1571" t="s">
        <v>420</v>
      </c>
      <c r="B1571">
        <v>82424</v>
      </c>
      <c r="C1571" s="2">
        <v>20</v>
      </c>
      <c r="D1571" s="1">
        <v>43613</v>
      </c>
      <c r="E1571" t="str">
        <f>"201905209344"</f>
        <v>201905209344</v>
      </c>
      <c r="F1571" t="str">
        <f>"'19 MBRSHIP DUES-TOMIKA NOWLIN"</f>
        <v>'19 MBRSHIP DUES-TOMIKA NOWLIN</v>
      </c>
      <c r="G1571" s="2">
        <v>20</v>
      </c>
      <c r="H1571" t="str">
        <f>"'19 MBRSHIP DUES-TOMIKA NOWLIN"</f>
        <v>'19 MBRSHIP DUES-TOMIKA NOWLIN</v>
      </c>
    </row>
    <row r="1572" spans="1:8" x14ac:dyDescent="0.25">
      <c r="A1572" t="s">
        <v>421</v>
      </c>
      <c r="B1572">
        <v>82425</v>
      </c>
      <c r="C1572" s="2">
        <v>565</v>
      </c>
      <c r="D1572" s="1">
        <v>43613</v>
      </c>
      <c r="E1572" t="str">
        <f>"201905179325"</f>
        <v>201905179325</v>
      </c>
      <c r="F1572" t="str">
        <f>"OSSF PERMIT FEE REFUND"</f>
        <v>OSSF PERMIT FEE REFUND</v>
      </c>
      <c r="G1572" s="2">
        <v>565</v>
      </c>
      <c r="H1572" t="str">
        <f>"OSSF PERMIT FEE REFUND"</f>
        <v>OSSF PERMIT FEE REFUND</v>
      </c>
    </row>
    <row r="1573" spans="1:8" x14ac:dyDescent="0.25">
      <c r="A1573" t="s">
        <v>422</v>
      </c>
      <c r="B1573">
        <v>82259</v>
      </c>
      <c r="C1573" s="2">
        <v>315.60000000000002</v>
      </c>
      <c r="D1573" s="1">
        <v>43598</v>
      </c>
      <c r="E1573" t="str">
        <f>"CI-VKG0018158"</f>
        <v>CI-VKG0018158</v>
      </c>
      <c r="F1573" t="str">
        <f>"CUST#1000768/ORD#SO1903188"</f>
        <v>CUST#1000768/ORD#SO1903188</v>
      </c>
      <c r="G1573" s="2">
        <v>315.60000000000002</v>
      </c>
      <c r="H1573" t="str">
        <f>"CUST#1000768/ORD#SO1903188"</f>
        <v>CUST#1000768/ORD#SO1903188</v>
      </c>
    </row>
    <row r="1574" spans="1:8" x14ac:dyDescent="0.25">
      <c r="A1574" t="s">
        <v>423</v>
      </c>
      <c r="B1574">
        <v>82426</v>
      </c>
      <c r="C1574" s="2">
        <v>120.78</v>
      </c>
      <c r="D1574" s="1">
        <v>43613</v>
      </c>
      <c r="E1574" t="str">
        <f>"2008252"</f>
        <v>2008252</v>
      </c>
      <c r="F1574" t="str">
        <f>"REMOTE BIRTH ACCESS-APRIL 2019"</f>
        <v>REMOTE BIRTH ACCESS-APRIL 2019</v>
      </c>
      <c r="G1574" s="2">
        <v>120.78</v>
      </c>
      <c r="H1574" t="str">
        <f>"REMOTE BIRTH ACCESS-APRIL 2019"</f>
        <v>REMOTE BIRTH ACCESS-APRIL 2019</v>
      </c>
    </row>
    <row r="1575" spans="1:8" x14ac:dyDescent="0.25">
      <c r="A1575" t="s">
        <v>424</v>
      </c>
      <c r="B1575">
        <v>82260</v>
      </c>
      <c r="C1575" s="2">
        <v>54280.23</v>
      </c>
      <c r="D1575" s="1">
        <v>43598</v>
      </c>
      <c r="E1575" t="str">
        <f>"201905089192"</f>
        <v>201905089192</v>
      </c>
      <c r="F1575" t="str">
        <f>"Inv# 869395921917"</f>
        <v>Inv# 869395921917</v>
      </c>
      <c r="G1575" s="2">
        <v>54280.23</v>
      </c>
      <c r="H1575" t="str">
        <f>"Fuel"</f>
        <v>Fuel</v>
      </c>
    </row>
    <row r="1576" spans="1:8" x14ac:dyDescent="0.25">
      <c r="E1576" t="str">
        <f>""</f>
        <v/>
      </c>
      <c r="F1576" t="str">
        <f>""</f>
        <v/>
      </c>
      <c r="H1576" t="str">
        <f>"Tax"</f>
        <v>Tax</v>
      </c>
    </row>
    <row r="1577" spans="1:8" x14ac:dyDescent="0.25">
      <c r="E1577" t="str">
        <f>""</f>
        <v/>
      </c>
      <c r="F1577" t="str">
        <f>""</f>
        <v/>
      </c>
      <c r="H1577" t="str">
        <f>"Fuel"</f>
        <v>Fuel</v>
      </c>
    </row>
    <row r="1578" spans="1:8" x14ac:dyDescent="0.25">
      <c r="E1578" t="str">
        <f>""</f>
        <v/>
      </c>
      <c r="F1578" t="str">
        <f>""</f>
        <v/>
      </c>
      <c r="H1578" t="str">
        <f>"Tax"</f>
        <v>Tax</v>
      </c>
    </row>
    <row r="1579" spans="1:8" x14ac:dyDescent="0.25">
      <c r="E1579" t="str">
        <f>""</f>
        <v/>
      </c>
      <c r="F1579" t="str">
        <f>""</f>
        <v/>
      </c>
      <c r="H1579" t="str">
        <f>"Fuel"</f>
        <v>Fuel</v>
      </c>
    </row>
    <row r="1580" spans="1:8" x14ac:dyDescent="0.25">
      <c r="E1580" t="str">
        <f>""</f>
        <v/>
      </c>
      <c r="F1580" t="str">
        <f>""</f>
        <v/>
      </c>
      <c r="H1580" t="str">
        <f>"tax"</f>
        <v>tax</v>
      </c>
    </row>
    <row r="1581" spans="1:8" x14ac:dyDescent="0.25">
      <c r="E1581" t="str">
        <f>""</f>
        <v/>
      </c>
      <c r="F1581" t="str">
        <f>""</f>
        <v/>
      </c>
      <c r="H1581" t="str">
        <f>"main"</f>
        <v>main</v>
      </c>
    </row>
    <row r="1582" spans="1:8" x14ac:dyDescent="0.25">
      <c r="E1582" t="str">
        <f>""</f>
        <v/>
      </c>
      <c r="F1582" t="str">
        <f>""</f>
        <v/>
      </c>
      <c r="H1582" t="str">
        <f>"Fuel"</f>
        <v>Fuel</v>
      </c>
    </row>
    <row r="1583" spans="1:8" x14ac:dyDescent="0.25">
      <c r="E1583" t="str">
        <f>""</f>
        <v/>
      </c>
      <c r="F1583" t="str">
        <f>""</f>
        <v/>
      </c>
      <c r="H1583" t="str">
        <f>"Tax"</f>
        <v>Tax</v>
      </c>
    </row>
    <row r="1584" spans="1:8" x14ac:dyDescent="0.25">
      <c r="E1584" t="str">
        <f>""</f>
        <v/>
      </c>
      <c r="F1584" t="str">
        <f>""</f>
        <v/>
      </c>
      <c r="H1584" t="str">
        <f>"Main"</f>
        <v>Main</v>
      </c>
    </row>
    <row r="1585" spans="1:9" x14ac:dyDescent="0.25">
      <c r="E1585" t="str">
        <f>""</f>
        <v/>
      </c>
      <c r="F1585" t="str">
        <f>""</f>
        <v/>
      </c>
      <c r="H1585" t="str">
        <f>"Fuel"</f>
        <v>Fuel</v>
      </c>
    </row>
    <row r="1586" spans="1:9" x14ac:dyDescent="0.25">
      <c r="E1586" t="str">
        <f>""</f>
        <v/>
      </c>
      <c r="F1586" t="str">
        <f>""</f>
        <v/>
      </c>
      <c r="H1586" t="str">
        <f>"Tax"</f>
        <v>Tax</v>
      </c>
    </row>
    <row r="1587" spans="1:9" x14ac:dyDescent="0.25">
      <c r="E1587" t="str">
        <f>""</f>
        <v/>
      </c>
      <c r="F1587" t="str">
        <f>""</f>
        <v/>
      </c>
      <c r="H1587" t="str">
        <f>"Main"</f>
        <v>Main</v>
      </c>
    </row>
    <row r="1588" spans="1:9" x14ac:dyDescent="0.25">
      <c r="E1588" t="str">
        <f>""</f>
        <v/>
      </c>
      <c r="F1588" t="str">
        <f>""</f>
        <v/>
      </c>
      <c r="H1588" t="str">
        <f>"Fuel"</f>
        <v>Fuel</v>
      </c>
    </row>
    <row r="1589" spans="1:9" x14ac:dyDescent="0.25">
      <c r="E1589" t="str">
        <f>""</f>
        <v/>
      </c>
      <c r="F1589" t="str">
        <f>""</f>
        <v/>
      </c>
      <c r="H1589" t="str">
        <f>"Tax"</f>
        <v>Tax</v>
      </c>
    </row>
    <row r="1590" spans="1:9" x14ac:dyDescent="0.25">
      <c r="E1590" t="str">
        <f>""</f>
        <v/>
      </c>
      <c r="F1590" t="str">
        <f>""</f>
        <v/>
      </c>
      <c r="H1590" t="str">
        <f>"main"</f>
        <v>main</v>
      </c>
    </row>
    <row r="1591" spans="1:9" x14ac:dyDescent="0.25">
      <c r="E1591" t="str">
        <f>""</f>
        <v/>
      </c>
      <c r="F1591" t="str">
        <f>""</f>
        <v/>
      </c>
      <c r="H1591" t="str">
        <f>"Fuel"</f>
        <v>Fuel</v>
      </c>
    </row>
    <row r="1592" spans="1:9" x14ac:dyDescent="0.25">
      <c r="E1592" t="str">
        <f>""</f>
        <v/>
      </c>
      <c r="F1592" t="str">
        <f>""</f>
        <v/>
      </c>
      <c r="H1592" t="str">
        <f>"tax"</f>
        <v>tax</v>
      </c>
    </row>
    <row r="1593" spans="1:9" x14ac:dyDescent="0.25">
      <c r="E1593" t="str">
        <f>""</f>
        <v/>
      </c>
      <c r="F1593" t="str">
        <f>""</f>
        <v/>
      </c>
      <c r="H1593" t="str">
        <f>"Fuel"</f>
        <v>Fuel</v>
      </c>
    </row>
    <row r="1594" spans="1:9" x14ac:dyDescent="0.25">
      <c r="E1594" t="str">
        <f>""</f>
        <v/>
      </c>
      <c r="F1594" t="str">
        <f>""</f>
        <v/>
      </c>
      <c r="H1594" t="str">
        <f>"Tax"</f>
        <v>Tax</v>
      </c>
    </row>
    <row r="1595" spans="1:9" x14ac:dyDescent="0.25">
      <c r="E1595" t="str">
        <f>""</f>
        <v/>
      </c>
      <c r="F1595" t="str">
        <f>""</f>
        <v/>
      </c>
      <c r="H1595" t="str">
        <f>"Main"</f>
        <v>Main</v>
      </c>
    </row>
    <row r="1596" spans="1:9" x14ac:dyDescent="0.25">
      <c r="E1596" t="str">
        <f>""</f>
        <v/>
      </c>
      <c r="F1596" t="str">
        <f>""</f>
        <v/>
      </c>
      <c r="H1596" t="str">
        <f>"Main"</f>
        <v>Main</v>
      </c>
    </row>
    <row r="1597" spans="1:9" x14ac:dyDescent="0.25">
      <c r="E1597" t="str">
        <f>""</f>
        <v/>
      </c>
      <c r="F1597" t="str">
        <f>""</f>
        <v/>
      </c>
      <c r="H1597" t="str">
        <f>"main"</f>
        <v>main</v>
      </c>
    </row>
    <row r="1598" spans="1:9" x14ac:dyDescent="0.25">
      <c r="A1598" t="s">
        <v>425</v>
      </c>
      <c r="B1598">
        <v>82261</v>
      </c>
      <c r="C1598" s="2">
        <v>12.5</v>
      </c>
      <c r="D1598" s="1">
        <v>43598</v>
      </c>
      <c r="E1598" t="s">
        <v>116</v>
      </c>
      <c r="F1598" t="s">
        <v>426</v>
      </c>
      <c r="G1598" s="2" t="str">
        <f>"RESTITUTION-ERNESTO F. RAMON"</f>
        <v>RESTITUTION-ERNESTO F. RAMON</v>
      </c>
      <c r="H1598" t="str">
        <f>"210-0000"</f>
        <v>210-0000</v>
      </c>
      <c r="I1598" t="str">
        <f>""</f>
        <v/>
      </c>
    </row>
    <row r="1599" spans="1:9" x14ac:dyDescent="0.25">
      <c r="A1599" t="s">
        <v>427</v>
      </c>
      <c r="B1599">
        <v>756</v>
      </c>
      <c r="C1599" s="2">
        <v>2641.76</v>
      </c>
      <c r="D1599" s="1">
        <v>43599</v>
      </c>
      <c r="E1599" t="str">
        <f>"16622"</f>
        <v>16622</v>
      </c>
      <c r="F1599" t="str">
        <f>"COLD MIX/FREIGHT"</f>
        <v>COLD MIX/FREIGHT</v>
      </c>
      <c r="G1599" s="2">
        <v>2641.76</v>
      </c>
      <c r="H1599" t="str">
        <f>"COLD MIX/FREIGHT"</f>
        <v>COLD MIX/FREIGHT</v>
      </c>
    </row>
    <row r="1600" spans="1:9" x14ac:dyDescent="0.25">
      <c r="A1600" t="s">
        <v>427</v>
      </c>
      <c r="B1600">
        <v>827</v>
      </c>
      <c r="C1600" s="2">
        <v>10496.12</v>
      </c>
      <c r="D1600" s="1">
        <v>43614</v>
      </c>
      <c r="E1600" t="str">
        <f>"16644"</f>
        <v>16644</v>
      </c>
      <c r="F1600" t="str">
        <f>"COLD MIX/FREIGHT/PCT#4"</f>
        <v>COLD MIX/FREIGHT/PCT#4</v>
      </c>
      <c r="G1600" s="2">
        <v>2583</v>
      </c>
      <c r="H1600" t="str">
        <f>"COLD MIX/FREIGHT/PCT#4"</f>
        <v>COLD MIX/FREIGHT/PCT#4</v>
      </c>
    </row>
    <row r="1601" spans="1:8" x14ac:dyDescent="0.25">
      <c r="E1601" t="str">
        <f>"16653"</f>
        <v>16653</v>
      </c>
      <c r="F1601" t="str">
        <f>"COLD MIX/FREIGHT/PCT#3"</f>
        <v>COLD MIX/FREIGHT/PCT#3</v>
      </c>
      <c r="G1601" s="2">
        <v>2710.08</v>
      </c>
      <c r="H1601" t="str">
        <f>"COLD MIX/FREIGHT/PCT#3"</f>
        <v>COLD MIX/FREIGHT/PCT#3</v>
      </c>
    </row>
    <row r="1602" spans="1:8" x14ac:dyDescent="0.25">
      <c r="E1602" t="str">
        <f>"16672"</f>
        <v>16672</v>
      </c>
      <c r="F1602" t="str">
        <f>"COLD MIX/FREIGHT/PCT#1"</f>
        <v>COLD MIX/FREIGHT/PCT#1</v>
      </c>
      <c r="G1602" s="2">
        <v>2631.31</v>
      </c>
      <c r="H1602" t="str">
        <f>"COLD MIX/FREIGHT/PCT#1"</f>
        <v>COLD MIX/FREIGHT/PCT#1</v>
      </c>
    </row>
    <row r="1603" spans="1:8" x14ac:dyDescent="0.25">
      <c r="E1603" t="str">
        <f>"16684"</f>
        <v>16684</v>
      </c>
      <c r="F1603" t="str">
        <f>"COLD MIX/FREIGHT/PCT#4"</f>
        <v>COLD MIX/FREIGHT/PCT#4</v>
      </c>
      <c r="G1603" s="2">
        <v>2571.73</v>
      </c>
      <c r="H1603" t="str">
        <f>"COLD MIX/FREIGHT/PCT#4"</f>
        <v>COLD MIX/FREIGHT/PCT#4</v>
      </c>
    </row>
    <row r="1604" spans="1:8" x14ac:dyDescent="0.25">
      <c r="A1604" t="s">
        <v>428</v>
      </c>
      <c r="B1604">
        <v>82262</v>
      </c>
      <c r="C1604" s="2">
        <v>168.22</v>
      </c>
      <c r="D1604" s="1">
        <v>43598</v>
      </c>
      <c r="E1604" t="str">
        <f>"006043  003401"</f>
        <v>006043  003401</v>
      </c>
      <c r="F1604" t="str">
        <f>"acct# 603220200531"</f>
        <v>acct# 603220200531</v>
      </c>
      <c r="G1604" s="2">
        <v>168.22</v>
      </c>
      <c r="H1604" t="str">
        <f>"Inv# 006043"</f>
        <v>Inv# 006043</v>
      </c>
    </row>
    <row r="1605" spans="1:8" x14ac:dyDescent="0.25">
      <c r="E1605" t="str">
        <f>""</f>
        <v/>
      </c>
      <c r="F1605" t="str">
        <f>""</f>
        <v/>
      </c>
      <c r="H1605" t="str">
        <f>"inv# 003401"</f>
        <v>inv# 003401</v>
      </c>
    </row>
    <row r="1606" spans="1:8" x14ac:dyDescent="0.25">
      <c r="A1606" t="s">
        <v>429</v>
      </c>
      <c r="B1606">
        <v>861</v>
      </c>
      <c r="C1606" s="2">
        <v>432</v>
      </c>
      <c r="D1606" s="1">
        <v>43614</v>
      </c>
      <c r="E1606" t="str">
        <f>"SCAUS0059907"</f>
        <v>SCAUS0059907</v>
      </c>
      <c r="F1606" t="str">
        <f>"CUST ID:BASPR3/PCT#3"</f>
        <v>CUST ID:BASPR3/PCT#3</v>
      </c>
      <c r="G1606" s="2">
        <v>432</v>
      </c>
      <c r="H1606" t="str">
        <f>"CUST ID:BASPR3/PCT#3"</f>
        <v>CUST ID:BASPR3/PCT#3</v>
      </c>
    </row>
    <row r="1607" spans="1:8" x14ac:dyDescent="0.25">
      <c r="A1607" t="s">
        <v>430</v>
      </c>
      <c r="B1607">
        <v>82044</v>
      </c>
      <c r="C1607" s="2">
        <v>18144.650000000001</v>
      </c>
      <c r="D1607" s="1">
        <v>43587</v>
      </c>
      <c r="E1607" t="str">
        <f>"9862376"</f>
        <v>9862376</v>
      </c>
      <c r="F1607" t="str">
        <f>"ACCT#5150-005117630 / 05012019"</f>
        <v>ACCT#5150-005117630 / 05012019</v>
      </c>
      <c r="G1607" s="2">
        <v>250.29</v>
      </c>
      <c r="H1607" t="str">
        <f>"ACCT#5150-005117630 / 05012019"</f>
        <v>ACCT#5150-005117630 / 05012019</v>
      </c>
    </row>
    <row r="1608" spans="1:8" x14ac:dyDescent="0.25">
      <c r="E1608" t="str">
        <f>"9862383"</f>
        <v>9862383</v>
      </c>
      <c r="F1608" t="str">
        <f>"ACCT#5150-005117766 / 05012019"</f>
        <v>ACCT#5150-005117766 / 05012019</v>
      </c>
      <c r="G1608" s="2">
        <v>109.87</v>
      </c>
      <c r="H1608" t="str">
        <f>"ACCT#5150-005117766 / 05012019"</f>
        <v>ACCT#5150-005117766 / 05012019</v>
      </c>
    </row>
    <row r="1609" spans="1:8" x14ac:dyDescent="0.25">
      <c r="E1609" t="str">
        <f>"9862387"</f>
        <v>9862387</v>
      </c>
      <c r="F1609" t="str">
        <f>"ACCT#5150-005117838 / 05012019"</f>
        <v>ACCT#5150-005117838 / 05012019</v>
      </c>
      <c r="G1609" s="2">
        <v>101.68</v>
      </c>
      <c r="H1609" t="str">
        <f>"ACCT#5150-005117838 / 05012019"</f>
        <v>ACCT#5150-005117838 / 05012019</v>
      </c>
    </row>
    <row r="1610" spans="1:8" x14ac:dyDescent="0.25">
      <c r="E1610" t="str">
        <f>"9862389"</f>
        <v>9862389</v>
      </c>
      <c r="F1610" t="str">
        <f>"ACCT#5150-005117882 / 05012019"</f>
        <v>ACCT#5150-005117882 / 05012019</v>
      </c>
      <c r="G1610" s="2">
        <v>137.32</v>
      </c>
      <c r="H1610" t="str">
        <f>"ACCT#5150-005117882 / 05012019"</f>
        <v>ACCT#5150-005117882 / 05012019</v>
      </c>
    </row>
    <row r="1611" spans="1:8" x14ac:dyDescent="0.25">
      <c r="E1611" t="str">
        <f>"9862397"</f>
        <v>9862397</v>
      </c>
      <c r="F1611" t="str">
        <f>"ACCT#5150-005118183 / 05012019"</f>
        <v>ACCT#5150-005118183 / 05012019</v>
      </c>
      <c r="G1611" s="2">
        <v>589.49</v>
      </c>
      <c r="H1611" t="str">
        <f>"ACCT#5150-005118183 / 05012019"</f>
        <v>ACCT#5150-005118183 / 05012019</v>
      </c>
    </row>
    <row r="1612" spans="1:8" x14ac:dyDescent="0.25">
      <c r="E1612" t="str">
        <f>"9862473"</f>
        <v>9862473</v>
      </c>
      <c r="F1612" t="str">
        <f>"ACCT#5150-005129483 / 05012019"</f>
        <v>ACCT#5150-005129483 / 05012019</v>
      </c>
      <c r="G1612" s="2">
        <v>16956</v>
      </c>
      <c r="H1612" t="str">
        <f>"ACCT#5150-005129483 / 05012019"</f>
        <v>ACCT#5150-005129483 / 05012019</v>
      </c>
    </row>
    <row r="1613" spans="1:8" x14ac:dyDescent="0.25">
      <c r="A1613" t="s">
        <v>430</v>
      </c>
      <c r="B1613">
        <v>82263</v>
      </c>
      <c r="C1613" s="2">
        <v>1575</v>
      </c>
      <c r="D1613" s="1">
        <v>43598</v>
      </c>
      <c r="E1613" t="str">
        <f>"9862529"</f>
        <v>9862529</v>
      </c>
      <c r="F1613" t="str">
        <f>"ACCT#5150-005135333"</f>
        <v>ACCT#5150-005135333</v>
      </c>
      <c r="G1613" s="2">
        <v>1575</v>
      </c>
      <c r="H1613" t="str">
        <f>"ACCT#5150-005135333"</f>
        <v>ACCT#5150-005135333</v>
      </c>
    </row>
    <row r="1614" spans="1:8" x14ac:dyDescent="0.25">
      <c r="A1614" t="s">
        <v>431</v>
      </c>
      <c r="B1614">
        <v>82264</v>
      </c>
      <c r="C1614" s="2">
        <v>5112.32</v>
      </c>
      <c r="D1614" s="1">
        <v>43598</v>
      </c>
      <c r="E1614" t="str">
        <f>"0019226-2161-8"</f>
        <v>0019226-2161-8</v>
      </c>
      <c r="F1614" t="str">
        <f>"CUST ID:2-57060-55062/PCT#4"</f>
        <v>CUST ID:2-57060-55062/PCT#4</v>
      </c>
      <c r="G1614" s="2">
        <v>5002.3999999999996</v>
      </c>
      <c r="H1614" t="str">
        <f>"CUST ID:2-57060-55062/PCT#4"</f>
        <v>CUST ID:2-57060-55062/PCT#4</v>
      </c>
    </row>
    <row r="1615" spans="1:8" x14ac:dyDescent="0.25">
      <c r="E1615" t="str">
        <f>"0038462-2162-4"</f>
        <v>0038462-2162-4</v>
      </c>
      <c r="F1615" t="str">
        <f>"CUST ID:16-27603-83003/ANIMAL"</f>
        <v>CUST ID:16-27603-83003/ANIMAL</v>
      </c>
      <c r="G1615" s="2">
        <v>109.92</v>
      </c>
      <c r="H1615" t="str">
        <f>"CUST ID:16-27603-83003/ANIMAL"</f>
        <v>CUST ID:16-27603-83003/ANIMAL</v>
      </c>
    </row>
    <row r="1616" spans="1:8" x14ac:dyDescent="0.25">
      <c r="A1616" t="s">
        <v>432</v>
      </c>
      <c r="B1616">
        <v>82265</v>
      </c>
      <c r="C1616" s="2">
        <v>34287.74</v>
      </c>
      <c r="D1616" s="1">
        <v>43598</v>
      </c>
      <c r="E1616" t="str">
        <f>"WARNINV003233"</f>
        <v>WARNINV003233</v>
      </c>
      <c r="F1616" t="str">
        <f>"WATCH GUARD VIDEO"</f>
        <v>WATCH GUARD VIDEO</v>
      </c>
      <c r="G1616" s="2">
        <v>34287.74</v>
      </c>
      <c r="H1616" t="str">
        <f>"WAR-VIS-CAM-2ND"</f>
        <v>WAR-VIS-CAM-2ND</v>
      </c>
    </row>
    <row r="1617" spans="1:8" x14ac:dyDescent="0.25">
      <c r="E1617" t="str">
        <f>""</f>
        <v/>
      </c>
      <c r="F1617" t="str">
        <f>""</f>
        <v/>
      </c>
      <c r="H1617" t="str">
        <f>"WAR-4RE-CAR-3RD"</f>
        <v>WAR-4RE-CAR-3RD</v>
      </c>
    </row>
    <row r="1618" spans="1:8" x14ac:dyDescent="0.25">
      <c r="E1618" t="str">
        <f>""</f>
        <v/>
      </c>
      <c r="F1618" t="str">
        <f>""</f>
        <v/>
      </c>
      <c r="H1618" t="str">
        <f>"WAR-VIS-CAM-2ND"</f>
        <v>WAR-VIS-CAM-2ND</v>
      </c>
    </row>
    <row r="1619" spans="1:8" x14ac:dyDescent="0.25">
      <c r="E1619" t="str">
        <f>""</f>
        <v/>
      </c>
      <c r="F1619" t="str">
        <f>""</f>
        <v/>
      </c>
      <c r="H1619" t="str">
        <f>"SFW-MNT-EL4-ADD"</f>
        <v>SFW-MNT-EL4-ADD</v>
      </c>
    </row>
    <row r="1620" spans="1:8" x14ac:dyDescent="0.25">
      <c r="E1620" t="str">
        <f>""</f>
        <v/>
      </c>
      <c r="F1620" t="str">
        <f>""</f>
        <v/>
      </c>
      <c r="H1620" t="str">
        <f>"SFW-MNT-EL4-002"</f>
        <v>SFW-MNT-EL4-002</v>
      </c>
    </row>
    <row r="1621" spans="1:8" x14ac:dyDescent="0.25">
      <c r="E1621" t="str">
        <f>""</f>
        <v/>
      </c>
      <c r="F1621" t="str">
        <f>""</f>
        <v/>
      </c>
      <c r="H1621" t="str">
        <f>"WAR-4RE-CAR-2ND"</f>
        <v>WAR-4RE-CAR-2ND</v>
      </c>
    </row>
    <row r="1622" spans="1:8" x14ac:dyDescent="0.25">
      <c r="E1622" t="str">
        <f>""</f>
        <v/>
      </c>
      <c r="F1622" t="str">
        <f>""</f>
        <v/>
      </c>
      <c r="H1622" t="str">
        <f>"WAR-4RE-CAR-2ND"</f>
        <v>WAR-4RE-CAR-2ND</v>
      </c>
    </row>
    <row r="1623" spans="1:8" x14ac:dyDescent="0.25">
      <c r="A1623" t="s">
        <v>433</v>
      </c>
      <c r="B1623">
        <v>766</v>
      </c>
      <c r="C1623" s="2">
        <v>107.8</v>
      </c>
      <c r="D1623" s="1">
        <v>43599</v>
      </c>
      <c r="E1623" t="str">
        <f>"3730"</f>
        <v>3730</v>
      </c>
      <c r="F1623" t="str">
        <f>"EMB SVC/PCT#3"</f>
        <v>EMB SVC/PCT#3</v>
      </c>
      <c r="G1623" s="2">
        <v>107.8</v>
      </c>
      <c r="H1623" t="str">
        <f>"EMB SVC/PCT#3"</f>
        <v>EMB SVC/PCT#3</v>
      </c>
    </row>
    <row r="1624" spans="1:8" x14ac:dyDescent="0.25">
      <c r="A1624" t="s">
        <v>434</v>
      </c>
      <c r="B1624">
        <v>761</v>
      </c>
      <c r="C1624" s="2">
        <v>10551.03</v>
      </c>
      <c r="D1624" s="1">
        <v>43599</v>
      </c>
      <c r="E1624" t="str">
        <f>"22253"</f>
        <v>22253</v>
      </c>
      <c r="F1624" t="str">
        <f>"INV 22253"</f>
        <v>INV 22253</v>
      </c>
      <c r="G1624" s="2">
        <v>10551.03</v>
      </c>
      <c r="H1624" t="str">
        <f>"INV 22253"</f>
        <v>INV 22253</v>
      </c>
    </row>
    <row r="1625" spans="1:8" x14ac:dyDescent="0.25">
      <c r="A1625" t="s">
        <v>434</v>
      </c>
      <c r="B1625">
        <v>830</v>
      </c>
      <c r="C1625" s="2">
        <v>3603.39</v>
      </c>
      <c r="D1625" s="1">
        <v>43614</v>
      </c>
      <c r="E1625" t="str">
        <f>"22373"</f>
        <v>22373</v>
      </c>
      <c r="F1625" t="str">
        <f>"INV 22373"</f>
        <v>INV 22373</v>
      </c>
      <c r="G1625" s="2">
        <v>3603.39</v>
      </c>
      <c r="H1625" t="str">
        <f>"INV 22373"</f>
        <v>INV 22373</v>
      </c>
    </row>
    <row r="1626" spans="1:8" x14ac:dyDescent="0.25">
      <c r="A1626" t="s">
        <v>435</v>
      </c>
      <c r="B1626">
        <v>82427</v>
      </c>
      <c r="C1626" s="2">
        <v>150</v>
      </c>
      <c r="D1626" s="1">
        <v>43613</v>
      </c>
      <c r="E1626" t="str">
        <f>"201905179327"</f>
        <v>201905179327</v>
      </c>
      <c r="F1626" t="str">
        <f>"REFUND FOR MOBILE FOOD PERMIT"</f>
        <v>REFUND FOR MOBILE FOOD PERMIT</v>
      </c>
      <c r="G1626" s="2">
        <v>150</v>
      </c>
      <c r="H1626" t="str">
        <f>"REFUND FOR MOBILE FOOD PERMIT"</f>
        <v>REFUND FOR MOBILE FOOD PERMIT</v>
      </c>
    </row>
    <row r="1627" spans="1:8" x14ac:dyDescent="0.25">
      <c r="A1627" t="s">
        <v>436</v>
      </c>
      <c r="B1627">
        <v>82266</v>
      </c>
      <c r="C1627" s="2">
        <v>70</v>
      </c>
      <c r="D1627" s="1">
        <v>43598</v>
      </c>
      <c r="E1627" t="str">
        <f>"12533"</f>
        <v>12533</v>
      </c>
      <c r="F1627" t="str">
        <f>"SERVICE"</f>
        <v>SERVICE</v>
      </c>
      <c r="G1627" s="2">
        <v>70</v>
      </c>
      <c r="H1627" t="str">
        <f>"SERVICE"</f>
        <v>SERVICE</v>
      </c>
    </row>
    <row r="1628" spans="1:8" x14ac:dyDescent="0.25">
      <c r="A1628" t="s">
        <v>437</v>
      </c>
      <c r="B1628">
        <v>82267</v>
      </c>
      <c r="C1628" s="2">
        <v>58713.32</v>
      </c>
      <c r="D1628" s="1">
        <v>43598</v>
      </c>
      <c r="E1628" t="str">
        <f>"1405"</f>
        <v>1405</v>
      </c>
      <c r="F1628" t="str">
        <f>"EXCAVATOR/BACK HOE/PCT#2"</f>
        <v>EXCAVATOR/BACK HOE/PCT#2</v>
      </c>
      <c r="G1628" s="2">
        <v>3420</v>
      </c>
      <c r="H1628" t="str">
        <f>"EXCAVATOR/BACK HOE/PCT#2"</f>
        <v>EXCAVATOR/BACK HOE/PCT#2</v>
      </c>
    </row>
    <row r="1629" spans="1:8" x14ac:dyDescent="0.25">
      <c r="E1629" t="str">
        <f>"1409"</f>
        <v>1409</v>
      </c>
      <c r="F1629" t="str">
        <f>"CLAY FILL/TOP SOIL/PCT#2"</f>
        <v>CLAY FILL/TOP SOIL/PCT#2</v>
      </c>
      <c r="G1629" s="2">
        <v>53960</v>
      </c>
      <c r="H1629" t="str">
        <f>"CLAY FILL/TOP SOIL/PCT#2"</f>
        <v>CLAY FILL/TOP SOIL/PCT#2</v>
      </c>
    </row>
    <row r="1630" spans="1:8" x14ac:dyDescent="0.25">
      <c r="E1630" t="str">
        <f>"1410"</f>
        <v>1410</v>
      </c>
      <c r="F1630" t="str">
        <f>"EROSION MAT/PCT#2"</f>
        <v>EROSION MAT/PCT#2</v>
      </c>
      <c r="G1630" s="2">
        <v>1333.32</v>
      </c>
      <c r="H1630" t="str">
        <f>"EROSION MAT/PCT#2"</f>
        <v>EROSION MAT/PCT#2</v>
      </c>
    </row>
    <row r="1631" spans="1:8" x14ac:dyDescent="0.25">
      <c r="A1631" t="s">
        <v>438</v>
      </c>
      <c r="B1631">
        <v>82268</v>
      </c>
      <c r="C1631" s="2">
        <v>411.03</v>
      </c>
      <c r="D1631" s="1">
        <v>43598</v>
      </c>
      <c r="E1631" t="str">
        <f>"4132941"</f>
        <v>4132941</v>
      </c>
      <c r="F1631" t="str">
        <f>"INV 4132941"</f>
        <v>INV 4132941</v>
      </c>
      <c r="G1631" s="2">
        <v>411.03</v>
      </c>
      <c r="H1631" t="str">
        <f>"INV 4132941"</f>
        <v>INV 4132941</v>
      </c>
    </row>
    <row r="1632" spans="1:8" x14ac:dyDescent="0.25">
      <c r="A1632" t="s">
        <v>439</v>
      </c>
      <c r="B1632">
        <v>810</v>
      </c>
      <c r="C1632" s="2">
        <v>184.43</v>
      </c>
      <c r="D1632" s="1">
        <v>43599</v>
      </c>
      <c r="E1632" t="str">
        <f>"096790681"</f>
        <v>096790681</v>
      </c>
      <c r="F1632" t="str">
        <f>"CUST#662445931/REF#VTX00000X"</f>
        <v>CUST#662445931/REF#VTX00000X</v>
      </c>
      <c r="G1632" s="2">
        <v>106.45</v>
      </c>
      <c r="H1632" t="str">
        <f>"CUST#662445931/REF#VTX00000X"</f>
        <v>CUST#662445931/REF#VTX00000X</v>
      </c>
    </row>
    <row r="1633" spans="1:9" x14ac:dyDescent="0.25">
      <c r="E1633" t="str">
        <f>"096790682"</f>
        <v>096790682</v>
      </c>
      <c r="F1633" t="str">
        <f>"CUST#662445931/REF#VTX00000X"</f>
        <v>CUST#662445931/REF#VTX00000X</v>
      </c>
      <c r="G1633" s="2">
        <v>38.99</v>
      </c>
      <c r="H1633" t="str">
        <f>"CUST#662445931/REF#VTX00000X"</f>
        <v>CUST#662445931/REF#VTX00000X</v>
      </c>
    </row>
    <row r="1634" spans="1:9" x14ac:dyDescent="0.25">
      <c r="E1634" t="str">
        <f>"096790692"</f>
        <v>096790692</v>
      </c>
      <c r="F1634" t="str">
        <f>"CUST#723230843/REF#VTX00000X"</f>
        <v>CUST#723230843/REF#VTX00000X</v>
      </c>
      <c r="G1634" s="2">
        <v>38.99</v>
      </c>
      <c r="H1634" t="str">
        <f>"CUST#723230843/REF#VTX00000X"</f>
        <v>CUST#723230843/REF#VTX00000X</v>
      </c>
    </row>
    <row r="1635" spans="1:9" x14ac:dyDescent="0.25">
      <c r="A1635" t="s">
        <v>439</v>
      </c>
      <c r="B1635">
        <v>82428</v>
      </c>
      <c r="C1635" s="2">
        <v>201.64</v>
      </c>
      <c r="D1635" s="1">
        <v>43613</v>
      </c>
      <c r="E1635" t="str">
        <f>"1622963"</f>
        <v>1622963</v>
      </c>
      <c r="F1635" t="str">
        <f>"CONTRACT#010-0095885-001 - MAY"</f>
        <v>CONTRACT#010-0095885-001 - MAY</v>
      </c>
      <c r="G1635" s="2">
        <v>201.64</v>
      </c>
      <c r="H1635" t="str">
        <f>"CONTRACT#010-0095885-001 - MAY"</f>
        <v>CONTRACT#010-0095885-001 - MAY</v>
      </c>
    </row>
    <row r="1636" spans="1:9" x14ac:dyDescent="0.25">
      <c r="A1636" t="s">
        <v>440</v>
      </c>
      <c r="B1636">
        <v>82429</v>
      </c>
      <c r="C1636" s="2">
        <v>552.55999999999995</v>
      </c>
      <c r="D1636" s="1">
        <v>43613</v>
      </c>
      <c r="E1636" t="str">
        <f>"201905219390"</f>
        <v>201905219390</v>
      </c>
      <c r="F1636" t="str">
        <f>"INDIGENT HEALTH"</f>
        <v>INDIGENT HEALTH</v>
      </c>
      <c r="G1636" s="2">
        <v>552.55999999999995</v>
      </c>
      <c r="H1636" t="str">
        <f>"INDIGENT HEALTH"</f>
        <v>INDIGENT HEALTH</v>
      </c>
    </row>
    <row r="1637" spans="1:9" x14ac:dyDescent="0.25">
      <c r="A1637" t="s">
        <v>441</v>
      </c>
      <c r="B1637">
        <v>82269</v>
      </c>
      <c r="C1637" s="2">
        <v>483.2</v>
      </c>
      <c r="D1637" s="1">
        <v>43598</v>
      </c>
      <c r="E1637" t="str">
        <f>"9008071832"</f>
        <v>9008071832</v>
      </c>
      <c r="F1637" t="str">
        <f>"CUST#2000053103/ANIMAL SHELTER"</f>
        <v>CUST#2000053103/ANIMAL SHELTER</v>
      </c>
      <c r="G1637" s="2">
        <v>483.2</v>
      </c>
      <c r="H1637" t="str">
        <f>"CUST#2000053103/ANIMAL SHELTER"</f>
        <v>CUST#2000053103/ANIMAL SHELTER</v>
      </c>
    </row>
    <row r="1638" spans="1:9" x14ac:dyDescent="0.25">
      <c r="A1638" t="s">
        <v>441</v>
      </c>
      <c r="B1638">
        <v>82430</v>
      </c>
      <c r="C1638" s="2">
        <v>1177.2</v>
      </c>
      <c r="D1638" s="1">
        <v>43613</v>
      </c>
      <c r="E1638" t="str">
        <f>"9008181458"</f>
        <v>9008181458</v>
      </c>
      <c r="F1638" t="str">
        <f>"CUST#2000053103/ANIMAL SVCS"</f>
        <v>CUST#2000053103/ANIMAL SVCS</v>
      </c>
      <c r="G1638" s="2">
        <v>1177.2</v>
      </c>
      <c r="H1638" t="str">
        <f>"CUST#2000053103/ANIMAL SVCS"</f>
        <v>CUST#2000053103/ANIMAL SVCS</v>
      </c>
    </row>
    <row r="1639" spans="1:9" x14ac:dyDescent="0.25">
      <c r="A1639" t="s">
        <v>442</v>
      </c>
      <c r="B1639">
        <v>82270</v>
      </c>
      <c r="C1639" s="2">
        <v>12.5</v>
      </c>
      <c r="D1639" s="1">
        <v>43598</v>
      </c>
      <c r="E1639" t="s">
        <v>170</v>
      </c>
      <c r="F1639" t="s">
        <v>426</v>
      </c>
      <c r="G1639" s="2" t="str">
        <f>"RESTITUTION-ERNESTO F. RAMON"</f>
        <v>RESTITUTION-ERNESTO F. RAMON</v>
      </c>
      <c r="H1639" t="str">
        <f>"210-0000"</f>
        <v>210-0000</v>
      </c>
      <c r="I1639" t="str">
        <f>""</f>
        <v/>
      </c>
    </row>
    <row r="1640" spans="1:9" x14ac:dyDescent="0.25">
      <c r="A1640" t="s">
        <v>9</v>
      </c>
      <c r="B1640">
        <v>82271</v>
      </c>
      <c r="C1640" s="2">
        <v>9750</v>
      </c>
      <c r="D1640" s="1">
        <v>43598</v>
      </c>
      <c r="E1640" t="str">
        <f>"201905028943"</f>
        <v>201905028943</v>
      </c>
      <c r="F1640" t="str">
        <f>"Final Retainage"</f>
        <v>Final Retainage</v>
      </c>
      <c r="G1640" s="2">
        <v>9750</v>
      </c>
      <c r="H1640" t="str">
        <f>"Final Retainage"</f>
        <v>Final Retainage</v>
      </c>
    </row>
    <row r="1641" spans="1:9" x14ac:dyDescent="0.25">
      <c r="A1641" t="s">
        <v>33</v>
      </c>
      <c r="B1641">
        <v>82272</v>
      </c>
      <c r="C1641" s="2">
        <v>148.49</v>
      </c>
      <c r="D1641" s="1">
        <v>43598</v>
      </c>
      <c r="E1641" t="str">
        <f>"201905028951"</f>
        <v>201905028951</v>
      </c>
      <c r="F1641" t="str">
        <f>"ACCT#015397/JUVENILE BOOT CAMP"</f>
        <v>ACCT#015397/JUVENILE BOOT CAMP</v>
      </c>
      <c r="G1641" s="2">
        <v>148.49</v>
      </c>
      <c r="H1641" t="str">
        <f>"ACCT#015397/JUVENILE BOOT CAMP"</f>
        <v>ACCT#015397/JUVENILE BOOT CAMP</v>
      </c>
    </row>
    <row r="1642" spans="1:9" x14ac:dyDescent="0.25">
      <c r="A1642" t="s">
        <v>443</v>
      </c>
      <c r="B1642">
        <v>82436</v>
      </c>
      <c r="C1642" s="2">
        <v>22483.95</v>
      </c>
      <c r="D1642" s="1">
        <v>43614</v>
      </c>
      <c r="E1642" t="str">
        <f>"1061"</f>
        <v>1061</v>
      </c>
      <c r="F1642" t="str">
        <f>"BOOT CAMP EXPS / JAN-MAR 2019"</f>
        <v>BOOT CAMP EXPS / JAN-MAR 2019</v>
      </c>
      <c r="G1642" s="2">
        <v>22483.95</v>
      </c>
      <c r="H1642" t="str">
        <f>"BOOT CAMP EXPS / JAN-MAR 2019"</f>
        <v>BOOT CAMP EXPS / JAN-MAR 2019</v>
      </c>
    </row>
    <row r="1643" spans="1:9" x14ac:dyDescent="0.25">
      <c r="A1643" t="s">
        <v>89</v>
      </c>
      <c r="B1643">
        <v>128</v>
      </c>
      <c r="C1643" s="2">
        <v>2692.19</v>
      </c>
      <c r="D1643" s="1">
        <v>43598</v>
      </c>
      <c r="E1643" t="str">
        <f>"201905089239"</f>
        <v>201905089239</v>
      </c>
      <c r="F1643" t="str">
        <f>"acct 0058"</f>
        <v>acct 0058</v>
      </c>
      <c r="G1643" s="2">
        <v>15.5</v>
      </c>
      <c r="H1643" t="str">
        <f>"HE-Gov"</f>
        <v>HE-Gov</v>
      </c>
    </row>
    <row r="1644" spans="1:9" x14ac:dyDescent="0.25">
      <c r="E1644" t="str">
        <f>"201905089241"</f>
        <v>201905089241</v>
      </c>
      <c r="F1644" t="str">
        <f>"acct 0058"</f>
        <v>acct 0058</v>
      </c>
      <c r="G1644" s="2">
        <v>126.69</v>
      </c>
      <c r="H1644" t="str">
        <f>"walmart"</f>
        <v>walmart</v>
      </c>
    </row>
    <row r="1645" spans="1:9" x14ac:dyDescent="0.25">
      <c r="E1645" t="str">
        <f>"201905089244"</f>
        <v>201905089244</v>
      </c>
      <c r="F1645" t="str">
        <f>"Acct# 0058"</f>
        <v>Acct# 0058</v>
      </c>
      <c r="G1645" s="2">
        <v>2550</v>
      </c>
      <c r="H1645" t="str">
        <f>"AED"</f>
        <v>AED</v>
      </c>
    </row>
    <row r="1646" spans="1:9" x14ac:dyDescent="0.25">
      <c r="A1646" t="s">
        <v>444</v>
      </c>
      <c r="B1646">
        <v>82273</v>
      </c>
      <c r="C1646" s="2">
        <v>32532.94</v>
      </c>
      <c r="D1646" s="1">
        <v>43598</v>
      </c>
      <c r="E1646" t="str">
        <f>"30131463"</f>
        <v>30131463</v>
      </c>
      <c r="F1646" t="str">
        <f t="shared" ref="F1646:F1652" si="9">"CUST#BASPCT2/ORD#37-18894/P2"</f>
        <v>CUST#BASPCT2/ORD#37-18894/P2</v>
      </c>
      <c r="G1646" s="2">
        <v>5571.5</v>
      </c>
      <c r="H1646" t="str">
        <f t="shared" ref="H1646:H1652" si="10">"CUST#BASPCT2/ORD#37-18894/P2"</f>
        <v>CUST#BASPCT2/ORD#37-18894/P2</v>
      </c>
    </row>
    <row r="1647" spans="1:9" x14ac:dyDescent="0.25">
      <c r="E1647" t="str">
        <f>"30131477"</f>
        <v>30131477</v>
      </c>
      <c r="F1647" t="str">
        <f t="shared" si="9"/>
        <v>CUST#BASPCT2/ORD#37-18894/P2</v>
      </c>
      <c r="G1647" s="2">
        <v>1536.04</v>
      </c>
      <c r="H1647" t="str">
        <f t="shared" si="10"/>
        <v>CUST#BASPCT2/ORD#37-18894/P2</v>
      </c>
    </row>
    <row r="1648" spans="1:9" x14ac:dyDescent="0.25">
      <c r="E1648" t="str">
        <f>"30131498"</f>
        <v>30131498</v>
      </c>
      <c r="F1648" t="str">
        <f t="shared" si="9"/>
        <v>CUST#BASPCT2/ORD#37-18894/P2</v>
      </c>
      <c r="G1648" s="2">
        <v>4531.12</v>
      </c>
      <c r="H1648" t="str">
        <f t="shared" si="10"/>
        <v>CUST#BASPCT2/ORD#37-18894/P2</v>
      </c>
    </row>
    <row r="1649" spans="1:8" x14ac:dyDescent="0.25">
      <c r="E1649" t="str">
        <f>"30131544"</f>
        <v>30131544</v>
      </c>
      <c r="F1649" t="str">
        <f t="shared" si="9"/>
        <v>CUST#BASPCT2/ORD#37-18894/P2</v>
      </c>
      <c r="G1649" s="2">
        <v>5820.1</v>
      </c>
      <c r="H1649" t="str">
        <f t="shared" si="10"/>
        <v>CUST#BASPCT2/ORD#37-18894/P2</v>
      </c>
    </row>
    <row r="1650" spans="1:8" x14ac:dyDescent="0.25">
      <c r="E1650" t="str">
        <f>"30131562"</f>
        <v>30131562</v>
      </c>
      <c r="F1650" t="str">
        <f t="shared" si="9"/>
        <v>CUST#BASPCT2/ORD#37-18894/P2</v>
      </c>
      <c r="G1650" s="2">
        <v>5384.06</v>
      </c>
      <c r="H1650" t="str">
        <f t="shared" si="10"/>
        <v>CUST#BASPCT2/ORD#37-18894/P2</v>
      </c>
    </row>
    <row r="1651" spans="1:8" x14ac:dyDescent="0.25">
      <c r="E1651" t="str">
        <f>"30131587"</f>
        <v>30131587</v>
      </c>
      <c r="F1651" t="str">
        <f t="shared" si="9"/>
        <v>CUST#BASPCT2/ORD#37-18894/P2</v>
      </c>
      <c r="G1651" s="2">
        <v>5797.44</v>
      </c>
      <c r="H1651" t="str">
        <f t="shared" si="10"/>
        <v>CUST#BASPCT2/ORD#37-18894/P2</v>
      </c>
    </row>
    <row r="1652" spans="1:8" x14ac:dyDescent="0.25">
      <c r="E1652" t="str">
        <f>"30131618"</f>
        <v>30131618</v>
      </c>
      <c r="F1652" t="str">
        <f t="shared" si="9"/>
        <v>CUST#BASPCT2/ORD#37-18894/P2</v>
      </c>
      <c r="G1652" s="2">
        <v>3892.68</v>
      </c>
      <c r="H1652" t="str">
        <f t="shared" si="10"/>
        <v>CUST#BASPCT2/ORD#37-18894/P2</v>
      </c>
    </row>
    <row r="1653" spans="1:8" x14ac:dyDescent="0.25">
      <c r="A1653" t="s">
        <v>445</v>
      </c>
      <c r="B1653">
        <v>82274</v>
      </c>
      <c r="C1653" s="2">
        <v>718.76</v>
      </c>
      <c r="D1653" s="1">
        <v>43598</v>
      </c>
      <c r="E1653" t="str">
        <f>"8958"</f>
        <v>8958</v>
      </c>
      <c r="F1653" t="str">
        <f>"Inv# 8958"</f>
        <v>Inv# 8958</v>
      </c>
      <c r="G1653" s="2">
        <v>718.76</v>
      </c>
      <c r="H1653" t="str">
        <f>"Inv# 8958"</f>
        <v>Inv# 8958</v>
      </c>
    </row>
    <row r="1654" spans="1:8" x14ac:dyDescent="0.25">
      <c r="A1654" t="s">
        <v>120</v>
      </c>
      <c r="B1654">
        <v>82275</v>
      </c>
      <c r="C1654" s="2">
        <v>132090</v>
      </c>
      <c r="D1654" s="1">
        <v>43598</v>
      </c>
      <c r="E1654" t="str">
        <f>"201905089187"</f>
        <v>201905089187</v>
      </c>
      <c r="F1654" t="str">
        <f>"Reclaimer"</f>
        <v>Reclaimer</v>
      </c>
      <c r="G1654" s="2">
        <v>132090</v>
      </c>
      <c r="H1654" t="str">
        <f>"Reclaimer"</f>
        <v>Reclaimer</v>
      </c>
    </row>
    <row r="1655" spans="1:8" x14ac:dyDescent="0.25">
      <c r="A1655" t="s">
        <v>446</v>
      </c>
      <c r="B1655">
        <v>82276</v>
      </c>
      <c r="C1655" s="2">
        <v>210</v>
      </c>
      <c r="D1655" s="1">
        <v>43598</v>
      </c>
      <c r="E1655" t="str">
        <f>"62356"</f>
        <v>62356</v>
      </c>
      <c r="F1655" t="str">
        <f>"FIVE PANEL DRUG SCREEN"</f>
        <v>FIVE PANEL DRUG SCREEN</v>
      </c>
      <c r="G1655" s="2">
        <v>210</v>
      </c>
      <c r="H1655" t="str">
        <f>"FIVE PANEL DRUG SCREEN"</f>
        <v>FIVE PANEL DRUG SCREEN</v>
      </c>
    </row>
    <row r="1656" spans="1:8" x14ac:dyDescent="0.25">
      <c r="A1656" t="s">
        <v>164</v>
      </c>
      <c r="B1656">
        <v>134</v>
      </c>
      <c r="C1656" s="2">
        <v>2160387.5</v>
      </c>
      <c r="D1656" s="1">
        <v>43613</v>
      </c>
      <c r="E1656" t="str">
        <f>"201905159298"</f>
        <v>201905159298</v>
      </c>
      <c r="F1656" t="str">
        <f>"DEBT SERVICE PMT - SERIES 2012"</f>
        <v>DEBT SERVICE PMT - SERIES 2012</v>
      </c>
      <c r="G1656" s="2">
        <v>639825</v>
      </c>
      <c r="H1656" t="str">
        <f>"DEBT SERVICE PMT - SERIES 2012"</f>
        <v>DEBT SERVICE PMT - SERIES 2012</v>
      </c>
    </row>
    <row r="1657" spans="1:8" x14ac:dyDescent="0.25">
      <c r="E1657" t="str">
        <f>""</f>
        <v/>
      </c>
      <c r="F1657" t="str">
        <f>""</f>
        <v/>
      </c>
      <c r="H1657" t="str">
        <f>"DEBT SERVICE PMT - SERIES 2012"</f>
        <v>DEBT SERVICE PMT - SERIES 2012</v>
      </c>
    </row>
    <row r="1658" spans="1:8" x14ac:dyDescent="0.25">
      <c r="E1658" t="str">
        <f>"201905159299"</f>
        <v>201905159299</v>
      </c>
      <c r="F1658" t="str">
        <f>"DEBT SERVICE PMT - SERIES 2013"</f>
        <v>DEBT SERVICE PMT - SERIES 2013</v>
      </c>
      <c r="G1658" s="2">
        <v>1045262.5</v>
      </c>
      <c r="H1658" t="str">
        <f>"DEBT SERVICE PMT - SERIES 2013"</f>
        <v>DEBT SERVICE PMT - SERIES 2013</v>
      </c>
    </row>
    <row r="1659" spans="1:8" x14ac:dyDescent="0.25">
      <c r="E1659" t="str">
        <f>""</f>
        <v/>
      </c>
      <c r="F1659" t="str">
        <f>""</f>
        <v/>
      </c>
      <c r="H1659" t="str">
        <f>"DEBT SERVICE PMT - SERIES 2013"</f>
        <v>DEBT SERVICE PMT - SERIES 2013</v>
      </c>
    </row>
    <row r="1660" spans="1:8" x14ac:dyDescent="0.25">
      <c r="E1660" t="str">
        <f>"252-2190432"</f>
        <v>252-2190432</v>
      </c>
      <c r="F1660" t="str">
        <f>"DEBT SERVICE PMT - SERIES 2012"</f>
        <v>DEBT SERVICE PMT - SERIES 2012</v>
      </c>
      <c r="G1660" s="2">
        <v>500</v>
      </c>
      <c r="H1660" t="str">
        <f>"DEBT SERVICE PMT - SERIES 2012"</f>
        <v>DEBT SERVICE PMT - SERIES 2012</v>
      </c>
    </row>
    <row r="1661" spans="1:8" x14ac:dyDescent="0.25">
      <c r="E1661" t="str">
        <f>"252-2190448"</f>
        <v>252-2190448</v>
      </c>
      <c r="F1661" t="str">
        <f>"DEBT SERVICE PMT - SERIES 2013"</f>
        <v>DEBT SERVICE PMT - SERIES 2013</v>
      </c>
      <c r="G1661" s="2">
        <v>500</v>
      </c>
      <c r="H1661" t="str">
        <f>"DEBT SERVICE PMT - SERIES 2013"</f>
        <v>DEBT SERVICE PMT - SERIES 2013</v>
      </c>
    </row>
    <row r="1662" spans="1:8" x14ac:dyDescent="0.25">
      <c r="E1662" t="str">
        <f>"BAST 01062019"</f>
        <v>BAST 01062019</v>
      </c>
      <c r="F1662" t="str">
        <f>"DEBT SERVICE PMT - SERIES 2009"</f>
        <v>DEBT SERVICE PMT - SERIES 2009</v>
      </c>
      <c r="G1662" s="2">
        <v>474300</v>
      </c>
      <c r="H1662" t="str">
        <f>"DEBT SERVICE PMT - SERIES 2009"</f>
        <v>DEBT SERVICE PMT - SERIES 2009</v>
      </c>
    </row>
    <row r="1663" spans="1:8" x14ac:dyDescent="0.25">
      <c r="E1663" t="str">
        <f>""</f>
        <v/>
      </c>
      <c r="F1663" t="str">
        <f>""</f>
        <v/>
      </c>
      <c r="H1663" t="str">
        <f>"DEBT SERVICE PMT - SERIES 2009"</f>
        <v>DEBT SERVICE PMT - SERIES 2009</v>
      </c>
    </row>
    <row r="1664" spans="1:8" x14ac:dyDescent="0.25">
      <c r="A1664" t="s">
        <v>447</v>
      </c>
      <c r="B1664">
        <v>82277</v>
      </c>
      <c r="C1664" s="2">
        <v>380.86</v>
      </c>
      <c r="D1664" s="1">
        <v>43598</v>
      </c>
      <c r="E1664" t="str">
        <f>"N58572"</f>
        <v>N58572</v>
      </c>
      <c r="F1664" t="str">
        <f>"CUST#02141/SHIRTS/WILDFIRE MIT"</f>
        <v>CUST#02141/SHIRTS/WILDFIRE MIT</v>
      </c>
      <c r="G1664" s="2">
        <v>380.86</v>
      </c>
      <c r="H1664" t="str">
        <f>"CUST#02141/SHIRTS/WILDFIRE MIT"</f>
        <v>CUST#02141/SHIRTS/WILDFIRE MIT</v>
      </c>
    </row>
    <row r="1665" spans="1:8" x14ac:dyDescent="0.25">
      <c r="A1665" t="s">
        <v>448</v>
      </c>
      <c r="B1665">
        <v>82431</v>
      </c>
      <c r="C1665" s="2">
        <v>13858.21</v>
      </c>
      <c r="D1665" s="1">
        <v>43613</v>
      </c>
      <c r="E1665" t="str">
        <f>"201904084"</f>
        <v>201904084</v>
      </c>
      <c r="F1665" t="str">
        <f>"PROJ#2017072/911 ER OP &amp; IT"</f>
        <v>PROJ#2017072/911 ER OP &amp; IT</v>
      </c>
      <c r="G1665" s="2">
        <v>13858.21</v>
      </c>
      <c r="H1665" t="str">
        <f>"PROJ#2017072/911 ER OP &amp; IT"</f>
        <v>PROJ#2017072/911 ER OP &amp; IT</v>
      </c>
    </row>
    <row r="1666" spans="1:8" x14ac:dyDescent="0.25">
      <c r="A1666" t="s">
        <v>237</v>
      </c>
      <c r="B1666">
        <v>82278</v>
      </c>
      <c r="C1666" s="2">
        <v>351.51</v>
      </c>
      <c r="D1666" s="1">
        <v>43598</v>
      </c>
      <c r="E1666" t="str">
        <f>"201905039024"</f>
        <v>201905039024</v>
      </c>
      <c r="F1666" t="str">
        <f>"ACCT#1645/WILFIRE MITIGATION"</f>
        <v>ACCT#1645/WILFIRE MITIGATION</v>
      </c>
      <c r="G1666" s="2">
        <v>351.51</v>
      </c>
      <c r="H1666" t="str">
        <f>"ACCT#1645/WILFIRE MITIGATION"</f>
        <v>ACCT#1645/WILFIRE MITIGATION</v>
      </c>
    </row>
    <row r="1667" spans="1:8" x14ac:dyDescent="0.25">
      <c r="A1667" t="s">
        <v>291</v>
      </c>
      <c r="B1667">
        <v>82432</v>
      </c>
      <c r="C1667" s="2">
        <v>619276.19999999995</v>
      </c>
      <c r="D1667" s="1">
        <v>43613</v>
      </c>
      <c r="E1667" t="str">
        <f>"41266916"</f>
        <v>41266916</v>
      </c>
      <c r="F1667" t="str">
        <f>"911 department Move"</f>
        <v>911 department Move</v>
      </c>
      <c r="G1667" s="2">
        <v>619276.19999999995</v>
      </c>
      <c r="H1667" t="str">
        <f>"60% payment"</f>
        <v>60% payment</v>
      </c>
    </row>
    <row r="1668" spans="1:8" x14ac:dyDescent="0.25">
      <c r="A1668" t="s">
        <v>304</v>
      </c>
      <c r="B1668">
        <v>82279</v>
      </c>
      <c r="C1668" s="2">
        <v>139.97999999999999</v>
      </c>
      <c r="D1668" s="1">
        <v>43598</v>
      </c>
      <c r="E1668" t="str">
        <f>"301051605001"</f>
        <v>301051605001</v>
      </c>
      <c r="F1668" t="str">
        <f>"bill# 11291824"</f>
        <v>bill# 11291824</v>
      </c>
      <c r="G1668" s="2">
        <v>139.97999999999999</v>
      </c>
      <c r="H1668" t="str">
        <f>"ord# 301051605001"</f>
        <v>ord# 301051605001</v>
      </c>
    </row>
    <row r="1669" spans="1:8" x14ac:dyDescent="0.25">
      <c r="A1669" t="s">
        <v>304</v>
      </c>
      <c r="B1669">
        <v>82433</v>
      </c>
      <c r="C1669" s="2">
        <v>48760.5</v>
      </c>
      <c r="D1669" s="1">
        <v>43613</v>
      </c>
      <c r="E1669" t="str">
        <f>"11436229"</f>
        <v>11436229</v>
      </c>
      <c r="F1669" t="str">
        <f>"Bill# 11436229"</f>
        <v>Bill# 11436229</v>
      </c>
      <c r="G1669" s="2">
        <v>1132.1600000000001</v>
      </c>
      <c r="H1669" t="str">
        <f>"Ord# 306283921001"</f>
        <v>Ord# 306283921001</v>
      </c>
    </row>
    <row r="1670" spans="1:8" x14ac:dyDescent="0.25">
      <c r="E1670" t="str">
        <f>""</f>
        <v/>
      </c>
      <c r="F1670" t="str">
        <f>""</f>
        <v/>
      </c>
      <c r="H1670" t="str">
        <f>"Ord# 306284316001"</f>
        <v>Ord# 306284316001</v>
      </c>
    </row>
    <row r="1671" spans="1:8" x14ac:dyDescent="0.25">
      <c r="E1671" t="str">
        <f>"299321"</f>
        <v>299321</v>
      </c>
      <c r="F1671" t="str">
        <f>"Furniture for MFB"</f>
        <v>Furniture for MFB</v>
      </c>
      <c r="G1671" s="2">
        <v>47628.34</v>
      </c>
      <c r="H1671" t="str">
        <f>"Final Payment"</f>
        <v>Final Payment</v>
      </c>
    </row>
    <row r="1672" spans="1:8" x14ac:dyDescent="0.25">
      <c r="A1672" t="s">
        <v>315</v>
      </c>
      <c r="B1672">
        <v>82280</v>
      </c>
      <c r="C1672" s="2">
        <v>128547.84</v>
      </c>
      <c r="D1672" s="1">
        <v>43598</v>
      </c>
      <c r="E1672" t="str">
        <f>"201905079161"</f>
        <v>201905079161</v>
      </c>
      <c r="F1672" t="str">
        <f>"CLEVELAND MACK SALES INC"</f>
        <v>CLEVELAND MACK SALES INC</v>
      </c>
      <c r="G1672" s="2">
        <v>128547.84</v>
      </c>
      <c r="H1672" t="str">
        <f>"2019 KENWORTH T880"</f>
        <v>2019 KENWORTH T880</v>
      </c>
    </row>
    <row r="1673" spans="1:8" x14ac:dyDescent="0.25">
      <c r="E1673" t="str">
        <f>""</f>
        <v/>
      </c>
      <c r="F1673" t="str">
        <f>""</f>
        <v/>
      </c>
      <c r="H1673" t="str">
        <f>"BUYBOARD FEE"</f>
        <v>BUYBOARD FEE</v>
      </c>
    </row>
    <row r="1674" spans="1:8" x14ac:dyDescent="0.25">
      <c r="A1674" t="s">
        <v>449</v>
      </c>
      <c r="B1674">
        <v>82281</v>
      </c>
      <c r="C1674" s="2">
        <v>1149.17</v>
      </c>
      <c r="D1674" s="1">
        <v>43598</v>
      </c>
      <c r="E1674" t="str">
        <f>"1138"</f>
        <v>1138</v>
      </c>
      <c r="F1674" t="str">
        <f>"UNIFORMS/JUVENILE PROB DEPT"</f>
        <v>UNIFORMS/JUVENILE PROB DEPT</v>
      </c>
      <c r="G1674" s="2">
        <v>689.77</v>
      </c>
      <c r="H1674" t="str">
        <f>"UNIFORMS/JUVENILE PROB DEPT"</f>
        <v>UNIFORMS/JUVENILE PROB DEPT</v>
      </c>
    </row>
    <row r="1675" spans="1:8" x14ac:dyDescent="0.25">
      <c r="E1675" t="str">
        <f>"1142"</f>
        <v>1142</v>
      </c>
      <c r="F1675" t="str">
        <f>"CAP/BELT/UNIFORM/JUVENILE PROB"</f>
        <v>CAP/BELT/UNIFORM/JUVENILE PROB</v>
      </c>
      <c r="G1675" s="2">
        <v>459.4</v>
      </c>
      <c r="H1675" t="str">
        <f>"CAP/BELT/UNIFORM/JUVENILE PROB"</f>
        <v>CAP/BELT/UNIFORM/JUVENILE PROB</v>
      </c>
    </row>
    <row r="1676" spans="1:8" x14ac:dyDescent="0.25">
      <c r="A1676" t="s">
        <v>450</v>
      </c>
      <c r="B1676">
        <v>82282</v>
      </c>
      <c r="C1676" s="2">
        <v>71440</v>
      </c>
      <c r="D1676" s="1">
        <v>43598</v>
      </c>
      <c r="E1676" t="str">
        <f>"201905079162"</f>
        <v>201905079162</v>
      </c>
      <c r="F1676" t="str">
        <f>"RDO EQUIPMENT CO."</f>
        <v>RDO EQUIPMENT CO.</v>
      </c>
      <c r="G1676" s="2">
        <v>71440</v>
      </c>
      <c r="H1676" t="str">
        <f>"2017 Sakai Roller"</f>
        <v>2017 Sakai Roller</v>
      </c>
    </row>
    <row r="1677" spans="1:8" x14ac:dyDescent="0.25">
      <c r="A1677" t="s">
        <v>451</v>
      </c>
      <c r="B1677">
        <v>82283</v>
      </c>
      <c r="C1677" s="2">
        <v>313690</v>
      </c>
      <c r="D1677" s="1">
        <v>43598</v>
      </c>
      <c r="E1677" t="str">
        <f>"181204-8"</f>
        <v>181204-8</v>
      </c>
      <c r="F1677" t="str">
        <f>"PROJ#181204/COMMUNICATIONS BLD"</f>
        <v>PROJ#181204/COMMUNICATIONS BLD</v>
      </c>
      <c r="G1677" s="2">
        <v>313690</v>
      </c>
      <c r="H1677" t="str">
        <f>"PROJ#181204/COMMUNICATIONS BLD"</f>
        <v>PROJ#181204/COMMUNICATIONS BLD</v>
      </c>
    </row>
    <row r="1678" spans="1:8" x14ac:dyDescent="0.25">
      <c r="A1678" t="s">
        <v>424</v>
      </c>
      <c r="B1678">
        <v>82284</v>
      </c>
      <c r="C1678" s="2">
        <v>2145.9299999999998</v>
      </c>
      <c r="D1678" s="1">
        <v>43598</v>
      </c>
      <c r="E1678" t="str">
        <f>"869395921917"</f>
        <v>869395921917</v>
      </c>
      <c r="F1678" t="str">
        <f>"Inv# 869395921917"</f>
        <v>Inv# 869395921917</v>
      </c>
      <c r="G1678" s="2">
        <v>2145.9299999999998</v>
      </c>
      <c r="H1678" t="str">
        <f>"Fuel"</f>
        <v>Fuel</v>
      </c>
    </row>
    <row r="1679" spans="1:8" x14ac:dyDescent="0.25">
      <c r="E1679" t="str">
        <f>""</f>
        <v/>
      </c>
      <c r="F1679" t="str">
        <f>""</f>
        <v/>
      </c>
      <c r="H1679" t="str">
        <f>"Tax"</f>
        <v>Tax</v>
      </c>
    </row>
    <row r="1680" spans="1:8" x14ac:dyDescent="0.25">
      <c r="E1680" t="str">
        <f>""</f>
        <v/>
      </c>
      <c r="F1680" t="str">
        <f>""</f>
        <v/>
      </c>
      <c r="H1680" t="str">
        <f>"Main"</f>
        <v>Main</v>
      </c>
    </row>
    <row r="1681" spans="1:8" x14ac:dyDescent="0.25">
      <c r="A1681" t="s">
        <v>428</v>
      </c>
      <c r="B1681">
        <v>82285</v>
      </c>
      <c r="C1681" s="2">
        <v>277.07</v>
      </c>
      <c r="D1681" s="1">
        <v>43598</v>
      </c>
      <c r="E1681" t="str">
        <f>"201905099259"</f>
        <v>201905099259</v>
      </c>
      <c r="F1681" t="str">
        <f>"Acct# 603220200531"</f>
        <v>Acct# 603220200531</v>
      </c>
      <c r="G1681" s="2">
        <v>277.07</v>
      </c>
      <c r="H1681" t="str">
        <f>"inv# 001443"</f>
        <v>inv# 001443</v>
      </c>
    </row>
    <row r="1682" spans="1:8" x14ac:dyDescent="0.25">
      <c r="E1682" t="str">
        <f>""</f>
        <v/>
      </c>
      <c r="F1682" t="str">
        <f>""</f>
        <v/>
      </c>
      <c r="H1682" t="str">
        <f>"Inv# 00006"</f>
        <v>Inv# 00006</v>
      </c>
    </row>
    <row r="1683" spans="1:8" x14ac:dyDescent="0.25">
      <c r="A1683" t="s">
        <v>452</v>
      </c>
      <c r="B1683">
        <v>82434</v>
      </c>
      <c r="C1683" s="2">
        <v>265.23</v>
      </c>
      <c r="D1683" s="1">
        <v>43613</v>
      </c>
      <c r="E1683" t="str">
        <f>"INV5968792"</f>
        <v>INV5968792</v>
      </c>
      <c r="F1683" t="str">
        <f>"Trash Cans for MFB"</f>
        <v>Trash Cans for MFB</v>
      </c>
      <c r="G1683" s="2">
        <v>265.23</v>
      </c>
      <c r="H1683" t="str">
        <f>"Marshal Trash Can"</f>
        <v>Marshal Trash Can</v>
      </c>
    </row>
    <row r="1684" spans="1:8" x14ac:dyDescent="0.25">
      <c r="E1684" t="str">
        <f>""</f>
        <v/>
      </c>
      <c r="F1684" t="str">
        <f>""</f>
        <v/>
      </c>
      <c r="H1684" t="str">
        <f>"Promo Code"</f>
        <v>Promo Code</v>
      </c>
    </row>
    <row r="1685" spans="1:8" x14ac:dyDescent="0.25">
      <c r="A1685" t="s">
        <v>453</v>
      </c>
      <c r="B1685">
        <v>143</v>
      </c>
      <c r="C1685" s="2">
        <v>5531.03</v>
      </c>
      <c r="D1685" s="1">
        <v>43615</v>
      </c>
      <c r="E1685" t="str">
        <f>"201905309514"</f>
        <v>201905309514</v>
      </c>
      <c r="F1685" t="str">
        <f>"ALLSTATE-AMERICAN HERITAGE LIF"</f>
        <v>ALLSTATE-AMERICAN HERITAGE LIF</v>
      </c>
      <c r="G1685" s="2">
        <v>0.03</v>
      </c>
      <c r="H1685" t="str">
        <f>"ALLSTATE-AMERICAN HERITAGE LIF"</f>
        <v>ALLSTATE-AMERICAN HERITAGE LIF</v>
      </c>
    </row>
    <row r="1686" spans="1:8" x14ac:dyDescent="0.25">
      <c r="E1686" t="str">
        <f>"AS 201904308908"</f>
        <v>AS 201904308908</v>
      </c>
      <c r="F1686" t="str">
        <f t="shared" ref="F1686:F1699" si="11">"ALLSTATE"</f>
        <v>ALLSTATE</v>
      </c>
      <c r="G1686" s="2">
        <v>533.49</v>
      </c>
      <c r="H1686" t="str">
        <f t="shared" ref="H1686:H1699" si="12">"ALLSTATE"</f>
        <v>ALLSTATE</v>
      </c>
    </row>
    <row r="1687" spans="1:8" x14ac:dyDescent="0.25">
      <c r="E1687" t="str">
        <f>"AS 201904308909"</f>
        <v>AS 201904308909</v>
      </c>
      <c r="F1687" t="str">
        <f t="shared" si="11"/>
        <v>ALLSTATE</v>
      </c>
      <c r="G1687" s="2">
        <v>27.14</v>
      </c>
      <c r="H1687" t="str">
        <f t="shared" si="12"/>
        <v>ALLSTATE</v>
      </c>
    </row>
    <row r="1688" spans="1:8" x14ac:dyDescent="0.25">
      <c r="E1688" t="str">
        <f>"AS 201905159265"</f>
        <v>AS 201905159265</v>
      </c>
      <c r="F1688" t="str">
        <f t="shared" si="11"/>
        <v>ALLSTATE</v>
      </c>
      <c r="G1688" s="2">
        <v>533.49</v>
      </c>
      <c r="H1688" t="str">
        <f t="shared" si="12"/>
        <v>ALLSTATE</v>
      </c>
    </row>
    <row r="1689" spans="1:8" x14ac:dyDescent="0.25">
      <c r="E1689" t="str">
        <f>"AS 201905159266"</f>
        <v>AS 201905159266</v>
      </c>
      <c r="F1689" t="str">
        <f t="shared" si="11"/>
        <v>ALLSTATE</v>
      </c>
      <c r="G1689" s="2">
        <v>27.14</v>
      </c>
      <c r="H1689" t="str">
        <f t="shared" si="12"/>
        <v>ALLSTATE</v>
      </c>
    </row>
    <row r="1690" spans="1:8" x14ac:dyDescent="0.25">
      <c r="E1690" t="str">
        <f>"ASD201904308908"</f>
        <v>ASD201904308908</v>
      </c>
      <c r="F1690" t="str">
        <f t="shared" si="11"/>
        <v>ALLSTATE</v>
      </c>
      <c r="G1690" s="2">
        <v>193.93</v>
      </c>
      <c r="H1690" t="str">
        <f t="shared" si="12"/>
        <v>ALLSTATE</v>
      </c>
    </row>
    <row r="1691" spans="1:8" x14ac:dyDescent="0.25">
      <c r="E1691" t="str">
        <f>"ASD201905159265"</f>
        <v>ASD201905159265</v>
      </c>
      <c r="F1691" t="str">
        <f t="shared" si="11"/>
        <v>ALLSTATE</v>
      </c>
      <c r="G1691" s="2">
        <v>193.93</v>
      </c>
      <c r="H1691" t="str">
        <f t="shared" si="12"/>
        <v>ALLSTATE</v>
      </c>
    </row>
    <row r="1692" spans="1:8" x14ac:dyDescent="0.25">
      <c r="E1692" t="str">
        <f>"ASI201904308908"</f>
        <v>ASI201904308908</v>
      </c>
      <c r="F1692" t="str">
        <f t="shared" si="11"/>
        <v>ALLSTATE</v>
      </c>
      <c r="G1692" s="2">
        <v>636.55999999999995</v>
      </c>
      <c r="H1692" t="str">
        <f t="shared" si="12"/>
        <v>ALLSTATE</v>
      </c>
    </row>
    <row r="1693" spans="1:8" x14ac:dyDescent="0.25">
      <c r="E1693" t="str">
        <f>"ASI201904308909"</f>
        <v>ASI201904308909</v>
      </c>
      <c r="F1693" t="str">
        <f t="shared" si="11"/>
        <v>ALLSTATE</v>
      </c>
      <c r="G1693" s="2">
        <v>67.150000000000006</v>
      </c>
      <c r="H1693" t="str">
        <f t="shared" si="12"/>
        <v>ALLSTATE</v>
      </c>
    </row>
    <row r="1694" spans="1:8" x14ac:dyDescent="0.25">
      <c r="E1694" t="str">
        <f>"ASI201905159265"</f>
        <v>ASI201905159265</v>
      </c>
      <c r="F1694" t="str">
        <f t="shared" si="11"/>
        <v>ALLSTATE</v>
      </c>
      <c r="G1694" s="2">
        <v>636.55999999999995</v>
      </c>
      <c r="H1694" t="str">
        <f t="shared" si="12"/>
        <v>ALLSTATE</v>
      </c>
    </row>
    <row r="1695" spans="1:8" x14ac:dyDescent="0.25">
      <c r="E1695" t="str">
        <f>"ASI201905159266"</f>
        <v>ASI201905159266</v>
      </c>
      <c r="F1695" t="str">
        <f t="shared" si="11"/>
        <v>ALLSTATE</v>
      </c>
      <c r="G1695" s="2">
        <v>67.150000000000006</v>
      </c>
      <c r="H1695" t="str">
        <f t="shared" si="12"/>
        <v>ALLSTATE</v>
      </c>
    </row>
    <row r="1696" spans="1:8" x14ac:dyDescent="0.25">
      <c r="E1696" t="str">
        <f>"AST201904308908"</f>
        <v>AST201904308908</v>
      </c>
      <c r="F1696" t="str">
        <f t="shared" si="11"/>
        <v>ALLSTATE</v>
      </c>
      <c r="G1696" s="2">
        <v>1264.6199999999999</v>
      </c>
      <c r="H1696" t="str">
        <f t="shared" si="12"/>
        <v>ALLSTATE</v>
      </c>
    </row>
    <row r="1697" spans="1:8" x14ac:dyDescent="0.25">
      <c r="E1697" t="str">
        <f>"AST201904308909"</f>
        <v>AST201904308909</v>
      </c>
      <c r="F1697" t="str">
        <f t="shared" si="11"/>
        <v>ALLSTATE</v>
      </c>
      <c r="G1697" s="2">
        <v>42.61</v>
      </c>
      <c r="H1697" t="str">
        <f t="shared" si="12"/>
        <v>ALLSTATE</v>
      </c>
    </row>
    <row r="1698" spans="1:8" x14ac:dyDescent="0.25">
      <c r="E1698" t="str">
        <f>"AST201905159265"</f>
        <v>AST201905159265</v>
      </c>
      <c r="F1698" t="str">
        <f t="shared" si="11"/>
        <v>ALLSTATE</v>
      </c>
      <c r="G1698" s="2">
        <v>1264.6199999999999</v>
      </c>
      <c r="H1698" t="str">
        <f t="shared" si="12"/>
        <v>ALLSTATE</v>
      </c>
    </row>
    <row r="1699" spans="1:8" x14ac:dyDescent="0.25">
      <c r="E1699" t="str">
        <f>"AST201905159266"</f>
        <v>AST201905159266</v>
      </c>
      <c r="F1699" t="str">
        <f t="shared" si="11"/>
        <v>ALLSTATE</v>
      </c>
      <c r="G1699" s="2">
        <v>42.61</v>
      </c>
      <c r="H1699" t="str">
        <f t="shared" si="12"/>
        <v>ALLSTATE</v>
      </c>
    </row>
    <row r="1700" spans="1:8" x14ac:dyDescent="0.25">
      <c r="A1700" t="s">
        <v>454</v>
      </c>
      <c r="B1700">
        <v>139</v>
      </c>
      <c r="C1700" s="2">
        <v>26803.15</v>
      </c>
      <c r="D1700" s="1">
        <v>43615</v>
      </c>
      <c r="E1700" t="str">
        <f>"201905289487"</f>
        <v>201905289487</v>
      </c>
      <c r="F1700" t="str">
        <f>"AmWINS Group Benefits  Inc."</f>
        <v>AmWINS Group Benefits  Inc.</v>
      </c>
      <c r="G1700" s="2">
        <v>26803.15</v>
      </c>
      <c r="H1700" t="str">
        <f>"AmWINS Group Benefits  Inc."</f>
        <v>AmWINS Group Benefits  Inc.</v>
      </c>
    </row>
    <row r="1701" spans="1:8" x14ac:dyDescent="0.25">
      <c r="A1701" t="s">
        <v>455</v>
      </c>
      <c r="B1701">
        <v>122</v>
      </c>
      <c r="C1701" s="2">
        <v>2889.92</v>
      </c>
      <c r="D1701" s="1">
        <v>43588</v>
      </c>
      <c r="E1701" t="str">
        <f>"DDP201904308910"</f>
        <v>DDP201904308910</v>
      </c>
      <c r="F1701" t="str">
        <f>"AP - TEXAS DISCOUNT DENTAL"</f>
        <v>AP - TEXAS DISCOUNT DENTAL</v>
      </c>
      <c r="G1701" s="2">
        <v>2.7</v>
      </c>
      <c r="H1701" t="str">
        <f>"AP - TEXAS DISCOUNT DENTAL"</f>
        <v>AP - TEXAS DISCOUNT DENTAL</v>
      </c>
    </row>
    <row r="1702" spans="1:8" x14ac:dyDescent="0.25">
      <c r="E1702" t="str">
        <f>"DHM201904308910"</f>
        <v>DHM201904308910</v>
      </c>
      <c r="F1702" t="str">
        <f>"AP - DENTAL HMO"</f>
        <v>AP - DENTAL HMO</v>
      </c>
      <c r="G1702" s="2">
        <v>51.8</v>
      </c>
      <c r="H1702" t="str">
        <f>"AP - DENTAL HMO"</f>
        <v>AP - DENTAL HMO</v>
      </c>
    </row>
    <row r="1703" spans="1:8" x14ac:dyDescent="0.25">
      <c r="E1703" t="str">
        <f>"DTX201904308910"</f>
        <v>DTX201904308910</v>
      </c>
      <c r="F1703" t="str">
        <f>"AP - TEXAS DENTAL"</f>
        <v>AP - TEXAS DENTAL</v>
      </c>
      <c r="G1703" s="2">
        <v>388.16</v>
      </c>
      <c r="H1703" t="str">
        <f>"AP - TEXAS DENTAL"</f>
        <v>AP - TEXAS DENTAL</v>
      </c>
    </row>
    <row r="1704" spans="1:8" x14ac:dyDescent="0.25">
      <c r="E1704" t="str">
        <f>"FD 201904308910"</f>
        <v>FD 201904308910</v>
      </c>
      <c r="F1704" t="str">
        <f>"AP - FT DEARBORN PRE-TAX"</f>
        <v>AP - FT DEARBORN PRE-TAX</v>
      </c>
      <c r="G1704" s="2">
        <v>138.33000000000001</v>
      </c>
      <c r="H1704" t="str">
        <f>"AP - FT DEARBORN PRE-TAX"</f>
        <v>AP - FT DEARBORN PRE-TAX</v>
      </c>
    </row>
    <row r="1705" spans="1:8" x14ac:dyDescent="0.25">
      <c r="E1705" t="str">
        <f>"FDT201904308910"</f>
        <v>FDT201904308910</v>
      </c>
      <c r="F1705" t="str">
        <f>"AP - FT DEARBORN AFTER TAX"</f>
        <v>AP - FT DEARBORN AFTER TAX</v>
      </c>
      <c r="G1705" s="2">
        <v>64.39</v>
      </c>
      <c r="H1705" t="str">
        <f>"AP - FT DEARBORN AFTER TAX"</f>
        <v>AP - FT DEARBORN AFTER TAX</v>
      </c>
    </row>
    <row r="1706" spans="1:8" x14ac:dyDescent="0.25">
      <c r="E1706" t="str">
        <f>"FLX201904308910"</f>
        <v>FLX201904308910</v>
      </c>
      <c r="F1706" t="str">
        <f>"AP - TEX FLEX"</f>
        <v>AP - TEX FLEX</v>
      </c>
      <c r="G1706" s="2">
        <v>220</v>
      </c>
      <c r="H1706" t="str">
        <f>"AP - TEX FLEX"</f>
        <v>AP - TEX FLEX</v>
      </c>
    </row>
    <row r="1707" spans="1:8" x14ac:dyDescent="0.25">
      <c r="E1707" t="str">
        <f>"MHS201904308910"</f>
        <v>MHS201904308910</v>
      </c>
      <c r="F1707" t="str">
        <f>"AP - HEALTH SELECT MEDICAL"</f>
        <v>AP - HEALTH SELECT MEDICAL</v>
      </c>
      <c r="G1707" s="2">
        <v>1556.5</v>
      </c>
      <c r="H1707" t="str">
        <f>"AP - HEALTH SELECT MEDICAL"</f>
        <v>AP - HEALTH SELECT MEDICAL</v>
      </c>
    </row>
    <row r="1708" spans="1:8" x14ac:dyDescent="0.25">
      <c r="E1708" t="str">
        <f>"MSW201904308910"</f>
        <v>MSW201904308910</v>
      </c>
      <c r="F1708" t="str">
        <f>"AP - SCOTT &amp; WHITE MEDICAL"</f>
        <v>AP - SCOTT &amp; WHITE MEDICAL</v>
      </c>
      <c r="G1708" s="2">
        <v>431.02</v>
      </c>
      <c r="H1708" t="str">
        <f>"AP - SCOTT &amp; WHITE MEDICAL"</f>
        <v>AP - SCOTT &amp; WHITE MEDICAL</v>
      </c>
    </row>
    <row r="1709" spans="1:8" x14ac:dyDescent="0.25">
      <c r="E1709" t="str">
        <f>"SPE201904308910"</f>
        <v>SPE201904308910</v>
      </c>
      <c r="F1709" t="str">
        <f>"AP - STATE VISION"</f>
        <v>AP - STATE VISION</v>
      </c>
      <c r="G1709" s="2">
        <v>37.020000000000003</v>
      </c>
      <c r="H1709" t="str">
        <f>"AP - STATE VISION"</f>
        <v>AP - STATE VISION</v>
      </c>
    </row>
    <row r="1710" spans="1:8" x14ac:dyDescent="0.25">
      <c r="A1710" t="s">
        <v>455</v>
      </c>
      <c r="B1710">
        <v>130</v>
      </c>
      <c r="C1710" s="2">
        <v>2889.92</v>
      </c>
      <c r="D1710" s="1">
        <v>43602</v>
      </c>
      <c r="E1710" t="str">
        <f>"DDP201905159267"</f>
        <v>DDP201905159267</v>
      </c>
      <c r="F1710" t="str">
        <f>"AP - TEXAS DISCOUNT DENTAL"</f>
        <v>AP - TEXAS DISCOUNT DENTAL</v>
      </c>
      <c r="G1710" s="2">
        <v>2.7</v>
      </c>
      <c r="H1710" t="str">
        <f>"AP - TEXAS DISCOUNT DENTAL"</f>
        <v>AP - TEXAS DISCOUNT DENTAL</v>
      </c>
    </row>
    <row r="1711" spans="1:8" x14ac:dyDescent="0.25">
      <c r="E1711" t="str">
        <f>"DHM201905159267"</f>
        <v>DHM201905159267</v>
      </c>
      <c r="F1711" t="str">
        <f>"AP - DENTAL HMO"</f>
        <v>AP - DENTAL HMO</v>
      </c>
      <c r="G1711" s="2">
        <v>51.8</v>
      </c>
      <c r="H1711" t="str">
        <f>"AP - DENTAL HMO"</f>
        <v>AP - DENTAL HMO</v>
      </c>
    </row>
    <row r="1712" spans="1:8" x14ac:dyDescent="0.25">
      <c r="E1712" t="str">
        <f>"DTX201905159267"</f>
        <v>DTX201905159267</v>
      </c>
      <c r="F1712" t="str">
        <f>"AP - TEXAS DENTAL"</f>
        <v>AP - TEXAS DENTAL</v>
      </c>
      <c r="G1712" s="2">
        <v>388.16</v>
      </c>
      <c r="H1712" t="str">
        <f>"AP - TEXAS DENTAL"</f>
        <v>AP - TEXAS DENTAL</v>
      </c>
    </row>
    <row r="1713" spans="1:8" x14ac:dyDescent="0.25">
      <c r="E1713" t="str">
        <f>"FD 201905159267"</f>
        <v>FD 201905159267</v>
      </c>
      <c r="F1713" t="str">
        <f>"AP - FT DEARBORN PRE-TAX"</f>
        <v>AP - FT DEARBORN PRE-TAX</v>
      </c>
      <c r="G1713" s="2">
        <v>138.33000000000001</v>
      </c>
      <c r="H1713" t="str">
        <f>"AP - FT DEARBORN PRE-TAX"</f>
        <v>AP - FT DEARBORN PRE-TAX</v>
      </c>
    </row>
    <row r="1714" spans="1:8" x14ac:dyDescent="0.25">
      <c r="E1714" t="str">
        <f>"FDT201905159267"</f>
        <v>FDT201905159267</v>
      </c>
      <c r="F1714" t="str">
        <f>"AP - FT DEARBORN AFTER TAX"</f>
        <v>AP - FT DEARBORN AFTER TAX</v>
      </c>
      <c r="G1714" s="2">
        <v>64.39</v>
      </c>
      <c r="H1714" t="str">
        <f>"AP - FT DEARBORN AFTER TAX"</f>
        <v>AP - FT DEARBORN AFTER TAX</v>
      </c>
    </row>
    <row r="1715" spans="1:8" x14ac:dyDescent="0.25">
      <c r="E1715" t="str">
        <f>"FLX201905159267"</f>
        <v>FLX201905159267</v>
      </c>
      <c r="F1715" t="str">
        <f>"AP - TEX FLEX"</f>
        <v>AP - TEX FLEX</v>
      </c>
      <c r="G1715" s="2">
        <v>220</v>
      </c>
      <c r="H1715" t="str">
        <f>"AP - TEX FLEX"</f>
        <v>AP - TEX FLEX</v>
      </c>
    </row>
    <row r="1716" spans="1:8" x14ac:dyDescent="0.25">
      <c r="E1716" t="str">
        <f>"MHS201905159267"</f>
        <v>MHS201905159267</v>
      </c>
      <c r="F1716" t="str">
        <f>"AP - HEALTH SELECT MEDICAL"</f>
        <v>AP - HEALTH SELECT MEDICAL</v>
      </c>
      <c r="G1716" s="2">
        <v>1556.5</v>
      </c>
      <c r="H1716" t="str">
        <f>"AP - HEALTH SELECT MEDICAL"</f>
        <v>AP - HEALTH SELECT MEDICAL</v>
      </c>
    </row>
    <row r="1717" spans="1:8" x14ac:dyDescent="0.25">
      <c r="E1717" t="str">
        <f>"MSW201905159267"</f>
        <v>MSW201905159267</v>
      </c>
      <c r="F1717" t="str">
        <f>"AP - SCOTT &amp; WHITE MEDICAL"</f>
        <v>AP - SCOTT &amp; WHITE MEDICAL</v>
      </c>
      <c r="G1717" s="2">
        <v>431.02</v>
      </c>
      <c r="H1717" t="str">
        <f>"AP - SCOTT &amp; WHITE MEDICAL"</f>
        <v>AP - SCOTT &amp; WHITE MEDICAL</v>
      </c>
    </row>
    <row r="1718" spans="1:8" x14ac:dyDescent="0.25">
      <c r="E1718" t="str">
        <f>"SPE201905159267"</f>
        <v>SPE201905159267</v>
      </c>
      <c r="F1718" t="str">
        <f>"AP - STATE VISION"</f>
        <v>AP - STATE VISION</v>
      </c>
      <c r="G1718" s="2">
        <v>37.020000000000003</v>
      </c>
      <c r="H1718" t="str">
        <f>"AP - STATE VISION"</f>
        <v>AP - STATE VISION</v>
      </c>
    </row>
    <row r="1719" spans="1:8" x14ac:dyDescent="0.25">
      <c r="A1719" t="s">
        <v>456</v>
      </c>
      <c r="B1719">
        <v>144</v>
      </c>
      <c r="C1719" s="2">
        <v>4249.46</v>
      </c>
      <c r="D1719" s="1">
        <v>43615</v>
      </c>
      <c r="E1719" t="str">
        <f>"201905309515"</f>
        <v>201905309515</v>
      </c>
      <c r="F1719" t="str">
        <f>"COLONIAL LIFE &amp; ACCIDENT INS."</f>
        <v>COLONIAL LIFE &amp; ACCIDENT INS.</v>
      </c>
      <c r="G1719" s="2">
        <v>0.52</v>
      </c>
      <c r="H1719" t="str">
        <f>"COLONIAL LIFE &amp; ACCIDENT INS."</f>
        <v>COLONIAL LIFE &amp; ACCIDENT INS.</v>
      </c>
    </row>
    <row r="1720" spans="1:8" x14ac:dyDescent="0.25">
      <c r="E1720" t="str">
        <f>"CL 201904308908"</f>
        <v>CL 201904308908</v>
      </c>
      <c r="F1720" t="str">
        <f t="shared" ref="F1720:F1739" si="13">"COLONIAL"</f>
        <v>COLONIAL</v>
      </c>
      <c r="G1720" s="2">
        <v>645.38</v>
      </c>
      <c r="H1720" t="str">
        <f t="shared" ref="H1720:H1739" si="14">"COLONIAL"</f>
        <v>COLONIAL</v>
      </c>
    </row>
    <row r="1721" spans="1:8" x14ac:dyDescent="0.25">
      <c r="E1721" t="str">
        <f>"CL 201904308909"</f>
        <v>CL 201904308909</v>
      </c>
      <c r="F1721" t="str">
        <f t="shared" si="13"/>
        <v>COLONIAL</v>
      </c>
      <c r="G1721" s="2">
        <v>14.49</v>
      </c>
      <c r="H1721" t="str">
        <f t="shared" si="14"/>
        <v>COLONIAL</v>
      </c>
    </row>
    <row r="1722" spans="1:8" x14ac:dyDescent="0.25">
      <c r="E1722" t="str">
        <f>"CL 201905159265"</f>
        <v>CL 201905159265</v>
      </c>
      <c r="F1722" t="str">
        <f t="shared" si="13"/>
        <v>COLONIAL</v>
      </c>
      <c r="G1722" s="2">
        <v>645.38</v>
      </c>
      <c r="H1722" t="str">
        <f t="shared" si="14"/>
        <v>COLONIAL</v>
      </c>
    </row>
    <row r="1723" spans="1:8" x14ac:dyDescent="0.25">
      <c r="E1723" t="str">
        <f>"CL 201905159266"</f>
        <v>CL 201905159266</v>
      </c>
      <c r="F1723" t="str">
        <f t="shared" si="13"/>
        <v>COLONIAL</v>
      </c>
      <c r="G1723" s="2">
        <v>14.49</v>
      </c>
      <c r="H1723" t="str">
        <f t="shared" si="14"/>
        <v>COLONIAL</v>
      </c>
    </row>
    <row r="1724" spans="1:8" x14ac:dyDescent="0.25">
      <c r="E1724" t="str">
        <f>"CLC201904308908"</f>
        <v>CLC201904308908</v>
      </c>
      <c r="F1724" t="str">
        <f t="shared" si="13"/>
        <v>COLONIAL</v>
      </c>
      <c r="G1724" s="2">
        <v>33.99</v>
      </c>
      <c r="H1724" t="str">
        <f t="shared" si="14"/>
        <v>COLONIAL</v>
      </c>
    </row>
    <row r="1725" spans="1:8" x14ac:dyDescent="0.25">
      <c r="E1725" t="str">
        <f>"CLC201905159265"</f>
        <v>CLC201905159265</v>
      </c>
      <c r="F1725" t="str">
        <f t="shared" si="13"/>
        <v>COLONIAL</v>
      </c>
      <c r="G1725" s="2">
        <v>33.99</v>
      </c>
      <c r="H1725" t="str">
        <f t="shared" si="14"/>
        <v>COLONIAL</v>
      </c>
    </row>
    <row r="1726" spans="1:8" x14ac:dyDescent="0.25">
      <c r="E1726" t="str">
        <f>"CLI201904308908"</f>
        <v>CLI201904308908</v>
      </c>
      <c r="F1726" t="str">
        <f t="shared" si="13"/>
        <v>COLONIAL</v>
      </c>
      <c r="G1726" s="2">
        <v>540.58000000000004</v>
      </c>
      <c r="H1726" t="str">
        <f t="shared" si="14"/>
        <v>COLONIAL</v>
      </c>
    </row>
    <row r="1727" spans="1:8" x14ac:dyDescent="0.25">
      <c r="E1727" t="str">
        <f>"CLI201905159265"</f>
        <v>CLI201905159265</v>
      </c>
      <c r="F1727" t="str">
        <f t="shared" si="13"/>
        <v>COLONIAL</v>
      </c>
      <c r="G1727" s="2">
        <v>540.58000000000004</v>
      </c>
      <c r="H1727" t="str">
        <f t="shared" si="14"/>
        <v>COLONIAL</v>
      </c>
    </row>
    <row r="1728" spans="1:8" x14ac:dyDescent="0.25">
      <c r="E1728" t="str">
        <f>"CLK201904308908"</f>
        <v>CLK201904308908</v>
      </c>
      <c r="F1728" t="str">
        <f t="shared" si="13"/>
        <v>COLONIAL</v>
      </c>
      <c r="G1728" s="2">
        <v>27.09</v>
      </c>
      <c r="H1728" t="str">
        <f t="shared" si="14"/>
        <v>COLONIAL</v>
      </c>
    </row>
    <row r="1729" spans="1:8" x14ac:dyDescent="0.25">
      <c r="E1729" t="str">
        <f>"CLK201905159265"</f>
        <v>CLK201905159265</v>
      </c>
      <c r="F1729" t="str">
        <f t="shared" si="13"/>
        <v>COLONIAL</v>
      </c>
      <c r="G1729" s="2">
        <v>27.09</v>
      </c>
      <c r="H1729" t="str">
        <f t="shared" si="14"/>
        <v>COLONIAL</v>
      </c>
    </row>
    <row r="1730" spans="1:8" x14ac:dyDescent="0.25">
      <c r="E1730" t="str">
        <f>"CLS201904308908"</f>
        <v>CLS201904308908</v>
      </c>
      <c r="F1730" t="str">
        <f t="shared" si="13"/>
        <v>COLONIAL</v>
      </c>
      <c r="G1730" s="2">
        <v>327.99</v>
      </c>
      <c r="H1730" t="str">
        <f t="shared" si="14"/>
        <v>COLONIAL</v>
      </c>
    </row>
    <row r="1731" spans="1:8" x14ac:dyDescent="0.25">
      <c r="E1731" t="str">
        <f>"CLS201904308909"</f>
        <v>CLS201904308909</v>
      </c>
      <c r="F1731" t="str">
        <f t="shared" si="13"/>
        <v>COLONIAL</v>
      </c>
      <c r="G1731" s="2">
        <v>28.57</v>
      </c>
      <c r="H1731" t="str">
        <f t="shared" si="14"/>
        <v>COLONIAL</v>
      </c>
    </row>
    <row r="1732" spans="1:8" x14ac:dyDescent="0.25">
      <c r="E1732" t="str">
        <f>"CLS201905159265"</f>
        <v>CLS201905159265</v>
      </c>
      <c r="F1732" t="str">
        <f t="shared" si="13"/>
        <v>COLONIAL</v>
      </c>
      <c r="G1732" s="2">
        <v>327.99</v>
      </c>
      <c r="H1732" t="str">
        <f t="shared" si="14"/>
        <v>COLONIAL</v>
      </c>
    </row>
    <row r="1733" spans="1:8" x14ac:dyDescent="0.25">
      <c r="E1733" t="str">
        <f>"CLS201905159266"</f>
        <v>CLS201905159266</v>
      </c>
      <c r="F1733" t="str">
        <f t="shared" si="13"/>
        <v>COLONIAL</v>
      </c>
      <c r="G1733" s="2">
        <v>28.57</v>
      </c>
      <c r="H1733" t="str">
        <f t="shared" si="14"/>
        <v>COLONIAL</v>
      </c>
    </row>
    <row r="1734" spans="1:8" x14ac:dyDescent="0.25">
      <c r="E1734" t="str">
        <f>"CLT201904308908"</f>
        <v>CLT201904308908</v>
      </c>
      <c r="F1734" t="str">
        <f t="shared" si="13"/>
        <v>COLONIAL</v>
      </c>
      <c r="G1734" s="2">
        <v>300.85000000000002</v>
      </c>
      <c r="H1734" t="str">
        <f t="shared" si="14"/>
        <v>COLONIAL</v>
      </c>
    </row>
    <row r="1735" spans="1:8" x14ac:dyDescent="0.25">
      <c r="E1735" t="str">
        <f>"CLT201905159265"</f>
        <v>CLT201905159265</v>
      </c>
      <c r="F1735" t="str">
        <f t="shared" si="13"/>
        <v>COLONIAL</v>
      </c>
      <c r="G1735" s="2">
        <v>300.85000000000002</v>
      </c>
      <c r="H1735" t="str">
        <f t="shared" si="14"/>
        <v>COLONIAL</v>
      </c>
    </row>
    <row r="1736" spans="1:8" x14ac:dyDescent="0.25">
      <c r="E1736" t="str">
        <f>"CLU201904308908"</f>
        <v>CLU201904308908</v>
      </c>
      <c r="F1736" t="str">
        <f t="shared" si="13"/>
        <v>COLONIAL</v>
      </c>
      <c r="G1736" s="2">
        <v>111.55</v>
      </c>
      <c r="H1736" t="str">
        <f t="shared" si="14"/>
        <v>COLONIAL</v>
      </c>
    </row>
    <row r="1737" spans="1:8" x14ac:dyDescent="0.25">
      <c r="E1737" t="str">
        <f>"CLU201905159265"</f>
        <v>CLU201905159265</v>
      </c>
      <c r="F1737" t="str">
        <f t="shared" si="13"/>
        <v>COLONIAL</v>
      </c>
      <c r="G1737" s="2">
        <v>111.55</v>
      </c>
      <c r="H1737" t="str">
        <f t="shared" si="14"/>
        <v>COLONIAL</v>
      </c>
    </row>
    <row r="1738" spans="1:8" x14ac:dyDescent="0.25">
      <c r="E1738" t="str">
        <f>"CLW201904308908"</f>
        <v>CLW201904308908</v>
      </c>
      <c r="F1738" t="str">
        <f t="shared" si="13"/>
        <v>COLONIAL</v>
      </c>
      <c r="G1738" s="2">
        <v>93.98</v>
      </c>
      <c r="H1738" t="str">
        <f t="shared" si="14"/>
        <v>COLONIAL</v>
      </c>
    </row>
    <row r="1739" spans="1:8" x14ac:dyDescent="0.25">
      <c r="E1739" t="str">
        <f>"CLW201905159265"</f>
        <v>CLW201905159265</v>
      </c>
      <c r="F1739" t="str">
        <f t="shared" si="13"/>
        <v>COLONIAL</v>
      </c>
      <c r="G1739" s="2">
        <v>93.98</v>
      </c>
      <c r="H1739" t="str">
        <f t="shared" si="14"/>
        <v>COLONIAL</v>
      </c>
    </row>
    <row r="1740" spans="1:8" x14ac:dyDescent="0.25">
      <c r="A1740" t="s">
        <v>457</v>
      </c>
      <c r="B1740">
        <v>123</v>
      </c>
      <c r="C1740" s="2">
        <v>6980.88</v>
      </c>
      <c r="D1740" s="1">
        <v>43588</v>
      </c>
      <c r="E1740" t="str">
        <f>"CPI201904308908"</f>
        <v>CPI201904308908</v>
      </c>
      <c r="F1740" t="str">
        <f>"DEFERRED COMP 457B PAYABLE"</f>
        <v>DEFERRED COMP 457B PAYABLE</v>
      </c>
      <c r="G1740" s="2">
        <v>6873.38</v>
      </c>
      <c r="H1740" t="str">
        <f>"DEFERRED COMP 457B PAYABLE"</f>
        <v>DEFERRED COMP 457B PAYABLE</v>
      </c>
    </row>
    <row r="1741" spans="1:8" x14ac:dyDescent="0.25">
      <c r="E1741" t="str">
        <f>"CPI201904308909"</f>
        <v>CPI201904308909</v>
      </c>
      <c r="F1741" t="str">
        <f>"DEFERRED COMP 457B PAYABLE"</f>
        <v>DEFERRED COMP 457B PAYABLE</v>
      </c>
      <c r="G1741" s="2">
        <v>107.5</v>
      </c>
      <c r="H1741" t="str">
        <f>"DEFERRED COMP 457B PAYABLE"</f>
        <v>DEFERRED COMP 457B PAYABLE</v>
      </c>
    </row>
    <row r="1742" spans="1:8" x14ac:dyDescent="0.25">
      <c r="A1742" t="s">
        <v>457</v>
      </c>
      <c r="B1742">
        <v>131</v>
      </c>
      <c r="C1742" s="2">
        <v>8080.88</v>
      </c>
      <c r="D1742" s="1">
        <v>43602</v>
      </c>
      <c r="E1742" t="str">
        <f>"CPI201905159265"</f>
        <v>CPI201905159265</v>
      </c>
      <c r="F1742" t="str">
        <f>"DEFERRED COMP 457B PAYABLE"</f>
        <v>DEFERRED COMP 457B PAYABLE</v>
      </c>
      <c r="G1742" s="2">
        <v>7973.38</v>
      </c>
      <c r="H1742" t="str">
        <f>"DEFERRED COMP 457B PAYABLE"</f>
        <v>DEFERRED COMP 457B PAYABLE</v>
      </c>
    </row>
    <row r="1743" spans="1:8" x14ac:dyDescent="0.25">
      <c r="E1743" t="str">
        <f>"CPI201905159266"</f>
        <v>CPI201905159266</v>
      </c>
      <c r="F1743" t="str">
        <f>"DEFERRED COMP 457B PAYABLE"</f>
        <v>DEFERRED COMP 457B PAYABLE</v>
      </c>
      <c r="G1743" s="2">
        <v>107.5</v>
      </c>
      <c r="H1743" t="str">
        <f>"DEFERRED COMP 457B PAYABLE"</f>
        <v>DEFERRED COMP 457B PAYABLE</v>
      </c>
    </row>
    <row r="1744" spans="1:8" x14ac:dyDescent="0.25">
      <c r="A1744" t="s">
        <v>458</v>
      </c>
      <c r="B1744">
        <v>47431</v>
      </c>
      <c r="C1744" s="2">
        <v>853.85</v>
      </c>
      <c r="D1744" s="1">
        <v>43588</v>
      </c>
      <c r="E1744" t="str">
        <f>"B13201904308908"</f>
        <v>B13201904308908</v>
      </c>
      <c r="F1744" t="str">
        <f>"Rosa Warren 15-10357-TMD"</f>
        <v>Rosa Warren 15-10357-TMD</v>
      </c>
      <c r="G1744" s="2">
        <v>853.85</v>
      </c>
      <c r="H1744" t="str">
        <f>"Rosa Warren 15-10357-TMD"</f>
        <v>Rosa Warren 15-10357-TMD</v>
      </c>
    </row>
    <row r="1745" spans="1:8" x14ac:dyDescent="0.25">
      <c r="A1745" t="s">
        <v>458</v>
      </c>
      <c r="B1745">
        <v>47464</v>
      </c>
      <c r="C1745" s="2">
        <v>853.85</v>
      </c>
      <c r="D1745" s="1">
        <v>43602</v>
      </c>
      <c r="E1745" t="str">
        <f>"B13201905159265"</f>
        <v>B13201905159265</v>
      </c>
      <c r="F1745" t="str">
        <f>"Rosa Warren 15-10357-TMD"</f>
        <v>Rosa Warren 15-10357-TMD</v>
      </c>
      <c r="G1745" s="2">
        <v>853.85</v>
      </c>
      <c r="H1745" t="str">
        <f>"Rosa Warren 15-10357-TMD"</f>
        <v>Rosa Warren 15-10357-TMD</v>
      </c>
    </row>
    <row r="1746" spans="1:8" x14ac:dyDescent="0.25">
      <c r="A1746" t="s">
        <v>458</v>
      </c>
      <c r="B1746">
        <v>47487</v>
      </c>
      <c r="C1746" s="2">
        <v>853.85</v>
      </c>
      <c r="D1746" s="1">
        <v>43616</v>
      </c>
      <c r="E1746" t="str">
        <f>"B13201905299491"</f>
        <v>B13201905299491</v>
      </c>
      <c r="F1746" t="str">
        <f>"Rosa Warren 15-10357-TMD"</f>
        <v>Rosa Warren 15-10357-TMD</v>
      </c>
      <c r="G1746" s="2">
        <v>853.85</v>
      </c>
      <c r="H1746" t="str">
        <f>"Rosa Warren 15-10357-TMD"</f>
        <v>Rosa Warren 15-10357-TMD</v>
      </c>
    </row>
    <row r="1747" spans="1:8" x14ac:dyDescent="0.25">
      <c r="A1747" t="s">
        <v>459</v>
      </c>
      <c r="B1747">
        <v>140</v>
      </c>
      <c r="C1747" s="2">
        <v>40410.22</v>
      </c>
      <c r="D1747" s="1">
        <v>43615</v>
      </c>
      <c r="E1747" t="str">
        <f>"GDE201905299491"</f>
        <v>GDE201905299491</v>
      </c>
      <c r="F1747" t="str">
        <f>"GUARDIAN"</f>
        <v>GUARDIAN</v>
      </c>
      <c r="G1747" s="2">
        <v>-15.39</v>
      </c>
      <c r="H1747" t="str">
        <f>"GUARDIAN"</f>
        <v>GUARDIAN</v>
      </c>
    </row>
    <row r="1748" spans="1:8" x14ac:dyDescent="0.25">
      <c r="E1748" t="str">
        <f>"GVE201905299491"</f>
        <v>GVE201905299491</v>
      </c>
      <c r="F1748" t="str">
        <f>"GUARDIAN VISION VENDOR"</f>
        <v>GUARDIAN VISION VENDOR</v>
      </c>
      <c r="G1748" s="2">
        <v>-3.69</v>
      </c>
      <c r="H1748" t="str">
        <f>"GUARDIAN VISION VENDOR"</f>
        <v>GUARDIAN VISION VENDOR</v>
      </c>
    </row>
    <row r="1749" spans="1:8" x14ac:dyDescent="0.25">
      <c r="E1749" t="str">
        <f>"201905299488"</f>
        <v>201905299488</v>
      </c>
      <c r="F1749" t="str">
        <f>"Retiree May 2019"</f>
        <v>Retiree May 2019</v>
      </c>
      <c r="G1749" s="2">
        <v>3533.58</v>
      </c>
      <c r="H1749" t="str">
        <f>"Retiree May 2019"</f>
        <v>Retiree May 2019</v>
      </c>
    </row>
    <row r="1750" spans="1:8" x14ac:dyDescent="0.25">
      <c r="E1750" t="str">
        <f>"ADC201904308908"</f>
        <v>ADC201904308908</v>
      </c>
      <c r="F1750" t="str">
        <f t="shared" ref="F1750:F1762" si="15">"GUARDIAN"</f>
        <v>GUARDIAN</v>
      </c>
      <c r="G1750" s="2">
        <v>4.5199999999999996</v>
      </c>
      <c r="H1750" t="str">
        <f t="shared" ref="H1750:H1813" si="16">"GUARDIAN"</f>
        <v>GUARDIAN</v>
      </c>
    </row>
    <row r="1751" spans="1:8" x14ac:dyDescent="0.25">
      <c r="E1751" t="str">
        <f>"ADC201904308909"</f>
        <v>ADC201904308909</v>
      </c>
      <c r="F1751" t="str">
        <f t="shared" si="15"/>
        <v>GUARDIAN</v>
      </c>
      <c r="G1751" s="2">
        <v>0.16</v>
      </c>
      <c r="H1751" t="str">
        <f t="shared" si="16"/>
        <v>GUARDIAN</v>
      </c>
    </row>
    <row r="1752" spans="1:8" x14ac:dyDescent="0.25">
      <c r="E1752" t="str">
        <f>"ADC201905159265"</f>
        <v>ADC201905159265</v>
      </c>
      <c r="F1752" t="str">
        <f t="shared" si="15"/>
        <v>GUARDIAN</v>
      </c>
      <c r="G1752" s="2">
        <v>4.5199999999999996</v>
      </c>
      <c r="H1752" t="str">
        <f t="shared" si="16"/>
        <v>GUARDIAN</v>
      </c>
    </row>
    <row r="1753" spans="1:8" x14ac:dyDescent="0.25">
      <c r="E1753" t="str">
        <f>"ADC201905159266"</f>
        <v>ADC201905159266</v>
      </c>
      <c r="F1753" t="str">
        <f t="shared" si="15"/>
        <v>GUARDIAN</v>
      </c>
      <c r="G1753" s="2">
        <v>0.16</v>
      </c>
      <c r="H1753" t="str">
        <f t="shared" si="16"/>
        <v>GUARDIAN</v>
      </c>
    </row>
    <row r="1754" spans="1:8" x14ac:dyDescent="0.25">
      <c r="E1754" t="str">
        <f>"ADE201904308908"</f>
        <v>ADE201904308908</v>
      </c>
      <c r="F1754" t="str">
        <f t="shared" si="15"/>
        <v>GUARDIAN</v>
      </c>
      <c r="G1754" s="2">
        <v>216.06</v>
      </c>
      <c r="H1754" t="str">
        <f t="shared" si="16"/>
        <v>GUARDIAN</v>
      </c>
    </row>
    <row r="1755" spans="1:8" x14ac:dyDescent="0.25">
      <c r="E1755" t="str">
        <f>"ADE201904308909"</f>
        <v>ADE201904308909</v>
      </c>
      <c r="F1755" t="str">
        <f t="shared" si="15"/>
        <v>GUARDIAN</v>
      </c>
      <c r="G1755" s="2">
        <v>6.3</v>
      </c>
      <c r="H1755" t="str">
        <f t="shared" si="16"/>
        <v>GUARDIAN</v>
      </c>
    </row>
    <row r="1756" spans="1:8" x14ac:dyDescent="0.25">
      <c r="E1756" t="str">
        <f>"ADE201905159265"</f>
        <v>ADE201905159265</v>
      </c>
      <c r="F1756" t="str">
        <f t="shared" si="15"/>
        <v>GUARDIAN</v>
      </c>
      <c r="G1756" s="2">
        <v>216.51</v>
      </c>
      <c r="H1756" t="str">
        <f t="shared" si="16"/>
        <v>GUARDIAN</v>
      </c>
    </row>
    <row r="1757" spans="1:8" x14ac:dyDescent="0.25">
      <c r="E1757" t="str">
        <f>"ADE201905159266"</f>
        <v>ADE201905159266</v>
      </c>
      <c r="F1757" t="str">
        <f t="shared" si="15"/>
        <v>GUARDIAN</v>
      </c>
      <c r="G1757" s="2">
        <v>6.3</v>
      </c>
      <c r="H1757" t="str">
        <f t="shared" si="16"/>
        <v>GUARDIAN</v>
      </c>
    </row>
    <row r="1758" spans="1:8" x14ac:dyDescent="0.25">
      <c r="E1758" t="str">
        <f>"ADS201904308908"</f>
        <v>ADS201904308908</v>
      </c>
      <c r="F1758" t="str">
        <f t="shared" si="15"/>
        <v>GUARDIAN</v>
      </c>
      <c r="G1758" s="2">
        <v>37.92</v>
      </c>
      <c r="H1758" t="str">
        <f t="shared" si="16"/>
        <v>GUARDIAN</v>
      </c>
    </row>
    <row r="1759" spans="1:8" x14ac:dyDescent="0.25">
      <c r="E1759" t="str">
        <f>"ADS201904308909"</f>
        <v>ADS201904308909</v>
      </c>
      <c r="F1759" t="str">
        <f t="shared" si="15"/>
        <v>GUARDIAN</v>
      </c>
      <c r="G1759" s="2">
        <v>0.53</v>
      </c>
      <c r="H1759" t="str">
        <f t="shared" si="16"/>
        <v>GUARDIAN</v>
      </c>
    </row>
    <row r="1760" spans="1:8" x14ac:dyDescent="0.25">
      <c r="E1760" t="str">
        <f>"ADS201905159265"</f>
        <v>ADS201905159265</v>
      </c>
      <c r="F1760" t="str">
        <f t="shared" si="15"/>
        <v>GUARDIAN</v>
      </c>
      <c r="G1760" s="2">
        <v>37.92</v>
      </c>
      <c r="H1760" t="str">
        <f t="shared" si="16"/>
        <v>GUARDIAN</v>
      </c>
    </row>
    <row r="1761" spans="5:8" x14ac:dyDescent="0.25">
      <c r="E1761" t="str">
        <f>"ADS201905159266"</f>
        <v>ADS201905159266</v>
      </c>
      <c r="F1761" t="str">
        <f t="shared" si="15"/>
        <v>GUARDIAN</v>
      </c>
      <c r="G1761" s="2">
        <v>0.53</v>
      </c>
      <c r="H1761" t="str">
        <f t="shared" si="16"/>
        <v>GUARDIAN</v>
      </c>
    </row>
    <row r="1762" spans="5:8" x14ac:dyDescent="0.25">
      <c r="E1762" t="str">
        <f>"GDC201904308908"</f>
        <v>GDC201904308908</v>
      </c>
      <c r="F1762" t="str">
        <f t="shared" si="15"/>
        <v>GUARDIAN</v>
      </c>
      <c r="G1762" s="2">
        <v>2614.92</v>
      </c>
      <c r="H1762" t="str">
        <f t="shared" si="16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16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16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16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16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16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16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16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16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16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16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16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16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16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16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16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16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16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16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16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16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16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16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16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16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16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16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16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16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16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16"/>
        <v>GUARDIAN</v>
      </c>
    </row>
    <row r="1793" spans="5:8" x14ac:dyDescent="0.25">
      <c r="E1793" t="str">
        <f>"GDC201904308909"</f>
        <v>GDC201904308909</v>
      </c>
      <c r="F1793" t="str">
        <f>"GUARDIAN"</f>
        <v>GUARDIAN</v>
      </c>
      <c r="G1793" s="2">
        <v>135.84</v>
      </c>
      <c r="H1793" t="str">
        <f t="shared" si="16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16"/>
        <v>GUARDIAN</v>
      </c>
    </row>
    <row r="1795" spans="5:8" x14ac:dyDescent="0.25">
      <c r="E1795" t="str">
        <f>"GDC201905159265"</f>
        <v>GDC201905159265</v>
      </c>
      <c r="F1795" t="str">
        <f>"GUARDIAN"</f>
        <v>GUARDIAN</v>
      </c>
      <c r="G1795" s="2">
        <v>2614.92</v>
      </c>
      <c r="H1795" t="str">
        <f t="shared" si="16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16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16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16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16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16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16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16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16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16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16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16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16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16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16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16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16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16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16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ref="H1814:H1877" si="17">"GUARDIAN"</f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17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17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17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17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17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17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17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17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17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17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17"/>
        <v>GUARDIAN</v>
      </c>
    </row>
    <row r="1826" spans="5:8" x14ac:dyDescent="0.25">
      <c r="E1826" t="str">
        <f>"GDC201905159266"</f>
        <v>GDC201905159266</v>
      </c>
      <c r="F1826" t="str">
        <f>"GUARDIAN"</f>
        <v>GUARDIAN</v>
      </c>
      <c r="G1826" s="2">
        <v>135.84</v>
      </c>
      <c r="H1826" t="str">
        <f t="shared" si="17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17"/>
        <v>GUARDIAN</v>
      </c>
    </row>
    <row r="1828" spans="5:8" x14ac:dyDescent="0.25">
      <c r="E1828" t="str">
        <f>"GDE201904308908"</f>
        <v>GDE201904308908</v>
      </c>
      <c r="F1828" t="str">
        <f>"GUARDIAN"</f>
        <v>GUARDIAN</v>
      </c>
      <c r="G1828" s="2">
        <v>4216.8599999999997</v>
      </c>
      <c r="H1828" t="str">
        <f t="shared" si="17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17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17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17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17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17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17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17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17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17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17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17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17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17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17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17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17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17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17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17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17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17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17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17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17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17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17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17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17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17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17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17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17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17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17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17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17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17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17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17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17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17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17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17"/>
        <v>GUARDIAN</v>
      </c>
    </row>
    <row r="1872" spans="5:8" x14ac:dyDescent="0.25">
      <c r="E1872" t="str">
        <f>"GDE201904308909"</f>
        <v>GDE201904308909</v>
      </c>
      <c r="F1872" t="str">
        <f>"GUARDIAN"</f>
        <v>GUARDIAN</v>
      </c>
      <c r="G1872" s="2">
        <v>169.29</v>
      </c>
      <c r="H1872" t="str">
        <f t="shared" si="17"/>
        <v>GUARDIAN</v>
      </c>
    </row>
    <row r="1873" spans="5:8" x14ac:dyDescent="0.25">
      <c r="E1873" t="str">
        <f>"GDE201905159265"</f>
        <v>GDE201905159265</v>
      </c>
      <c r="F1873" t="str">
        <f>"GUARDIAN"</f>
        <v>GUARDIAN</v>
      </c>
      <c r="G1873" s="2">
        <v>4232.25</v>
      </c>
      <c r="H1873" t="str">
        <f t="shared" si="17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17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17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17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17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ref="H1878:H1941" si="18">"GUARDIAN"</f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18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18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18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18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18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18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18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18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18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18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18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18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18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18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18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18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18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18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18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18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18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18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18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18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18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18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18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18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18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18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18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18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18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18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18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18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18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18"/>
        <v>GUARDIAN</v>
      </c>
    </row>
    <row r="1917" spans="5:8" x14ac:dyDescent="0.25">
      <c r="E1917" t="str">
        <f>"GDE201905159266"</f>
        <v>GDE201905159266</v>
      </c>
      <c r="F1917" t="str">
        <f>"GUARDIAN"</f>
        <v>GUARDIAN</v>
      </c>
      <c r="G1917" s="2">
        <v>169.29</v>
      </c>
      <c r="H1917" t="str">
        <f t="shared" si="18"/>
        <v>GUARDIAN</v>
      </c>
    </row>
    <row r="1918" spans="5:8" x14ac:dyDescent="0.25">
      <c r="E1918" t="str">
        <f>"GDF201904308908"</f>
        <v>GDF201904308908</v>
      </c>
      <c r="F1918" t="str">
        <f>"GUARDIAN"</f>
        <v>GUARDIAN</v>
      </c>
      <c r="G1918" s="2">
        <v>2359.87</v>
      </c>
      <c r="H1918" t="str">
        <f t="shared" si="18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18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18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18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18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18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18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18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18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18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18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18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18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18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18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18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18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18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18"/>
        <v>GUARDIAN</v>
      </c>
    </row>
    <row r="1937" spans="5:8" x14ac:dyDescent="0.25">
      <c r="E1937" t="str">
        <f>"GDF201904308909"</f>
        <v>GDF201904308909</v>
      </c>
      <c r="F1937" t="str">
        <f>"GUARDIAN"</f>
        <v>GUARDIAN</v>
      </c>
      <c r="G1937" s="2">
        <v>100.42</v>
      </c>
      <c r="H1937" t="str">
        <f t="shared" si="18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18"/>
        <v>GUARDIAN</v>
      </c>
    </row>
    <row r="1939" spans="5:8" x14ac:dyDescent="0.25">
      <c r="E1939" t="str">
        <f>"GDF201905159265"</f>
        <v>GDF201905159265</v>
      </c>
      <c r="F1939" t="str">
        <f>"GUARDIAN"</f>
        <v>GUARDIAN</v>
      </c>
      <c r="G1939" s="2">
        <v>2359.87</v>
      </c>
      <c r="H1939" t="str">
        <f t="shared" si="18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18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18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ref="H1942:H2009" si="19">"GUARDIAN"</f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19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19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19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19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19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19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19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19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19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19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19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19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19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19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19"/>
        <v>GUARDIAN</v>
      </c>
    </row>
    <row r="1958" spans="5:8" x14ac:dyDescent="0.25">
      <c r="E1958" t="str">
        <f>"GDF201905159266"</f>
        <v>GDF201905159266</v>
      </c>
      <c r="F1958" t="str">
        <f>"GUARDIAN"</f>
        <v>GUARDIAN</v>
      </c>
      <c r="G1958" s="2">
        <v>100.42</v>
      </c>
      <c r="H1958" t="str">
        <f t="shared" si="19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19"/>
        <v>GUARDIAN</v>
      </c>
    </row>
    <row r="1960" spans="5:8" x14ac:dyDescent="0.25">
      <c r="E1960" t="str">
        <f>"GDS201904308908"</f>
        <v>GDS201904308908</v>
      </c>
      <c r="F1960" t="str">
        <f>"GUARDIAN"</f>
        <v>GUARDIAN</v>
      </c>
      <c r="G1960" s="2">
        <v>1799.16</v>
      </c>
      <c r="H1960" t="str">
        <f t="shared" si="19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19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19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19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19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19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19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19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19"/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19"/>
        <v>GUARDIAN</v>
      </c>
    </row>
    <row r="1970" spans="5:8" x14ac:dyDescent="0.25">
      <c r="E1970" t="str">
        <f>""</f>
        <v/>
      </c>
      <c r="F1970" t="str">
        <f>""</f>
        <v/>
      </c>
      <c r="H1970" t="str">
        <f t="shared" si="19"/>
        <v>GUARDIAN</v>
      </c>
    </row>
    <row r="1971" spans="5:8" x14ac:dyDescent="0.25">
      <c r="E1971" t="str">
        <f>""</f>
        <v/>
      </c>
      <c r="F1971" t="str">
        <f>""</f>
        <v/>
      </c>
      <c r="H1971" t="str">
        <f t="shared" si="19"/>
        <v>GUARDIAN</v>
      </c>
    </row>
    <row r="1972" spans="5:8" x14ac:dyDescent="0.25">
      <c r="E1972" t="str">
        <f>""</f>
        <v/>
      </c>
      <c r="F1972" t="str">
        <f>""</f>
        <v/>
      </c>
      <c r="H1972" t="str">
        <f t="shared" si="19"/>
        <v>GUARDIAN</v>
      </c>
    </row>
    <row r="1973" spans="5:8" x14ac:dyDescent="0.25">
      <c r="E1973" t="str">
        <f>""</f>
        <v/>
      </c>
      <c r="F1973" t="str">
        <f>""</f>
        <v/>
      </c>
      <c r="H1973" t="str">
        <f t="shared" si="19"/>
        <v>GUARDIAN</v>
      </c>
    </row>
    <row r="1974" spans="5:8" x14ac:dyDescent="0.25">
      <c r="E1974" t="str">
        <f>""</f>
        <v/>
      </c>
      <c r="F1974" t="str">
        <f>""</f>
        <v/>
      </c>
      <c r="H1974" t="str">
        <f t="shared" si="19"/>
        <v>GUARDIAN</v>
      </c>
    </row>
    <row r="1975" spans="5:8" x14ac:dyDescent="0.25">
      <c r="E1975" t="str">
        <f>""</f>
        <v/>
      </c>
      <c r="F1975" t="str">
        <f>""</f>
        <v/>
      </c>
      <c r="H1975" t="str">
        <f t="shared" si="19"/>
        <v>GUARDIAN</v>
      </c>
    </row>
    <row r="1976" spans="5:8" x14ac:dyDescent="0.25">
      <c r="E1976" t="str">
        <f>""</f>
        <v/>
      </c>
      <c r="F1976" t="str">
        <f>""</f>
        <v/>
      </c>
      <c r="H1976" t="str">
        <f t="shared" si="19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19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19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19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19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si="19"/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19"/>
        <v>GUARDIAN</v>
      </c>
    </row>
    <row r="1983" spans="5:8" x14ac:dyDescent="0.25">
      <c r="E1983" t="str">
        <f>""</f>
        <v/>
      </c>
      <c r="F1983" t="str">
        <f>""</f>
        <v/>
      </c>
      <c r="H1983" t="str">
        <f t="shared" si="19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si="19"/>
        <v>GUARDIAN</v>
      </c>
    </row>
    <row r="1985" spans="5:8" x14ac:dyDescent="0.25">
      <c r="E1985" t="str">
        <f>"GDS201905159265"</f>
        <v>GDS201905159265</v>
      </c>
      <c r="F1985" t="str">
        <f>"GUARDIAN"</f>
        <v>GUARDIAN</v>
      </c>
      <c r="G1985" s="2">
        <v>1799.16</v>
      </c>
      <c r="H1985" t="str">
        <f t="shared" si="19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19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19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19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19"/>
        <v>GUARDIAN</v>
      </c>
    </row>
    <row r="1990" spans="5:8" x14ac:dyDescent="0.25">
      <c r="E1990" t="str">
        <f>""</f>
        <v/>
      </c>
      <c r="F1990" t="str">
        <f>""</f>
        <v/>
      </c>
      <c r="H1990" t="str">
        <f t="shared" si="19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19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19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19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19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19"/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si="19"/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19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19"/>
        <v>GUARDIAN</v>
      </c>
    </row>
    <row r="1999" spans="5:8" x14ac:dyDescent="0.25">
      <c r="E1999" t="str">
        <f>""</f>
        <v/>
      </c>
      <c r="F1999" t="str">
        <f>""</f>
        <v/>
      </c>
      <c r="H1999" t="str">
        <f t="shared" si="19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19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19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19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19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19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19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19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si="19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19"/>
        <v>GUARDIAN</v>
      </c>
    </row>
    <row r="2009" spans="5:8" x14ac:dyDescent="0.25">
      <c r="E2009" t="str">
        <f>""</f>
        <v/>
      </c>
      <c r="F2009" t="str">
        <f>""</f>
        <v/>
      </c>
      <c r="H2009" t="str">
        <f t="shared" si="19"/>
        <v>GUARDIAN</v>
      </c>
    </row>
    <row r="2010" spans="5:8" x14ac:dyDescent="0.25">
      <c r="E2010" t="str">
        <f>"GV1201904308908"</f>
        <v>GV1201904308908</v>
      </c>
      <c r="F2010" t="str">
        <f>"GUARDIAN VISION"</f>
        <v>GUARDIAN VISION</v>
      </c>
      <c r="G2010" s="2">
        <v>369.6</v>
      </c>
      <c r="H2010" t="str">
        <f>"GUARDIAN VISION"</f>
        <v>GUARDIAN VISION</v>
      </c>
    </row>
    <row r="2011" spans="5:8" x14ac:dyDescent="0.25">
      <c r="E2011" t="str">
        <f>"GV1201905159265"</f>
        <v>GV1201905159265</v>
      </c>
      <c r="F2011" t="str">
        <f>"GUARDIAN VISION"</f>
        <v>GUARDIAN VISION</v>
      </c>
      <c r="G2011" s="2">
        <v>369.6</v>
      </c>
      <c r="H2011" t="str">
        <f>"GUARDIAN VISION"</f>
        <v>GUARDIAN VISION</v>
      </c>
    </row>
    <row r="2012" spans="5:8" x14ac:dyDescent="0.25">
      <c r="E2012" t="str">
        <f>"GVE201904308908"</f>
        <v>GVE201904308908</v>
      </c>
      <c r="F2012" t="str">
        <f>"GUARDIAN VISION VENDOR"</f>
        <v>GUARDIAN VISION VENDOR</v>
      </c>
      <c r="G2012" s="2">
        <v>594.09</v>
      </c>
      <c r="H2012" t="str">
        <f>"GUARDIAN VISION VENDOR"</f>
        <v>GUARDIAN VISION VENDOR</v>
      </c>
    </row>
    <row r="2013" spans="5:8" x14ac:dyDescent="0.25">
      <c r="E2013" t="str">
        <f>"GVE201904308909"</f>
        <v>GVE201904308909</v>
      </c>
      <c r="F2013" t="str">
        <f>"GUARDIAN VISION VENDOR"</f>
        <v>GUARDIAN VISION VENDOR</v>
      </c>
      <c r="G2013" s="2">
        <v>25.83</v>
      </c>
      <c r="H2013" t="str">
        <f>"GUARDIAN VISION VENDOR"</f>
        <v>GUARDIAN VISION VENDOR</v>
      </c>
    </row>
    <row r="2014" spans="5:8" x14ac:dyDescent="0.25">
      <c r="E2014" t="str">
        <f>"GVE201905159265"</f>
        <v>GVE201905159265</v>
      </c>
      <c r="F2014" t="str">
        <f>"GUARDIAN VISION VENDOR"</f>
        <v>GUARDIAN VISION VENDOR</v>
      </c>
      <c r="G2014" s="2">
        <v>597.78</v>
      </c>
      <c r="H2014" t="str">
        <f>"GUARDIAN VISION VENDOR"</f>
        <v>GUARDIAN VISION VENDOR</v>
      </c>
    </row>
    <row r="2015" spans="5:8" x14ac:dyDescent="0.25">
      <c r="E2015" t="str">
        <f>"GVE201905159266"</f>
        <v>GVE201905159266</v>
      </c>
      <c r="F2015" t="str">
        <f>"GUARDIAN VISION VENDOR"</f>
        <v>GUARDIAN VISION VENDOR</v>
      </c>
      <c r="G2015" s="2">
        <v>25.83</v>
      </c>
      <c r="H2015" t="str">
        <f>"GUARDIAN VISION VENDOR"</f>
        <v>GUARDIAN VISION VENDOR</v>
      </c>
    </row>
    <row r="2016" spans="5:8" x14ac:dyDescent="0.25">
      <c r="E2016" t="str">
        <f>"GVF201904308908"</f>
        <v>GVF201904308908</v>
      </c>
      <c r="F2016" t="str">
        <f>"GUARDIAN VISION"</f>
        <v>GUARDIAN VISION</v>
      </c>
      <c r="G2016" s="2">
        <v>561.45000000000005</v>
      </c>
      <c r="H2016" t="str">
        <f>"GUARDIAN VISION"</f>
        <v>GUARDIAN VISION</v>
      </c>
    </row>
    <row r="2017" spans="5:8" x14ac:dyDescent="0.25">
      <c r="E2017" t="str">
        <f>"GVF201904308909"</f>
        <v>GVF201904308909</v>
      </c>
      <c r="F2017" t="str">
        <f>"GUARDIAN VISION VENDOR"</f>
        <v>GUARDIAN VISION VENDOR</v>
      </c>
      <c r="G2017" s="2">
        <v>29.55</v>
      </c>
      <c r="H2017" t="str">
        <f>"GUARDIAN VISION VENDOR"</f>
        <v>GUARDIAN VISION VENDOR</v>
      </c>
    </row>
    <row r="2018" spans="5:8" x14ac:dyDescent="0.25">
      <c r="E2018" t="str">
        <f>"GVF201905159265"</f>
        <v>GVF201905159265</v>
      </c>
      <c r="F2018" t="str">
        <f>"GUARDIAN VISION"</f>
        <v>GUARDIAN VISION</v>
      </c>
      <c r="G2018" s="2">
        <v>561.45000000000005</v>
      </c>
      <c r="H2018" t="str">
        <f>"GUARDIAN VISION"</f>
        <v>GUARDIAN VISION</v>
      </c>
    </row>
    <row r="2019" spans="5:8" x14ac:dyDescent="0.25">
      <c r="E2019" t="str">
        <f>"GVF201905159266"</f>
        <v>GVF201905159266</v>
      </c>
      <c r="F2019" t="str">
        <f>"GUARDIAN VISION VENDOR"</f>
        <v>GUARDIAN VISION VENDOR</v>
      </c>
      <c r="G2019" s="2">
        <v>29.55</v>
      </c>
      <c r="H2019" t="str">
        <f>"GUARDIAN VISION VENDOR"</f>
        <v>GUARDIAN VISION VENDOR</v>
      </c>
    </row>
    <row r="2020" spans="5:8" x14ac:dyDescent="0.25">
      <c r="E2020" t="str">
        <f>"LIA201904308908"</f>
        <v>LIA201904308908</v>
      </c>
      <c r="F2020" t="str">
        <f>"GUARDIAN"</f>
        <v>GUARDIAN</v>
      </c>
      <c r="G2020" s="2">
        <v>230.41</v>
      </c>
      <c r="H2020" t="str">
        <f t="shared" ref="H2020:H2051" si="20">"GUARDIAN"</f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20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20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20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20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20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20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si="20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20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20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20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20"/>
        <v>GUARDIAN</v>
      </c>
    </row>
    <row r="2032" spans="5:8" x14ac:dyDescent="0.25">
      <c r="E2032" t="str">
        <f>""</f>
        <v/>
      </c>
      <c r="F2032" t="str">
        <f>""</f>
        <v/>
      </c>
      <c r="H2032" t="str">
        <f t="shared" si="20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20"/>
        <v>GUARDIAN</v>
      </c>
    </row>
    <row r="2034" spans="5:8" x14ac:dyDescent="0.25">
      <c r="E2034" t="str">
        <f>""</f>
        <v/>
      </c>
      <c r="F2034" t="str">
        <f>""</f>
        <v/>
      </c>
      <c r="H2034" t="str">
        <f t="shared" si="20"/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20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20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20"/>
        <v>GUARDIAN</v>
      </c>
    </row>
    <row r="2038" spans="5:8" x14ac:dyDescent="0.25">
      <c r="E2038" t="str">
        <f>""</f>
        <v/>
      </c>
      <c r="F2038" t="str">
        <f>""</f>
        <v/>
      </c>
      <c r="H2038" t="str">
        <f t="shared" si="20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20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20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20"/>
        <v>GUARDIAN</v>
      </c>
    </row>
    <row r="2042" spans="5:8" x14ac:dyDescent="0.25">
      <c r="E2042" t="str">
        <f>"LIA201904308909"</f>
        <v>LIA201904308909</v>
      </c>
      <c r="F2042" t="str">
        <f>"GUARDIAN"</f>
        <v>GUARDIAN</v>
      </c>
      <c r="G2042" s="2">
        <v>40.799999999999997</v>
      </c>
      <c r="H2042" t="str">
        <f t="shared" si="20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20"/>
        <v>GUARDIAN</v>
      </c>
    </row>
    <row r="2044" spans="5:8" x14ac:dyDescent="0.25">
      <c r="E2044" t="str">
        <f>"LIA201905159265"</f>
        <v>LIA201905159265</v>
      </c>
      <c r="F2044" t="str">
        <f>"GUARDIAN"</f>
        <v>GUARDIAN</v>
      </c>
      <c r="G2044" s="2">
        <v>231.62</v>
      </c>
      <c r="H2044" t="str">
        <f t="shared" si="20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si="20"/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20"/>
        <v>GUARDIAN</v>
      </c>
    </row>
    <row r="2047" spans="5:8" x14ac:dyDescent="0.25">
      <c r="E2047" t="str">
        <f>""</f>
        <v/>
      </c>
      <c r="F2047" t="str">
        <f>""</f>
        <v/>
      </c>
      <c r="H2047" t="str">
        <f t="shared" si="20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si="20"/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20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20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si="20"/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ref="H2052:H2083" si="21">"GUARDIAN"</f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21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21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21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21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21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21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si="21"/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21"/>
        <v>GUARDIAN</v>
      </c>
    </row>
    <row r="2061" spans="5:8" x14ac:dyDescent="0.25">
      <c r="E2061" t="str">
        <f>""</f>
        <v/>
      </c>
      <c r="F2061" t="str">
        <f>""</f>
        <v/>
      </c>
      <c r="H2061" t="str">
        <f t="shared" si="21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21"/>
        <v>GUARDIAN</v>
      </c>
    </row>
    <row r="2063" spans="5:8" x14ac:dyDescent="0.25">
      <c r="E2063" t="str">
        <f>""</f>
        <v/>
      </c>
      <c r="F2063" t="str">
        <f>""</f>
        <v/>
      </c>
      <c r="H2063" t="str">
        <f t="shared" si="21"/>
        <v>GUARDIAN</v>
      </c>
    </row>
    <row r="2064" spans="5:8" x14ac:dyDescent="0.25">
      <c r="E2064" t="str">
        <f>""</f>
        <v/>
      </c>
      <c r="F2064" t="str">
        <f>""</f>
        <v/>
      </c>
      <c r="H2064" t="str">
        <f t="shared" si="21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21"/>
        <v>GUARDIAN</v>
      </c>
    </row>
    <row r="2066" spans="5:8" x14ac:dyDescent="0.25">
      <c r="E2066" t="str">
        <f>""</f>
        <v/>
      </c>
      <c r="F2066" t="str">
        <f>""</f>
        <v/>
      </c>
      <c r="H2066" t="str">
        <f t="shared" si="21"/>
        <v>GUARDIAN</v>
      </c>
    </row>
    <row r="2067" spans="5:8" x14ac:dyDescent="0.25">
      <c r="E2067" t="str">
        <f>"LIA201905159266"</f>
        <v>LIA201905159266</v>
      </c>
      <c r="F2067" t="str">
        <f>"GUARDIAN"</f>
        <v>GUARDIAN</v>
      </c>
      <c r="G2067" s="2">
        <v>40.799999999999997</v>
      </c>
      <c r="H2067" t="str">
        <f t="shared" si="21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21"/>
        <v>GUARDIAN</v>
      </c>
    </row>
    <row r="2069" spans="5:8" x14ac:dyDescent="0.25">
      <c r="E2069" t="str">
        <f>"LIC201904308908"</f>
        <v>LIC201904308908</v>
      </c>
      <c r="F2069" t="str">
        <f>"GUARDIAN"</f>
        <v>GUARDIAN</v>
      </c>
      <c r="G2069" s="2">
        <v>30.96</v>
      </c>
      <c r="H2069" t="str">
        <f t="shared" si="21"/>
        <v>GUARDIAN</v>
      </c>
    </row>
    <row r="2070" spans="5:8" x14ac:dyDescent="0.25">
      <c r="E2070" t="str">
        <f>"LIC201904308909"</f>
        <v>LIC201904308909</v>
      </c>
      <c r="F2070" t="str">
        <f>"GUARDIAN"</f>
        <v>GUARDIAN</v>
      </c>
      <c r="G2070" s="2">
        <v>1.05</v>
      </c>
      <c r="H2070" t="str">
        <f t="shared" si="21"/>
        <v>GUARDIAN</v>
      </c>
    </row>
    <row r="2071" spans="5:8" x14ac:dyDescent="0.25">
      <c r="E2071" t="str">
        <f>"LIC201905159265"</f>
        <v>LIC201905159265</v>
      </c>
      <c r="F2071" t="str">
        <f>"GUARDIAN"</f>
        <v>GUARDIAN</v>
      </c>
      <c r="G2071" s="2">
        <v>30.96</v>
      </c>
      <c r="H2071" t="str">
        <f t="shared" si="21"/>
        <v>GUARDIAN</v>
      </c>
    </row>
    <row r="2072" spans="5:8" x14ac:dyDescent="0.25">
      <c r="E2072" t="str">
        <f>"LIC201905159266"</f>
        <v>LIC201905159266</v>
      </c>
      <c r="F2072" t="str">
        <f>"GUARDIAN"</f>
        <v>GUARDIAN</v>
      </c>
      <c r="G2072" s="2">
        <v>1.05</v>
      </c>
      <c r="H2072" t="str">
        <f t="shared" si="21"/>
        <v>GUARDIAN</v>
      </c>
    </row>
    <row r="2073" spans="5:8" x14ac:dyDescent="0.25">
      <c r="E2073" t="str">
        <f>"LIE201904308908"</f>
        <v>LIE201904308908</v>
      </c>
      <c r="F2073" t="str">
        <f>"GUARDIAN"</f>
        <v>GUARDIAN</v>
      </c>
      <c r="G2073" s="2">
        <v>3418.9</v>
      </c>
      <c r="H2073" t="str">
        <f t="shared" si="21"/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21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21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21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21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21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21"/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si="21"/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21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21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21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ref="H2084:H2115" si="22">"GUARDIAN"</f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22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22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22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22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22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22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22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22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22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22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22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22"/>
        <v>GUARDIAN</v>
      </c>
    </row>
    <row r="2097" spans="5:8" x14ac:dyDescent="0.25">
      <c r="E2097" t="str">
        <f>""</f>
        <v/>
      </c>
      <c r="F2097" t="str">
        <f>""</f>
        <v/>
      </c>
      <c r="H2097" t="str">
        <f t="shared" si="22"/>
        <v>GUARDIAN</v>
      </c>
    </row>
    <row r="2098" spans="5:8" x14ac:dyDescent="0.25">
      <c r="E2098" t="str">
        <f>""</f>
        <v/>
      </c>
      <c r="F2098" t="str">
        <f>""</f>
        <v/>
      </c>
      <c r="H2098" t="str">
        <f t="shared" si="22"/>
        <v>GUARDIAN</v>
      </c>
    </row>
    <row r="2099" spans="5:8" x14ac:dyDescent="0.25">
      <c r="E2099" t="str">
        <f>""</f>
        <v/>
      </c>
      <c r="F2099" t="str">
        <f>""</f>
        <v/>
      </c>
      <c r="H2099" t="str">
        <f t="shared" si="22"/>
        <v>GUARDIAN</v>
      </c>
    </row>
    <row r="2100" spans="5:8" x14ac:dyDescent="0.25">
      <c r="E2100" t="str">
        <f>""</f>
        <v/>
      </c>
      <c r="F2100" t="str">
        <f>""</f>
        <v/>
      </c>
      <c r="H2100" t="str">
        <f t="shared" si="22"/>
        <v>GUARDIAN</v>
      </c>
    </row>
    <row r="2101" spans="5:8" x14ac:dyDescent="0.25">
      <c r="E2101" t="str">
        <f>""</f>
        <v/>
      </c>
      <c r="F2101" t="str">
        <f>""</f>
        <v/>
      </c>
      <c r="H2101" t="str">
        <f t="shared" si="22"/>
        <v>GUARDIAN</v>
      </c>
    </row>
    <row r="2102" spans="5:8" x14ac:dyDescent="0.25">
      <c r="E2102" t="str">
        <f>""</f>
        <v/>
      </c>
      <c r="F2102" t="str">
        <f>""</f>
        <v/>
      </c>
      <c r="H2102" t="str">
        <f t="shared" si="22"/>
        <v>GUARDIAN</v>
      </c>
    </row>
    <row r="2103" spans="5:8" x14ac:dyDescent="0.25">
      <c r="E2103" t="str">
        <f>""</f>
        <v/>
      </c>
      <c r="F2103" t="str">
        <f>""</f>
        <v/>
      </c>
      <c r="H2103" t="str">
        <f t="shared" si="22"/>
        <v>GUARDIAN</v>
      </c>
    </row>
    <row r="2104" spans="5:8" x14ac:dyDescent="0.25">
      <c r="E2104" t="str">
        <f>""</f>
        <v/>
      </c>
      <c r="F2104" t="str">
        <f>""</f>
        <v/>
      </c>
      <c r="H2104" t="str">
        <f t="shared" si="22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si="22"/>
        <v>GUARDIAN</v>
      </c>
    </row>
    <row r="2106" spans="5:8" x14ac:dyDescent="0.25">
      <c r="E2106" t="str">
        <f>""</f>
        <v/>
      </c>
      <c r="F2106" t="str">
        <f>""</f>
        <v/>
      </c>
      <c r="H2106" t="str">
        <f t="shared" si="22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22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22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22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22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22"/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si="22"/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22"/>
        <v>GUARDIAN</v>
      </c>
    </row>
    <row r="2114" spans="5:8" x14ac:dyDescent="0.25">
      <c r="E2114" t="str">
        <f>""</f>
        <v/>
      </c>
      <c r="F2114" t="str">
        <f>""</f>
        <v/>
      </c>
      <c r="H2114" t="str">
        <f t="shared" si="22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si="22"/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ref="H2116:H2147" si="23">"GUARDIAN"</f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23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23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23"/>
        <v>GUARDIAN</v>
      </c>
    </row>
    <row r="2120" spans="5:8" x14ac:dyDescent="0.25">
      <c r="E2120" t="str">
        <f>""</f>
        <v/>
      </c>
      <c r="F2120" t="str">
        <f>""</f>
        <v/>
      </c>
      <c r="H2120" t="str">
        <f t="shared" si="23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23"/>
        <v>GUARDIAN</v>
      </c>
    </row>
    <row r="2122" spans="5:8" x14ac:dyDescent="0.25">
      <c r="E2122" t="str">
        <f>"LIE201904308909"</f>
        <v>LIE201904308909</v>
      </c>
      <c r="F2122" t="str">
        <f>"GUARDIAN"</f>
        <v>GUARDIAN</v>
      </c>
      <c r="G2122" s="2">
        <v>83.65</v>
      </c>
      <c r="H2122" t="str">
        <f t="shared" si="23"/>
        <v>GUARDIAN</v>
      </c>
    </row>
    <row r="2123" spans="5:8" x14ac:dyDescent="0.25">
      <c r="E2123" t="str">
        <f>""</f>
        <v/>
      </c>
      <c r="F2123" t="str">
        <f>""</f>
        <v/>
      </c>
      <c r="H2123" t="str">
        <f t="shared" si="23"/>
        <v>GUARDIAN</v>
      </c>
    </row>
    <row r="2124" spans="5:8" x14ac:dyDescent="0.25">
      <c r="E2124" t="str">
        <f>"LIE201905159265"</f>
        <v>LIE201905159265</v>
      </c>
      <c r="F2124" t="str">
        <f>"GUARDIAN"</f>
        <v>GUARDIAN</v>
      </c>
      <c r="G2124" s="2">
        <v>3421.8</v>
      </c>
      <c r="H2124" t="str">
        <f t="shared" si="23"/>
        <v>GUARDIAN</v>
      </c>
    </row>
    <row r="2125" spans="5:8" x14ac:dyDescent="0.25">
      <c r="E2125" t="str">
        <f>""</f>
        <v/>
      </c>
      <c r="F2125" t="str">
        <f>""</f>
        <v/>
      </c>
      <c r="H2125" t="str">
        <f t="shared" si="23"/>
        <v>GUARDIAN</v>
      </c>
    </row>
    <row r="2126" spans="5:8" x14ac:dyDescent="0.25">
      <c r="E2126" t="str">
        <f>""</f>
        <v/>
      </c>
      <c r="F2126" t="str">
        <f>""</f>
        <v/>
      </c>
      <c r="H2126" t="str">
        <f t="shared" si="23"/>
        <v>GUARDIAN</v>
      </c>
    </row>
    <row r="2127" spans="5:8" x14ac:dyDescent="0.25">
      <c r="E2127" t="str">
        <f>""</f>
        <v/>
      </c>
      <c r="F2127" t="str">
        <f>""</f>
        <v/>
      </c>
      <c r="H2127" t="str">
        <f t="shared" si="23"/>
        <v>GUARDIAN</v>
      </c>
    </row>
    <row r="2128" spans="5:8" x14ac:dyDescent="0.25">
      <c r="E2128" t="str">
        <f>""</f>
        <v/>
      </c>
      <c r="F2128" t="str">
        <f>""</f>
        <v/>
      </c>
      <c r="H2128" t="str">
        <f t="shared" si="23"/>
        <v>GUARDIAN</v>
      </c>
    </row>
    <row r="2129" spans="5:8" x14ac:dyDescent="0.25">
      <c r="E2129" t="str">
        <f>""</f>
        <v/>
      </c>
      <c r="F2129" t="str">
        <f>""</f>
        <v/>
      </c>
      <c r="H2129" t="str">
        <f t="shared" si="23"/>
        <v>GUARDIAN</v>
      </c>
    </row>
    <row r="2130" spans="5:8" x14ac:dyDescent="0.25">
      <c r="E2130" t="str">
        <f>""</f>
        <v/>
      </c>
      <c r="F2130" t="str">
        <f>""</f>
        <v/>
      </c>
      <c r="H2130" t="str">
        <f t="shared" si="23"/>
        <v>GUARDIAN</v>
      </c>
    </row>
    <row r="2131" spans="5:8" x14ac:dyDescent="0.25">
      <c r="E2131" t="str">
        <f>""</f>
        <v/>
      </c>
      <c r="F2131" t="str">
        <f>""</f>
        <v/>
      </c>
      <c r="H2131" t="str">
        <f t="shared" si="23"/>
        <v>GUARDIAN</v>
      </c>
    </row>
    <row r="2132" spans="5:8" x14ac:dyDescent="0.25">
      <c r="E2132" t="str">
        <f>""</f>
        <v/>
      </c>
      <c r="F2132" t="str">
        <f>""</f>
        <v/>
      </c>
      <c r="H2132" t="str">
        <f t="shared" si="23"/>
        <v>GUARDIAN</v>
      </c>
    </row>
    <row r="2133" spans="5:8" x14ac:dyDescent="0.25">
      <c r="E2133" t="str">
        <f>""</f>
        <v/>
      </c>
      <c r="F2133" t="str">
        <f>""</f>
        <v/>
      </c>
      <c r="H2133" t="str">
        <f t="shared" si="23"/>
        <v>GUARDIAN</v>
      </c>
    </row>
    <row r="2134" spans="5:8" x14ac:dyDescent="0.25">
      <c r="E2134" t="str">
        <f>""</f>
        <v/>
      </c>
      <c r="F2134" t="str">
        <f>""</f>
        <v/>
      </c>
      <c r="H2134" t="str">
        <f t="shared" si="23"/>
        <v>GUARDIAN</v>
      </c>
    </row>
    <row r="2135" spans="5:8" x14ac:dyDescent="0.25">
      <c r="E2135" t="str">
        <f>""</f>
        <v/>
      </c>
      <c r="F2135" t="str">
        <f>""</f>
        <v/>
      </c>
      <c r="H2135" t="str">
        <f t="shared" si="23"/>
        <v>GUARDIAN</v>
      </c>
    </row>
    <row r="2136" spans="5:8" x14ac:dyDescent="0.25">
      <c r="E2136" t="str">
        <f>""</f>
        <v/>
      </c>
      <c r="F2136" t="str">
        <f>""</f>
        <v/>
      </c>
      <c r="H2136" t="str">
        <f t="shared" si="23"/>
        <v>GUARDIAN</v>
      </c>
    </row>
    <row r="2137" spans="5:8" x14ac:dyDescent="0.25">
      <c r="E2137" t="str">
        <f>""</f>
        <v/>
      </c>
      <c r="F2137" t="str">
        <f>""</f>
        <v/>
      </c>
      <c r="H2137" t="str">
        <f t="shared" si="23"/>
        <v>GUARDIAN</v>
      </c>
    </row>
    <row r="2138" spans="5:8" x14ac:dyDescent="0.25">
      <c r="E2138" t="str">
        <f>""</f>
        <v/>
      </c>
      <c r="F2138" t="str">
        <f>""</f>
        <v/>
      </c>
      <c r="H2138" t="str">
        <f t="shared" si="23"/>
        <v>GUARDIAN</v>
      </c>
    </row>
    <row r="2139" spans="5:8" x14ac:dyDescent="0.25">
      <c r="E2139" t="str">
        <f>""</f>
        <v/>
      </c>
      <c r="F2139" t="str">
        <f>""</f>
        <v/>
      </c>
      <c r="H2139" t="str">
        <f t="shared" si="23"/>
        <v>GUARDIAN</v>
      </c>
    </row>
    <row r="2140" spans="5:8" x14ac:dyDescent="0.25">
      <c r="E2140" t="str">
        <f>""</f>
        <v/>
      </c>
      <c r="F2140" t="str">
        <f>""</f>
        <v/>
      </c>
      <c r="H2140" t="str">
        <f t="shared" si="23"/>
        <v>GUARDIAN</v>
      </c>
    </row>
    <row r="2141" spans="5:8" x14ac:dyDescent="0.25">
      <c r="E2141" t="str">
        <f>""</f>
        <v/>
      </c>
      <c r="F2141" t="str">
        <f>""</f>
        <v/>
      </c>
      <c r="H2141" t="str">
        <f t="shared" si="23"/>
        <v>GUARDIAN</v>
      </c>
    </row>
    <row r="2142" spans="5:8" x14ac:dyDescent="0.25">
      <c r="E2142" t="str">
        <f>""</f>
        <v/>
      </c>
      <c r="F2142" t="str">
        <f>""</f>
        <v/>
      </c>
      <c r="H2142" t="str">
        <f t="shared" si="23"/>
        <v>GUARDIAN</v>
      </c>
    </row>
    <row r="2143" spans="5:8" x14ac:dyDescent="0.25">
      <c r="E2143" t="str">
        <f>""</f>
        <v/>
      </c>
      <c r="F2143" t="str">
        <f>""</f>
        <v/>
      </c>
      <c r="H2143" t="str">
        <f t="shared" si="23"/>
        <v>GUARDIAN</v>
      </c>
    </row>
    <row r="2144" spans="5:8" x14ac:dyDescent="0.25">
      <c r="E2144" t="str">
        <f>""</f>
        <v/>
      </c>
      <c r="F2144" t="str">
        <f>""</f>
        <v/>
      </c>
      <c r="H2144" t="str">
        <f t="shared" si="23"/>
        <v>GUARDIAN</v>
      </c>
    </row>
    <row r="2145" spans="5:8" x14ac:dyDescent="0.25">
      <c r="E2145" t="str">
        <f>""</f>
        <v/>
      </c>
      <c r="F2145" t="str">
        <f>""</f>
        <v/>
      </c>
      <c r="H2145" t="str">
        <f t="shared" si="23"/>
        <v>GUARDIAN</v>
      </c>
    </row>
    <row r="2146" spans="5:8" x14ac:dyDescent="0.25">
      <c r="E2146" t="str">
        <f>""</f>
        <v/>
      </c>
      <c r="F2146" t="str">
        <f>""</f>
        <v/>
      </c>
      <c r="H2146" t="str">
        <f t="shared" si="23"/>
        <v>GUARDIAN</v>
      </c>
    </row>
    <row r="2147" spans="5:8" x14ac:dyDescent="0.25">
      <c r="E2147" t="str">
        <f>""</f>
        <v/>
      </c>
      <c r="F2147" t="str">
        <f>""</f>
        <v/>
      </c>
      <c r="H2147" t="str">
        <f t="shared" si="23"/>
        <v>GUARDIAN</v>
      </c>
    </row>
    <row r="2148" spans="5:8" x14ac:dyDescent="0.25">
      <c r="E2148" t="str">
        <f>""</f>
        <v/>
      </c>
      <c r="F2148" t="str">
        <f>""</f>
        <v/>
      </c>
      <c r="H2148" t="str">
        <f t="shared" ref="H2148:H2179" si="24">"GUARDIAN"</f>
        <v>GUARDIAN</v>
      </c>
    </row>
    <row r="2149" spans="5:8" x14ac:dyDescent="0.25">
      <c r="E2149" t="str">
        <f>""</f>
        <v/>
      </c>
      <c r="F2149" t="str">
        <f>""</f>
        <v/>
      </c>
      <c r="H2149" t="str">
        <f t="shared" si="24"/>
        <v>GUARDIAN</v>
      </c>
    </row>
    <row r="2150" spans="5:8" x14ac:dyDescent="0.25">
      <c r="E2150" t="str">
        <f>""</f>
        <v/>
      </c>
      <c r="F2150" t="str">
        <f>""</f>
        <v/>
      </c>
      <c r="H2150" t="str">
        <f t="shared" si="24"/>
        <v>GUARDIAN</v>
      </c>
    </row>
    <row r="2151" spans="5:8" x14ac:dyDescent="0.25">
      <c r="E2151" t="str">
        <f>""</f>
        <v/>
      </c>
      <c r="F2151" t="str">
        <f>""</f>
        <v/>
      </c>
      <c r="H2151" t="str">
        <f t="shared" si="24"/>
        <v>GUARDIAN</v>
      </c>
    </row>
    <row r="2152" spans="5:8" x14ac:dyDescent="0.25">
      <c r="E2152" t="str">
        <f>""</f>
        <v/>
      </c>
      <c r="F2152" t="str">
        <f>""</f>
        <v/>
      </c>
      <c r="H2152" t="str">
        <f t="shared" si="24"/>
        <v>GUARDIAN</v>
      </c>
    </row>
    <row r="2153" spans="5:8" x14ac:dyDescent="0.25">
      <c r="E2153" t="str">
        <f>""</f>
        <v/>
      </c>
      <c r="F2153" t="str">
        <f>""</f>
        <v/>
      </c>
      <c r="H2153" t="str">
        <f t="shared" si="24"/>
        <v>GUARDIAN</v>
      </c>
    </row>
    <row r="2154" spans="5:8" x14ac:dyDescent="0.25">
      <c r="E2154" t="str">
        <f>""</f>
        <v/>
      </c>
      <c r="F2154" t="str">
        <f>""</f>
        <v/>
      </c>
      <c r="H2154" t="str">
        <f t="shared" si="24"/>
        <v>GUARDIAN</v>
      </c>
    </row>
    <row r="2155" spans="5:8" x14ac:dyDescent="0.25">
      <c r="E2155" t="str">
        <f>""</f>
        <v/>
      </c>
      <c r="F2155" t="str">
        <f>""</f>
        <v/>
      </c>
      <c r="H2155" t="str">
        <f t="shared" si="24"/>
        <v>GUARDIAN</v>
      </c>
    </row>
    <row r="2156" spans="5:8" x14ac:dyDescent="0.25">
      <c r="E2156" t="str">
        <f>""</f>
        <v/>
      </c>
      <c r="F2156" t="str">
        <f>""</f>
        <v/>
      </c>
      <c r="H2156" t="str">
        <f t="shared" si="24"/>
        <v>GUARDIAN</v>
      </c>
    </row>
    <row r="2157" spans="5:8" x14ac:dyDescent="0.25">
      <c r="E2157" t="str">
        <f>""</f>
        <v/>
      </c>
      <c r="F2157" t="str">
        <f>""</f>
        <v/>
      </c>
      <c r="H2157" t="str">
        <f t="shared" si="24"/>
        <v>GUARDIAN</v>
      </c>
    </row>
    <row r="2158" spans="5:8" x14ac:dyDescent="0.25">
      <c r="E2158" t="str">
        <f>""</f>
        <v/>
      </c>
      <c r="F2158" t="str">
        <f>""</f>
        <v/>
      </c>
      <c r="H2158" t="str">
        <f t="shared" si="24"/>
        <v>GUARDIAN</v>
      </c>
    </row>
    <row r="2159" spans="5:8" x14ac:dyDescent="0.25">
      <c r="E2159" t="str">
        <f>""</f>
        <v/>
      </c>
      <c r="F2159" t="str">
        <f>""</f>
        <v/>
      </c>
      <c r="H2159" t="str">
        <f t="shared" si="24"/>
        <v>GUARDIAN</v>
      </c>
    </row>
    <row r="2160" spans="5:8" x14ac:dyDescent="0.25">
      <c r="E2160" t="str">
        <f>""</f>
        <v/>
      </c>
      <c r="F2160" t="str">
        <f>""</f>
        <v/>
      </c>
      <c r="H2160" t="str">
        <f t="shared" si="24"/>
        <v>GUARDIAN</v>
      </c>
    </row>
    <row r="2161" spans="5:8" x14ac:dyDescent="0.25">
      <c r="E2161" t="str">
        <f>""</f>
        <v/>
      </c>
      <c r="F2161" t="str">
        <f>""</f>
        <v/>
      </c>
      <c r="H2161" t="str">
        <f t="shared" si="24"/>
        <v>GUARDIAN</v>
      </c>
    </row>
    <row r="2162" spans="5:8" x14ac:dyDescent="0.25">
      <c r="E2162" t="str">
        <f>""</f>
        <v/>
      </c>
      <c r="F2162" t="str">
        <f>""</f>
        <v/>
      </c>
      <c r="H2162" t="str">
        <f t="shared" si="24"/>
        <v>GUARDIAN</v>
      </c>
    </row>
    <row r="2163" spans="5:8" x14ac:dyDescent="0.25">
      <c r="E2163" t="str">
        <f>""</f>
        <v/>
      </c>
      <c r="F2163" t="str">
        <f>""</f>
        <v/>
      </c>
      <c r="H2163" t="str">
        <f t="shared" si="24"/>
        <v>GUARDIAN</v>
      </c>
    </row>
    <row r="2164" spans="5:8" x14ac:dyDescent="0.25">
      <c r="E2164" t="str">
        <f>""</f>
        <v/>
      </c>
      <c r="F2164" t="str">
        <f>""</f>
        <v/>
      </c>
      <c r="H2164" t="str">
        <f t="shared" si="24"/>
        <v>GUARDIAN</v>
      </c>
    </row>
    <row r="2165" spans="5:8" x14ac:dyDescent="0.25">
      <c r="E2165" t="str">
        <f>""</f>
        <v/>
      </c>
      <c r="F2165" t="str">
        <f>""</f>
        <v/>
      </c>
      <c r="H2165" t="str">
        <f t="shared" si="24"/>
        <v>GUARDIAN</v>
      </c>
    </row>
    <row r="2166" spans="5:8" x14ac:dyDescent="0.25">
      <c r="E2166" t="str">
        <f>""</f>
        <v/>
      </c>
      <c r="F2166" t="str">
        <f>""</f>
        <v/>
      </c>
      <c r="H2166" t="str">
        <f t="shared" si="24"/>
        <v>GUARDIAN</v>
      </c>
    </row>
    <row r="2167" spans="5:8" x14ac:dyDescent="0.25">
      <c r="E2167" t="str">
        <f>""</f>
        <v/>
      </c>
      <c r="F2167" t="str">
        <f>""</f>
        <v/>
      </c>
      <c r="H2167" t="str">
        <f t="shared" si="24"/>
        <v>GUARDIAN</v>
      </c>
    </row>
    <row r="2168" spans="5:8" x14ac:dyDescent="0.25">
      <c r="E2168" t="str">
        <f>""</f>
        <v/>
      </c>
      <c r="F2168" t="str">
        <f>""</f>
        <v/>
      </c>
      <c r="H2168" t="str">
        <f t="shared" si="24"/>
        <v>GUARDIAN</v>
      </c>
    </row>
    <row r="2169" spans="5:8" x14ac:dyDescent="0.25">
      <c r="E2169" t="str">
        <f>""</f>
        <v/>
      </c>
      <c r="F2169" t="str">
        <f>""</f>
        <v/>
      </c>
      <c r="H2169" t="str">
        <f t="shared" si="24"/>
        <v>GUARDIAN</v>
      </c>
    </row>
    <row r="2170" spans="5:8" x14ac:dyDescent="0.25">
      <c r="E2170" t="str">
        <f>""</f>
        <v/>
      </c>
      <c r="F2170" t="str">
        <f>""</f>
        <v/>
      </c>
      <c r="H2170" t="str">
        <f t="shared" si="24"/>
        <v>GUARDIAN</v>
      </c>
    </row>
    <row r="2171" spans="5:8" x14ac:dyDescent="0.25">
      <c r="E2171" t="str">
        <f>""</f>
        <v/>
      </c>
      <c r="F2171" t="str">
        <f>""</f>
        <v/>
      </c>
      <c r="H2171" t="str">
        <f t="shared" si="24"/>
        <v>GUARDIAN</v>
      </c>
    </row>
    <row r="2172" spans="5:8" x14ac:dyDescent="0.25">
      <c r="E2172" t="str">
        <f>""</f>
        <v/>
      </c>
      <c r="F2172" t="str">
        <f>""</f>
        <v/>
      </c>
      <c r="H2172" t="str">
        <f t="shared" si="24"/>
        <v>GUARDIAN</v>
      </c>
    </row>
    <row r="2173" spans="5:8" x14ac:dyDescent="0.25">
      <c r="E2173" t="str">
        <f>"LIE201905159266"</f>
        <v>LIE201905159266</v>
      </c>
      <c r="F2173" t="str">
        <f>"GUARDIAN"</f>
        <v>GUARDIAN</v>
      </c>
      <c r="G2173" s="2">
        <v>83.65</v>
      </c>
      <c r="H2173" t="str">
        <f t="shared" si="24"/>
        <v>GUARDIAN</v>
      </c>
    </row>
    <row r="2174" spans="5:8" x14ac:dyDescent="0.25">
      <c r="E2174" t="str">
        <f>""</f>
        <v/>
      </c>
      <c r="F2174" t="str">
        <f>""</f>
        <v/>
      </c>
      <c r="H2174" t="str">
        <f t="shared" si="24"/>
        <v>GUARDIAN</v>
      </c>
    </row>
    <row r="2175" spans="5:8" x14ac:dyDescent="0.25">
      <c r="E2175" t="str">
        <f>"LIS201904308908"</f>
        <v>LIS201904308908</v>
      </c>
      <c r="F2175" t="str">
        <f t="shared" ref="F2175:F2186" si="25">"GUARDIAN"</f>
        <v>GUARDIAN</v>
      </c>
      <c r="G2175" s="2">
        <v>459.28</v>
      </c>
      <c r="H2175" t="str">
        <f t="shared" si="24"/>
        <v>GUARDIAN</v>
      </c>
    </row>
    <row r="2176" spans="5:8" x14ac:dyDescent="0.25">
      <c r="E2176" t="str">
        <f>"LIS201904308909"</f>
        <v>LIS201904308909</v>
      </c>
      <c r="F2176" t="str">
        <f t="shared" si="25"/>
        <v>GUARDIAN</v>
      </c>
      <c r="G2176" s="2">
        <v>36.15</v>
      </c>
      <c r="H2176" t="str">
        <f t="shared" si="24"/>
        <v>GUARDIAN</v>
      </c>
    </row>
    <row r="2177" spans="1:8" x14ac:dyDescent="0.25">
      <c r="E2177" t="str">
        <f>"LIS201905159265"</f>
        <v>LIS201905159265</v>
      </c>
      <c r="F2177" t="str">
        <f t="shared" si="25"/>
        <v>GUARDIAN</v>
      </c>
      <c r="G2177" s="2">
        <v>459.28</v>
      </c>
      <c r="H2177" t="str">
        <f t="shared" si="24"/>
        <v>GUARDIAN</v>
      </c>
    </row>
    <row r="2178" spans="1:8" x14ac:dyDescent="0.25">
      <c r="E2178" t="str">
        <f>"LIS201905159266"</f>
        <v>LIS201905159266</v>
      </c>
      <c r="F2178" t="str">
        <f t="shared" si="25"/>
        <v>GUARDIAN</v>
      </c>
      <c r="G2178" s="2">
        <v>36.15</v>
      </c>
      <c r="H2178" t="str">
        <f t="shared" si="24"/>
        <v>GUARDIAN</v>
      </c>
    </row>
    <row r="2179" spans="1:8" x14ac:dyDescent="0.25">
      <c r="E2179" t="str">
        <f>"LTD201904308908"</f>
        <v>LTD201904308908</v>
      </c>
      <c r="F2179" t="str">
        <f t="shared" si="25"/>
        <v>GUARDIAN</v>
      </c>
      <c r="G2179" s="2">
        <v>886.36</v>
      </c>
      <c r="H2179" t="str">
        <f t="shared" si="24"/>
        <v>GUARDIAN</v>
      </c>
    </row>
    <row r="2180" spans="1:8" x14ac:dyDescent="0.25">
      <c r="E2180" t="str">
        <f>"LTD201904308909"</f>
        <v>LTD201904308909</v>
      </c>
      <c r="F2180" t="str">
        <f t="shared" si="25"/>
        <v>GUARDIAN</v>
      </c>
      <c r="G2180" s="2">
        <v>6.11</v>
      </c>
      <c r="H2180" t="str">
        <f t="shared" ref="H2180:H2186" si="26">"GUARDIAN"</f>
        <v>GUARDIAN</v>
      </c>
    </row>
    <row r="2181" spans="1:8" x14ac:dyDescent="0.25">
      <c r="E2181" t="str">
        <f>"LTD201905159265"</f>
        <v>LTD201905159265</v>
      </c>
      <c r="F2181" t="str">
        <f t="shared" si="25"/>
        <v>GUARDIAN</v>
      </c>
      <c r="G2181" s="2">
        <v>886.36</v>
      </c>
      <c r="H2181" t="str">
        <f t="shared" si="26"/>
        <v>GUARDIAN</v>
      </c>
    </row>
    <row r="2182" spans="1:8" x14ac:dyDescent="0.25">
      <c r="E2182" t="str">
        <f>"LTD201905159266"</f>
        <v>LTD201905159266</v>
      </c>
      <c r="F2182" t="str">
        <f t="shared" si="25"/>
        <v>GUARDIAN</v>
      </c>
      <c r="G2182" s="2">
        <v>6.11</v>
      </c>
      <c r="H2182" t="str">
        <f t="shared" si="26"/>
        <v>GUARDIAN</v>
      </c>
    </row>
    <row r="2183" spans="1:8" x14ac:dyDescent="0.25">
      <c r="A2183" t="s">
        <v>459</v>
      </c>
      <c r="B2183">
        <v>141</v>
      </c>
      <c r="C2183" s="2">
        <v>109.1</v>
      </c>
      <c r="D2183" s="1">
        <v>43615</v>
      </c>
      <c r="E2183" t="str">
        <f>"AEG201904308908"</f>
        <v>AEG201904308908</v>
      </c>
      <c r="F2183" t="str">
        <f t="shared" si="25"/>
        <v>GUARDIAN</v>
      </c>
      <c r="G2183" s="2">
        <v>6.66</v>
      </c>
      <c r="H2183" t="str">
        <f t="shared" si="26"/>
        <v>GUARDIAN</v>
      </c>
    </row>
    <row r="2184" spans="1:8" x14ac:dyDescent="0.25">
      <c r="E2184" t="str">
        <f>"AEG201905159265"</f>
        <v>AEG201905159265</v>
      </c>
      <c r="F2184" t="str">
        <f t="shared" si="25"/>
        <v>GUARDIAN</v>
      </c>
      <c r="G2184" s="2">
        <v>6.66</v>
      </c>
      <c r="H2184" t="str">
        <f t="shared" si="26"/>
        <v>GUARDIAN</v>
      </c>
    </row>
    <row r="2185" spans="1:8" x14ac:dyDescent="0.25">
      <c r="E2185" t="str">
        <f>"AFG201904308908"</f>
        <v>AFG201904308908</v>
      </c>
      <c r="F2185" t="str">
        <f t="shared" si="25"/>
        <v>GUARDIAN</v>
      </c>
      <c r="G2185" s="2">
        <v>47.89</v>
      </c>
      <c r="H2185" t="str">
        <f t="shared" si="26"/>
        <v>GUARDIAN</v>
      </c>
    </row>
    <row r="2186" spans="1:8" x14ac:dyDescent="0.25">
      <c r="E2186" t="str">
        <f>"AFG201905159265"</f>
        <v>AFG201905159265</v>
      </c>
      <c r="F2186" t="str">
        <f t="shared" si="25"/>
        <v>GUARDIAN</v>
      </c>
      <c r="G2186" s="2">
        <v>47.89</v>
      </c>
      <c r="H2186" t="str">
        <f t="shared" si="26"/>
        <v>GUARDIAN</v>
      </c>
    </row>
    <row r="2187" spans="1:8" x14ac:dyDescent="0.25">
      <c r="A2187" t="s">
        <v>460</v>
      </c>
      <c r="B2187">
        <v>121</v>
      </c>
      <c r="C2187" s="2">
        <v>220261.5</v>
      </c>
      <c r="D2187" s="1">
        <v>43588</v>
      </c>
      <c r="E2187" t="str">
        <f>"T1 201904308908"</f>
        <v>T1 201904308908</v>
      </c>
      <c r="F2187" t="str">
        <f>"FEDERAL WITHHOLDING"</f>
        <v>FEDERAL WITHHOLDING</v>
      </c>
      <c r="G2187" s="2">
        <v>72484.27</v>
      </c>
      <c r="H2187" t="str">
        <f>"FEDERAL WITHHOLDING"</f>
        <v>FEDERAL WITHHOLDING</v>
      </c>
    </row>
    <row r="2188" spans="1:8" x14ac:dyDescent="0.25">
      <c r="E2188" t="str">
        <f>"T1 201904308909"</f>
        <v>T1 201904308909</v>
      </c>
      <c r="F2188" t="str">
        <f>"FEDERAL WITHHOLDING"</f>
        <v>FEDERAL WITHHOLDING</v>
      </c>
      <c r="G2188" s="2">
        <v>2896.14</v>
      </c>
      <c r="H2188" t="str">
        <f>"FEDERAL WITHHOLDING"</f>
        <v>FEDERAL WITHHOLDING</v>
      </c>
    </row>
    <row r="2189" spans="1:8" x14ac:dyDescent="0.25">
      <c r="E2189" t="str">
        <f>"T1 201904308910"</f>
        <v>T1 201904308910</v>
      </c>
      <c r="F2189" t="str">
        <f>"FEDERAL WITHHOLDING"</f>
        <v>FEDERAL WITHHOLDING</v>
      </c>
      <c r="G2189" s="2">
        <v>3551.69</v>
      </c>
      <c r="H2189" t="str">
        <f>"FEDERAL WITHHOLDING"</f>
        <v>FEDERAL WITHHOLDING</v>
      </c>
    </row>
    <row r="2190" spans="1:8" x14ac:dyDescent="0.25">
      <c r="E2190" t="str">
        <f>"T3 201904308908"</f>
        <v>T3 201904308908</v>
      </c>
      <c r="F2190" t="str">
        <f>"SOCIAL SECURITY TAXES"</f>
        <v>SOCIAL SECURITY TAXES</v>
      </c>
      <c r="G2190" s="2">
        <v>105520.3</v>
      </c>
      <c r="H2190" t="str">
        <f t="shared" ref="H2190:H2221" si="27">"SOCIAL SECURITY TAXES"</f>
        <v>SOCIAL SECURITY TAXES</v>
      </c>
    </row>
    <row r="2191" spans="1:8" x14ac:dyDescent="0.25">
      <c r="E2191" t="str">
        <f>""</f>
        <v/>
      </c>
      <c r="F2191" t="str">
        <f>""</f>
        <v/>
      </c>
      <c r="H2191" t="str">
        <f t="shared" si="27"/>
        <v>SOCIAL SECURITY TAXES</v>
      </c>
    </row>
    <row r="2192" spans="1:8" x14ac:dyDescent="0.25">
      <c r="E2192" t="str">
        <f>""</f>
        <v/>
      </c>
      <c r="F2192" t="str">
        <f>""</f>
        <v/>
      </c>
      <c r="H2192" t="str">
        <f t="shared" si="27"/>
        <v>SOCIAL SECURITY TAXES</v>
      </c>
    </row>
    <row r="2193" spans="5:8" x14ac:dyDescent="0.25">
      <c r="E2193" t="str">
        <f>""</f>
        <v/>
      </c>
      <c r="F2193" t="str">
        <f>""</f>
        <v/>
      </c>
      <c r="H2193" t="str">
        <f t="shared" si="27"/>
        <v>SOCIAL SECURITY TAXES</v>
      </c>
    </row>
    <row r="2194" spans="5:8" x14ac:dyDescent="0.25">
      <c r="E2194" t="str">
        <f>""</f>
        <v/>
      </c>
      <c r="F2194" t="str">
        <f>""</f>
        <v/>
      </c>
      <c r="H2194" t="str">
        <f t="shared" si="27"/>
        <v>SOCIAL SECURITY TAXES</v>
      </c>
    </row>
    <row r="2195" spans="5:8" x14ac:dyDescent="0.25">
      <c r="E2195" t="str">
        <f>""</f>
        <v/>
      </c>
      <c r="F2195" t="str">
        <f>""</f>
        <v/>
      </c>
      <c r="H2195" t="str">
        <f t="shared" si="27"/>
        <v>SOCIAL SECURITY TAXES</v>
      </c>
    </row>
    <row r="2196" spans="5:8" x14ac:dyDescent="0.25">
      <c r="E2196" t="str">
        <f>""</f>
        <v/>
      </c>
      <c r="F2196" t="str">
        <f>""</f>
        <v/>
      </c>
      <c r="H2196" t="str">
        <f t="shared" si="27"/>
        <v>SOCIAL SECURITY TAXES</v>
      </c>
    </row>
    <row r="2197" spans="5:8" x14ac:dyDescent="0.25">
      <c r="E2197" t="str">
        <f>""</f>
        <v/>
      </c>
      <c r="F2197" t="str">
        <f>""</f>
        <v/>
      </c>
      <c r="H2197" t="str">
        <f t="shared" si="27"/>
        <v>SOCIAL SECURITY TAXES</v>
      </c>
    </row>
    <row r="2198" spans="5:8" x14ac:dyDescent="0.25">
      <c r="E2198" t="str">
        <f>""</f>
        <v/>
      </c>
      <c r="F2198" t="str">
        <f>""</f>
        <v/>
      </c>
      <c r="H2198" t="str">
        <f t="shared" si="27"/>
        <v>SOCIAL SECURITY TAXES</v>
      </c>
    </row>
    <row r="2199" spans="5:8" x14ac:dyDescent="0.25">
      <c r="E2199" t="str">
        <f>""</f>
        <v/>
      </c>
      <c r="F2199" t="str">
        <f>""</f>
        <v/>
      </c>
      <c r="H2199" t="str">
        <f t="shared" si="27"/>
        <v>SOCIAL SECURITY TAXES</v>
      </c>
    </row>
    <row r="2200" spans="5:8" x14ac:dyDescent="0.25">
      <c r="E2200" t="str">
        <f>""</f>
        <v/>
      </c>
      <c r="F2200" t="str">
        <f>""</f>
        <v/>
      </c>
      <c r="H2200" t="str">
        <f t="shared" si="27"/>
        <v>SOCIAL SECURITY TAXES</v>
      </c>
    </row>
    <row r="2201" spans="5:8" x14ac:dyDescent="0.25">
      <c r="E2201" t="str">
        <f>""</f>
        <v/>
      </c>
      <c r="F2201" t="str">
        <f>""</f>
        <v/>
      </c>
      <c r="H2201" t="str">
        <f t="shared" si="27"/>
        <v>SOCIAL SECURITY TAXES</v>
      </c>
    </row>
    <row r="2202" spans="5:8" x14ac:dyDescent="0.25">
      <c r="E2202" t="str">
        <f>""</f>
        <v/>
      </c>
      <c r="F2202" t="str">
        <f>""</f>
        <v/>
      </c>
      <c r="H2202" t="str">
        <f t="shared" si="27"/>
        <v>SOCIAL SECURITY TAXES</v>
      </c>
    </row>
    <row r="2203" spans="5:8" x14ac:dyDescent="0.25">
      <c r="E2203" t="str">
        <f>""</f>
        <v/>
      </c>
      <c r="F2203" t="str">
        <f>""</f>
        <v/>
      </c>
      <c r="H2203" t="str">
        <f t="shared" si="27"/>
        <v>SOCIAL SECURITY TAXES</v>
      </c>
    </row>
    <row r="2204" spans="5:8" x14ac:dyDescent="0.25">
      <c r="E2204" t="str">
        <f>""</f>
        <v/>
      </c>
      <c r="F2204" t="str">
        <f>""</f>
        <v/>
      </c>
      <c r="H2204" t="str">
        <f t="shared" si="27"/>
        <v>SOCIAL SECURITY TAXES</v>
      </c>
    </row>
    <row r="2205" spans="5:8" x14ac:dyDescent="0.25">
      <c r="E2205" t="str">
        <f>""</f>
        <v/>
      </c>
      <c r="F2205" t="str">
        <f>""</f>
        <v/>
      </c>
      <c r="H2205" t="str">
        <f t="shared" si="27"/>
        <v>SOCIAL SECURITY TAXES</v>
      </c>
    </row>
    <row r="2206" spans="5:8" x14ac:dyDescent="0.25">
      <c r="E2206" t="str">
        <f>""</f>
        <v/>
      </c>
      <c r="F2206" t="str">
        <f>""</f>
        <v/>
      </c>
      <c r="H2206" t="str">
        <f t="shared" si="27"/>
        <v>SOCIAL SECURITY TAXES</v>
      </c>
    </row>
    <row r="2207" spans="5:8" x14ac:dyDescent="0.25">
      <c r="E2207" t="str">
        <f>""</f>
        <v/>
      </c>
      <c r="F2207" t="str">
        <f>""</f>
        <v/>
      </c>
      <c r="H2207" t="str">
        <f t="shared" si="27"/>
        <v>SOCIAL SECURITY TAXES</v>
      </c>
    </row>
    <row r="2208" spans="5:8" x14ac:dyDescent="0.25">
      <c r="E2208" t="str">
        <f>""</f>
        <v/>
      </c>
      <c r="F2208" t="str">
        <f>""</f>
        <v/>
      </c>
      <c r="H2208" t="str">
        <f t="shared" si="27"/>
        <v>SOCIAL SECURITY TAXES</v>
      </c>
    </row>
    <row r="2209" spans="5:8" x14ac:dyDescent="0.25">
      <c r="E2209" t="str">
        <f>""</f>
        <v/>
      </c>
      <c r="F2209" t="str">
        <f>""</f>
        <v/>
      </c>
      <c r="H2209" t="str">
        <f t="shared" si="27"/>
        <v>SOCIAL SECURITY TAXES</v>
      </c>
    </row>
    <row r="2210" spans="5:8" x14ac:dyDescent="0.25">
      <c r="E2210" t="str">
        <f>""</f>
        <v/>
      </c>
      <c r="F2210" t="str">
        <f>""</f>
        <v/>
      </c>
      <c r="H2210" t="str">
        <f t="shared" si="27"/>
        <v>SOCIAL SECURITY TAXES</v>
      </c>
    </row>
    <row r="2211" spans="5:8" x14ac:dyDescent="0.25">
      <c r="E2211" t="str">
        <f>""</f>
        <v/>
      </c>
      <c r="F2211" t="str">
        <f>""</f>
        <v/>
      </c>
      <c r="H2211" t="str">
        <f t="shared" si="27"/>
        <v>SOCIAL SECURITY TAXES</v>
      </c>
    </row>
    <row r="2212" spans="5:8" x14ac:dyDescent="0.25">
      <c r="E2212" t="str">
        <f>""</f>
        <v/>
      </c>
      <c r="F2212" t="str">
        <f>""</f>
        <v/>
      </c>
      <c r="H2212" t="str">
        <f t="shared" si="27"/>
        <v>SOCIAL SECURITY TAXES</v>
      </c>
    </row>
    <row r="2213" spans="5:8" x14ac:dyDescent="0.25">
      <c r="E2213" t="str">
        <f>""</f>
        <v/>
      </c>
      <c r="F2213" t="str">
        <f>""</f>
        <v/>
      </c>
      <c r="H2213" t="str">
        <f t="shared" si="27"/>
        <v>SOCIAL SECURITY TAXES</v>
      </c>
    </row>
    <row r="2214" spans="5:8" x14ac:dyDescent="0.25">
      <c r="E2214" t="str">
        <f>""</f>
        <v/>
      </c>
      <c r="F2214" t="str">
        <f>""</f>
        <v/>
      </c>
      <c r="H2214" t="str">
        <f t="shared" si="27"/>
        <v>SOCIAL SECURITY TAXES</v>
      </c>
    </row>
    <row r="2215" spans="5:8" x14ac:dyDescent="0.25">
      <c r="E2215" t="str">
        <f>""</f>
        <v/>
      </c>
      <c r="F2215" t="str">
        <f>""</f>
        <v/>
      </c>
      <c r="H2215" t="str">
        <f t="shared" si="27"/>
        <v>SOCIAL SECURITY TAXES</v>
      </c>
    </row>
    <row r="2216" spans="5:8" x14ac:dyDescent="0.25">
      <c r="E2216" t="str">
        <f>""</f>
        <v/>
      </c>
      <c r="F2216" t="str">
        <f>""</f>
        <v/>
      </c>
      <c r="H2216" t="str">
        <f t="shared" si="27"/>
        <v>SOCIAL SECURITY TAXES</v>
      </c>
    </row>
    <row r="2217" spans="5:8" x14ac:dyDescent="0.25">
      <c r="E2217" t="str">
        <f>""</f>
        <v/>
      </c>
      <c r="F2217" t="str">
        <f>""</f>
        <v/>
      </c>
      <c r="H2217" t="str">
        <f t="shared" si="27"/>
        <v>SOCIAL SECURITY TAXES</v>
      </c>
    </row>
    <row r="2218" spans="5:8" x14ac:dyDescent="0.25">
      <c r="E2218" t="str">
        <f>""</f>
        <v/>
      </c>
      <c r="F2218" t="str">
        <f>""</f>
        <v/>
      </c>
      <c r="H2218" t="str">
        <f t="shared" si="27"/>
        <v>SOCIAL SECURITY TAXES</v>
      </c>
    </row>
    <row r="2219" spans="5:8" x14ac:dyDescent="0.25">
      <c r="E2219" t="str">
        <f>""</f>
        <v/>
      </c>
      <c r="F2219" t="str">
        <f>""</f>
        <v/>
      </c>
      <c r="H2219" t="str">
        <f t="shared" si="27"/>
        <v>SOCIAL SECURITY TAXES</v>
      </c>
    </row>
    <row r="2220" spans="5:8" x14ac:dyDescent="0.25">
      <c r="E2220" t="str">
        <f>""</f>
        <v/>
      </c>
      <c r="F2220" t="str">
        <f>""</f>
        <v/>
      </c>
      <c r="H2220" t="str">
        <f t="shared" si="27"/>
        <v>SOCIAL SECURITY TAXES</v>
      </c>
    </row>
    <row r="2221" spans="5:8" x14ac:dyDescent="0.25">
      <c r="E2221" t="str">
        <f>""</f>
        <v/>
      </c>
      <c r="F2221" t="str">
        <f>""</f>
        <v/>
      </c>
      <c r="H2221" t="str">
        <f t="shared" si="27"/>
        <v>SOCIAL SECURITY TAXES</v>
      </c>
    </row>
    <row r="2222" spans="5:8" x14ac:dyDescent="0.25">
      <c r="E2222" t="str">
        <f>""</f>
        <v/>
      </c>
      <c r="F2222" t="str">
        <f>""</f>
        <v/>
      </c>
      <c r="H2222" t="str">
        <f t="shared" ref="H2222:H2244" si="28">"SOCIAL SECURITY TAXES"</f>
        <v>SOCIAL SECURITY TAXES</v>
      </c>
    </row>
    <row r="2223" spans="5:8" x14ac:dyDescent="0.25">
      <c r="E2223" t="str">
        <f>""</f>
        <v/>
      </c>
      <c r="F2223" t="str">
        <f>""</f>
        <v/>
      </c>
      <c r="H2223" t="str">
        <f t="shared" si="28"/>
        <v>SOCIAL SECURITY TAXES</v>
      </c>
    </row>
    <row r="2224" spans="5:8" x14ac:dyDescent="0.25">
      <c r="E2224" t="str">
        <f>""</f>
        <v/>
      </c>
      <c r="F2224" t="str">
        <f>""</f>
        <v/>
      </c>
      <c r="H2224" t="str">
        <f t="shared" si="28"/>
        <v>SOCIAL SECURITY TAXES</v>
      </c>
    </row>
    <row r="2225" spans="5:8" x14ac:dyDescent="0.25">
      <c r="E2225" t="str">
        <f>""</f>
        <v/>
      </c>
      <c r="F2225" t="str">
        <f>""</f>
        <v/>
      </c>
      <c r="H2225" t="str">
        <f t="shared" si="28"/>
        <v>SOCIAL SECURITY TAXES</v>
      </c>
    </row>
    <row r="2226" spans="5:8" x14ac:dyDescent="0.25">
      <c r="E2226" t="str">
        <f>""</f>
        <v/>
      </c>
      <c r="F2226" t="str">
        <f>""</f>
        <v/>
      </c>
      <c r="H2226" t="str">
        <f t="shared" si="28"/>
        <v>SOCIAL SECURITY TAXES</v>
      </c>
    </row>
    <row r="2227" spans="5:8" x14ac:dyDescent="0.25">
      <c r="E2227" t="str">
        <f>""</f>
        <v/>
      </c>
      <c r="F2227" t="str">
        <f>""</f>
        <v/>
      </c>
      <c r="H2227" t="str">
        <f t="shared" si="28"/>
        <v>SOCIAL SECURITY TAXES</v>
      </c>
    </row>
    <row r="2228" spans="5:8" x14ac:dyDescent="0.25">
      <c r="E2228" t="str">
        <f>""</f>
        <v/>
      </c>
      <c r="F2228" t="str">
        <f>""</f>
        <v/>
      </c>
      <c r="H2228" t="str">
        <f t="shared" si="28"/>
        <v>SOCIAL SECURITY TAXES</v>
      </c>
    </row>
    <row r="2229" spans="5:8" x14ac:dyDescent="0.25">
      <c r="E2229" t="str">
        <f>""</f>
        <v/>
      </c>
      <c r="F2229" t="str">
        <f>""</f>
        <v/>
      </c>
      <c r="H2229" t="str">
        <f t="shared" si="28"/>
        <v>SOCIAL SECURITY TAXES</v>
      </c>
    </row>
    <row r="2230" spans="5:8" x14ac:dyDescent="0.25">
      <c r="E2230" t="str">
        <f>""</f>
        <v/>
      </c>
      <c r="F2230" t="str">
        <f>""</f>
        <v/>
      </c>
      <c r="H2230" t="str">
        <f t="shared" si="28"/>
        <v>SOCIAL SECURITY TAXES</v>
      </c>
    </row>
    <row r="2231" spans="5:8" x14ac:dyDescent="0.25">
      <c r="E2231" t="str">
        <f>""</f>
        <v/>
      </c>
      <c r="F2231" t="str">
        <f>""</f>
        <v/>
      </c>
      <c r="H2231" t="str">
        <f t="shared" si="28"/>
        <v>SOCIAL SECURITY TAXES</v>
      </c>
    </row>
    <row r="2232" spans="5:8" x14ac:dyDescent="0.25">
      <c r="E2232" t="str">
        <f>""</f>
        <v/>
      </c>
      <c r="F2232" t="str">
        <f>""</f>
        <v/>
      </c>
      <c r="H2232" t="str">
        <f t="shared" si="28"/>
        <v>SOCIAL SECURITY TAXES</v>
      </c>
    </row>
    <row r="2233" spans="5:8" x14ac:dyDescent="0.25">
      <c r="E2233" t="str">
        <f>""</f>
        <v/>
      </c>
      <c r="F2233" t="str">
        <f>""</f>
        <v/>
      </c>
      <c r="H2233" t="str">
        <f t="shared" si="28"/>
        <v>SOCIAL SECURITY TAXES</v>
      </c>
    </row>
    <row r="2234" spans="5:8" x14ac:dyDescent="0.25">
      <c r="E2234" t="str">
        <f>""</f>
        <v/>
      </c>
      <c r="F2234" t="str">
        <f>""</f>
        <v/>
      </c>
      <c r="H2234" t="str">
        <f t="shared" si="28"/>
        <v>SOCIAL SECURITY TAXES</v>
      </c>
    </row>
    <row r="2235" spans="5:8" x14ac:dyDescent="0.25">
      <c r="E2235" t="str">
        <f>""</f>
        <v/>
      </c>
      <c r="F2235" t="str">
        <f>""</f>
        <v/>
      </c>
      <c r="H2235" t="str">
        <f t="shared" si="28"/>
        <v>SOCIAL SECURITY TAXES</v>
      </c>
    </row>
    <row r="2236" spans="5:8" x14ac:dyDescent="0.25">
      <c r="E2236" t="str">
        <f>""</f>
        <v/>
      </c>
      <c r="F2236" t="str">
        <f>""</f>
        <v/>
      </c>
      <c r="H2236" t="str">
        <f t="shared" si="28"/>
        <v>SOCIAL SECURITY TAXES</v>
      </c>
    </row>
    <row r="2237" spans="5:8" x14ac:dyDescent="0.25">
      <c r="E2237" t="str">
        <f>""</f>
        <v/>
      </c>
      <c r="F2237" t="str">
        <f>""</f>
        <v/>
      </c>
      <c r="H2237" t="str">
        <f t="shared" si="28"/>
        <v>SOCIAL SECURITY TAXES</v>
      </c>
    </row>
    <row r="2238" spans="5:8" x14ac:dyDescent="0.25">
      <c r="E2238" t="str">
        <f>""</f>
        <v/>
      </c>
      <c r="F2238" t="str">
        <f>""</f>
        <v/>
      </c>
      <c r="H2238" t="str">
        <f t="shared" si="28"/>
        <v>SOCIAL SECURITY TAXES</v>
      </c>
    </row>
    <row r="2239" spans="5:8" x14ac:dyDescent="0.25">
      <c r="E2239" t="str">
        <f>""</f>
        <v/>
      </c>
      <c r="F2239" t="str">
        <f>""</f>
        <v/>
      </c>
      <c r="H2239" t="str">
        <f t="shared" si="28"/>
        <v>SOCIAL SECURITY TAXES</v>
      </c>
    </row>
    <row r="2240" spans="5:8" x14ac:dyDescent="0.25">
      <c r="E2240" t="str">
        <f>""</f>
        <v/>
      </c>
      <c r="F2240" t="str">
        <f>""</f>
        <v/>
      </c>
      <c r="H2240" t="str">
        <f t="shared" si="28"/>
        <v>SOCIAL SECURITY TAXES</v>
      </c>
    </row>
    <row r="2241" spans="5:8" x14ac:dyDescent="0.25">
      <c r="E2241" t="str">
        <f>"T3 201904308909"</f>
        <v>T3 201904308909</v>
      </c>
      <c r="F2241" t="str">
        <f>"SOCIAL SECURITY TAXES"</f>
        <v>SOCIAL SECURITY TAXES</v>
      </c>
      <c r="G2241" s="2">
        <v>4018.76</v>
      </c>
      <c r="H2241" t="str">
        <f t="shared" si="28"/>
        <v>SOCIAL SECURITY TAXES</v>
      </c>
    </row>
    <row r="2242" spans="5:8" x14ac:dyDescent="0.25">
      <c r="E2242" t="str">
        <f>""</f>
        <v/>
      </c>
      <c r="F2242" t="str">
        <f>""</f>
        <v/>
      </c>
      <c r="H2242" t="str">
        <f t="shared" si="28"/>
        <v>SOCIAL SECURITY TAXES</v>
      </c>
    </row>
    <row r="2243" spans="5:8" x14ac:dyDescent="0.25">
      <c r="E2243" t="str">
        <f>"T3 201904308910"</f>
        <v>T3 201904308910</v>
      </c>
      <c r="F2243" t="str">
        <f>"SOCIAL SECURITY TAXES"</f>
        <v>SOCIAL SECURITY TAXES</v>
      </c>
      <c r="G2243" s="2">
        <v>5002.3999999999996</v>
      </c>
      <c r="H2243" t="str">
        <f t="shared" si="28"/>
        <v>SOCIAL SECURITY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28"/>
        <v>SOCIAL SECURITY TAXES</v>
      </c>
    </row>
    <row r="2245" spans="5:8" x14ac:dyDescent="0.25">
      <c r="E2245" t="str">
        <f>"T4 201904308908"</f>
        <v>T4 201904308908</v>
      </c>
      <c r="F2245" t="str">
        <f>"MEDICARE TAXES"</f>
        <v>MEDICARE TAXES</v>
      </c>
      <c r="G2245" s="2">
        <v>24678.12</v>
      </c>
      <c r="H2245" t="str">
        <f t="shared" ref="H2245:H2276" si="29">"MEDICARE TAXES"</f>
        <v>MEDICARE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29"/>
        <v>MEDICARE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29"/>
        <v>MEDICARE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29"/>
        <v>MEDICARE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29"/>
        <v>MEDICARE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29"/>
        <v>MEDICARE TAXES</v>
      </c>
    </row>
    <row r="2251" spans="5:8" x14ac:dyDescent="0.25">
      <c r="E2251" t="str">
        <f>""</f>
        <v/>
      </c>
      <c r="F2251" t="str">
        <f>""</f>
        <v/>
      </c>
      <c r="H2251" t="str">
        <f t="shared" si="29"/>
        <v>MEDICARE TAXES</v>
      </c>
    </row>
    <row r="2252" spans="5:8" x14ac:dyDescent="0.25">
      <c r="E2252" t="str">
        <f>""</f>
        <v/>
      </c>
      <c r="F2252" t="str">
        <f>""</f>
        <v/>
      </c>
      <c r="H2252" t="str">
        <f t="shared" si="29"/>
        <v>MEDICARE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29"/>
        <v>MEDICARE TAXES</v>
      </c>
    </row>
    <row r="2254" spans="5:8" x14ac:dyDescent="0.25">
      <c r="E2254" t="str">
        <f>""</f>
        <v/>
      </c>
      <c r="F2254" t="str">
        <f>""</f>
        <v/>
      </c>
      <c r="H2254" t="str">
        <f t="shared" si="29"/>
        <v>MEDICARE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29"/>
        <v>MEDICARE TAXES</v>
      </c>
    </row>
    <row r="2256" spans="5:8" x14ac:dyDescent="0.25">
      <c r="E2256" t="str">
        <f>""</f>
        <v/>
      </c>
      <c r="F2256" t="str">
        <f>""</f>
        <v/>
      </c>
      <c r="H2256" t="str">
        <f t="shared" si="29"/>
        <v>MEDICARE TAXES</v>
      </c>
    </row>
    <row r="2257" spans="5:8" x14ac:dyDescent="0.25">
      <c r="E2257" t="str">
        <f>""</f>
        <v/>
      </c>
      <c r="F2257" t="str">
        <f>""</f>
        <v/>
      </c>
      <c r="H2257" t="str">
        <f t="shared" si="29"/>
        <v>MEDICARE TAXES</v>
      </c>
    </row>
    <row r="2258" spans="5:8" x14ac:dyDescent="0.25">
      <c r="E2258" t="str">
        <f>""</f>
        <v/>
      </c>
      <c r="F2258" t="str">
        <f>""</f>
        <v/>
      </c>
      <c r="H2258" t="str">
        <f t="shared" si="29"/>
        <v>MEDICARE TAXES</v>
      </c>
    </row>
    <row r="2259" spans="5:8" x14ac:dyDescent="0.25">
      <c r="E2259" t="str">
        <f>""</f>
        <v/>
      </c>
      <c r="F2259" t="str">
        <f>""</f>
        <v/>
      </c>
      <c r="H2259" t="str">
        <f t="shared" si="29"/>
        <v>MEDICARE TAXES</v>
      </c>
    </row>
    <row r="2260" spans="5:8" x14ac:dyDescent="0.25">
      <c r="E2260" t="str">
        <f>""</f>
        <v/>
      </c>
      <c r="F2260" t="str">
        <f>""</f>
        <v/>
      </c>
      <c r="H2260" t="str">
        <f t="shared" si="29"/>
        <v>MEDICARE TAXES</v>
      </c>
    </row>
    <row r="2261" spans="5:8" x14ac:dyDescent="0.25">
      <c r="E2261" t="str">
        <f>""</f>
        <v/>
      </c>
      <c r="F2261" t="str">
        <f>""</f>
        <v/>
      </c>
      <c r="H2261" t="str">
        <f t="shared" si="29"/>
        <v>MEDICARE TAXES</v>
      </c>
    </row>
    <row r="2262" spans="5:8" x14ac:dyDescent="0.25">
      <c r="E2262" t="str">
        <f>""</f>
        <v/>
      </c>
      <c r="F2262" t="str">
        <f>""</f>
        <v/>
      </c>
      <c r="H2262" t="str">
        <f t="shared" si="29"/>
        <v>MEDICARE TAXES</v>
      </c>
    </row>
    <row r="2263" spans="5:8" x14ac:dyDescent="0.25">
      <c r="E2263" t="str">
        <f>""</f>
        <v/>
      </c>
      <c r="F2263" t="str">
        <f>""</f>
        <v/>
      </c>
      <c r="H2263" t="str">
        <f t="shared" si="29"/>
        <v>MEDICARE TAXES</v>
      </c>
    </row>
    <row r="2264" spans="5:8" x14ac:dyDescent="0.25">
      <c r="E2264" t="str">
        <f>""</f>
        <v/>
      </c>
      <c r="F2264" t="str">
        <f>""</f>
        <v/>
      </c>
      <c r="H2264" t="str">
        <f t="shared" si="29"/>
        <v>MEDICARE TAXES</v>
      </c>
    </row>
    <row r="2265" spans="5:8" x14ac:dyDescent="0.25">
      <c r="E2265" t="str">
        <f>""</f>
        <v/>
      </c>
      <c r="F2265" t="str">
        <f>""</f>
        <v/>
      </c>
      <c r="H2265" t="str">
        <f t="shared" si="29"/>
        <v>MEDICARE TAXES</v>
      </c>
    </row>
    <row r="2266" spans="5:8" x14ac:dyDescent="0.25">
      <c r="E2266" t="str">
        <f>""</f>
        <v/>
      </c>
      <c r="F2266" t="str">
        <f>""</f>
        <v/>
      </c>
      <c r="H2266" t="str">
        <f t="shared" si="29"/>
        <v>MEDICARE TAXES</v>
      </c>
    </row>
    <row r="2267" spans="5:8" x14ac:dyDescent="0.25">
      <c r="E2267" t="str">
        <f>""</f>
        <v/>
      </c>
      <c r="F2267" t="str">
        <f>""</f>
        <v/>
      </c>
      <c r="H2267" t="str">
        <f t="shared" si="29"/>
        <v>MEDICARE TAXES</v>
      </c>
    </row>
    <row r="2268" spans="5:8" x14ac:dyDescent="0.25">
      <c r="E2268" t="str">
        <f>""</f>
        <v/>
      </c>
      <c r="F2268" t="str">
        <f>""</f>
        <v/>
      </c>
      <c r="H2268" t="str">
        <f t="shared" si="29"/>
        <v>MEDICARE TAXES</v>
      </c>
    </row>
    <row r="2269" spans="5:8" x14ac:dyDescent="0.25">
      <c r="E2269" t="str">
        <f>""</f>
        <v/>
      </c>
      <c r="F2269" t="str">
        <f>""</f>
        <v/>
      </c>
      <c r="H2269" t="str">
        <f t="shared" si="29"/>
        <v>MEDICARE TAXES</v>
      </c>
    </row>
    <row r="2270" spans="5:8" x14ac:dyDescent="0.25">
      <c r="E2270" t="str">
        <f>""</f>
        <v/>
      </c>
      <c r="F2270" t="str">
        <f>""</f>
        <v/>
      </c>
      <c r="H2270" t="str">
        <f t="shared" si="29"/>
        <v>MEDICARE TAXES</v>
      </c>
    </row>
    <row r="2271" spans="5:8" x14ac:dyDescent="0.25">
      <c r="E2271" t="str">
        <f>""</f>
        <v/>
      </c>
      <c r="F2271" t="str">
        <f>""</f>
        <v/>
      </c>
      <c r="H2271" t="str">
        <f t="shared" si="29"/>
        <v>MEDICARE TAXES</v>
      </c>
    </row>
    <row r="2272" spans="5:8" x14ac:dyDescent="0.25">
      <c r="E2272" t="str">
        <f>""</f>
        <v/>
      </c>
      <c r="F2272" t="str">
        <f>""</f>
        <v/>
      </c>
      <c r="H2272" t="str">
        <f t="shared" si="29"/>
        <v>MEDICARE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29"/>
        <v>MEDICARE TAXES</v>
      </c>
    </row>
    <row r="2274" spans="5:8" x14ac:dyDescent="0.25">
      <c r="E2274" t="str">
        <f>""</f>
        <v/>
      </c>
      <c r="F2274" t="str">
        <f>""</f>
        <v/>
      </c>
      <c r="H2274" t="str">
        <f t="shared" si="29"/>
        <v>MEDICARE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29"/>
        <v>MEDICARE TAXES</v>
      </c>
    </row>
    <row r="2276" spans="5:8" x14ac:dyDescent="0.25">
      <c r="E2276" t="str">
        <f>""</f>
        <v/>
      </c>
      <c r="F2276" t="str">
        <f>""</f>
        <v/>
      </c>
      <c r="H2276" t="str">
        <f t="shared" si="29"/>
        <v>MEDICARE TAXES</v>
      </c>
    </row>
    <row r="2277" spans="5:8" x14ac:dyDescent="0.25">
      <c r="E2277" t="str">
        <f>""</f>
        <v/>
      </c>
      <c r="F2277" t="str">
        <f>""</f>
        <v/>
      </c>
      <c r="H2277" t="str">
        <f t="shared" ref="H2277:H2299" si="30">"MEDICARE TAXES"</f>
        <v>MEDICARE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30"/>
        <v>MEDICARE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30"/>
        <v>MEDICARE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30"/>
        <v>MEDICARE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30"/>
        <v>MEDICARE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30"/>
        <v>MEDICARE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30"/>
        <v>MEDICARE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30"/>
        <v>MEDICARE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30"/>
        <v>MEDICARE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30"/>
        <v>MEDICARE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30"/>
        <v>MEDICARE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30"/>
        <v>MEDICARE TAXES</v>
      </c>
    </row>
    <row r="2289" spans="1:8" x14ac:dyDescent="0.25">
      <c r="E2289" t="str">
        <f>""</f>
        <v/>
      </c>
      <c r="F2289" t="str">
        <f>""</f>
        <v/>
      </c>
      <c r="H2289" t="str">
        <f t="shared" si="30"/>
        <v>MEDICARE TAXES</v>
      </c>
    </row>
    <row r="2290" spans="1:8" x14ac:dyDescent="0.25">
      <c r="E2290" t="str">
        <f>""</f>
        <v/>
      </c>
      <c r="F2290" t="str">
        <f>""</f>
        <v/>
      </c>
      <c r="H2290" t="str">
        <f t="shared" si="30"/>
        <v>MEDICARE TAXES</v>
      </c>
    </row>
    <row r="2291" spans="1:8" x14ac:dyDescent="0.25">
      <c r="E2291" t="str">
        <f>""</f>
        <v/>
      </c>
      <c r="F2291" t="str">
        <f>""</f>
        <v/>
      </c>
      <c r="H2291" t="str">
        <f t="shared" si="30"/>
        <v>MEDICARE TAXES</v>
      </c>
    </row>
    <row r="2292" spans="1:8" x14ac:dyDescent="0.25">
      <c r="E2292" t="str">
        <f>""</f>
        <v/>
      </c>
      <c r="F2292" t="str">
        <f>""</f>
        <v/>
      </c>
      <c r="H2292" t="str">
        <f t="shared" si="30"/>
        <v>MEDICARE TAXES</v>
      </c>
    </row>
    <row r="2293" spans="1:8" x14ac:dyDescent="0.25">
      <c r="E2293" t="str">
        <f>""</f>
        <v/>
      </c>
      <c r="F2293" t="str">
        <f>""</f>
        <v/>
      </c>
      <c r="H2293" t="str">
        <f t="shared" si="30"/>
        <v>MEDICARE TAXES</v>
      </c>
    </row>
    <row r="2294" spans="1:8" x14ac:dyDescent="0.25">
      <c r="E2294" t="str">
        <f>""</f>
        <v/>
      </c>
      <c r="F2294" t="str">
        <f>""</f>
        <v/>
      </c>
      <c r="H2294" t="str">
        <f t="shared" si="30"/>
        <v>MEDICARE TAXES</v>
      </c>
    </row>
    <row r="2295" spans="1:8" x14ac:dyDescent="0.25">
      <c r="E2295" t="str">
        <f>""</f>
        <v/>
      </c>
      <c r="F2295" t="str">
        <f>""</f>
        <v/>
      </c>
      <c r="H2295" t="str">
        <f t="shared" si="30"/>
        <v>MEDICARE TAXES</v>
      </c>
    </row>
    <row r="2296" spans="1:8" x14ac:dyDescent="0.25">
      <c r="E2296" t="str">
        <f>"T4 201904308909"</f>
        <v>T4 201904308909</v>
      </c>
      <c r="F2296" t="str">
        <f>"MEDICARE TAXES"</f>
        <v>MEDICARE TAXES</v>
      </c>
      <c r="G2296" s="2">
        <v>939.9</v>
      </c>
      <c r="H2296" t="str">
        <f t="shared" si="30"/>
        <v>MEDICARE TAXES</v>
      </c>
    </row>
    <row r="2297" spans="1:8" x14ac:dyDescent="0.25">
      <c r="E2297" t="str">
        <f>""</f>
        <v/>
      </c>
      <c r="F2297" t="str">
        <f>""</f>
        <v/>
      </c>
      <c r="H2297" t="str">
        <f t="shared" si="30"/>
        <v>MEDICARE TAXES</v>
      </c>
    </row>
    <row r="2298" spans="1:8" x14ac:dyDescent="0.25">
      <c r="E2298" t="str">
        <f>"T4 201904308910"</f>
        <v>T4 201904308910</v>
      </c>
      <c r="F2298" t="str">
        <f>"MEDICARE TAXES"</f>
        <v>MEDICARE TAXES</v>
      </c>
      <c r="G2298" s="2">
        <v>1169.92</v>
      </c>
      <c r="H2298" t="str">
        <f t="shared" si="30"/>
        <v>MEDICARE TAXES</v>
      </c>
    </row>
    <row r="2299" spans="1:8" x14ac:dyDescent="0.25">
      <c r="E2299" t="str">
        <f>""</f>
        <v/>
      </c>
      <c r="F2299" t="str">
        <f>""</f>
        <v/>
      </c>
      <c r="H2299" t="str">
        <f t="shared" si="30"/>
        <v>MEDICARE TAXES</v>
      </c>
    </row>
    <row r="2300" spans="1:8" x14ac:dyDescent="0.25">
      <c r="A2300" t="s">
        <v>460</v>
      </c>
      <c r="B2300">
        <v>129</v>
      </c>
      <c r="C2300" s="2">
        <v>227173.76000000001</v>
      </c>
      <c r="D2300" s="1">
        <v>43602</v>
      </c>
      <c r="E2300" t="str">
        <f>"T1 201905159265"</f>
        <v>T1 201905159265</v>
      </c>
      <c r="F2300" t="str">
        <f>"FEDERAL WITHHOLDING"</f>
        <v>FEDERAL WITHHOLDING</v>
      </c>
      <c r="G2300" s="2">
        <v>75821.710000000006</v>
      </c>
      <c r="H2300" t="str">
        <f>"FEDERAL WITHHOLDING"</f>
        <v>FEDERAL WITHHOLDING</v>
      </c>
    </row>
    <row r="2301" spans="1:8" x14ac:dyDescent="0.25">
      <c r="E2301" t="str">
        <f>"T1 201905159266"</f>
        <v>T1 201905159266</v>
      </c>
      <c r="F2301" t="str">
        <f>"FEDERAL WITHHOLDING"</f>
        <v>FEDERAL WITHHOLDING</v>
      </c>
      <c r="G2301" s="2">
        <v>2879.98</v>
      </c>
      <c r="H2301" t="str">
        <f>"FEDERAL WITHHOLDING"</f>
        <v>FEDERAL WITHHOLDING</v>
      </c>
    </row>
    <row r="2302" spans="1:8" x14ac:dyDescent="0.25">
      <c r="E2302" t="str">
        <f>"T1 201905159267"</f>
        <v>T1 201905159267</v>
      </c>
      <c r="F2302" t="str">
        <f>"FEDERAL WITHHOLDING"</f>
        <v>FEDERAL WITHHOLDING</v>
      </c>
      <c r="G2302" s="2">
        <v>3502.59</v>
      </c>
      <c r="H2302" t="str">
        <f>"FEDERAL WITHHOLDING"</f>
        <v>FEDERAL WITHHOLDING</v>
      </c>
    </row>
    <row r="2303" spans="1:8" x14ac:dyDescent="0.25">
      <c r="E2303" t="str">
        <f>"T3 201905159265"</f>
        <v>T3 201905159265</v>
      </c>
      <c r="F2303" t="str">
        <f>"SOCIAL SECURITY TAXES"</f>
        <v>SOCIAL SECURITY TAXES</v>
      </c>
      <c r="G2303" s="2">
        <v>108489.2</v>
      </c>
      <c r="H2303" t="str">
        <f t="shared" ref="H2303:H2334" si="31">"SOCIAL SECURITY TAXES"</f>
        <v>SOCIAL SECURITY TAXES</v>
      </c>
    </row>
    <row r="2304" spans="1:8" x14ac:dyDescent="0.25">
      <c r="E2304" t="str">
        <f>""</f>
        <v/>
      </c>
      <c r="F2304" t="str">
        <f>""</f>
        <v/>
      </c>
      <c r="H2304" t="str">
        <f t="shared" si="31"/>
        <v>SOCIAL SECURITY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31"/>
        <v>SOCIAL SECURITY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31"/>
        <v>SOCIAL SECURITY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31"/>
        <v>SOCIAL SECURITY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31"/>
        <v>SOCIAL SECURITY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31"/>
        <v>SOCIAL SECURITY TAXES</v>
      </c>
    </row>
    <row r="2310" spans="5:8" x14ac:dyDescent="0.25">
      <c r="E2310" t="str">
        <f>""</f>
        <v/>
      </c>
      <c r="F2310" t="str">
        <f>""</f>
        <v/>
      </c>
      <c r="H2310" t="str">
        <f t="shared" si="31"/>
        <v>SOCIAL SECURITY TAXES</v>
      </c>
    </row>
    <row r="2311" spans="5:8" x14ac:dyDescent="0.25">
      <c r="E2311" t="str">
        <f>""</f>
        <v/>
      </c>
      <c r="F2311" t="str">
        <f>""</f>
        <v/>
      </c>
      <c r="H2311" t="str">
        <f t="shared" si="31"/>
        <v>SOCIAL SECURITY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31"/>
        <v>SOCIAL SECURITY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31"/>
        <v>SOCIAL SECURITY TAXES</v>
      </c>
    </row>
    <row r="2314" spans="5:8" x14ac:dyDescent="0.25">
      <c r="E2314" t="str">
        <f>""</f>
        <v/>
      </c>
      <c r="F2314" t="str">
        <f>""</f>
        <v/>
      </c>
      <c r="H2314" t="str">
        <f t="shared" si="31"/>
        <v>SOCIAL SECURITY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31"/>
        <v>SOCIAL SECURITY TAXES</v>
      </c>
    </row>
    <row r="2316" spans="5:8" x14ac:dyDescent="0.25">
      <c r="E2316" t="str">
        <f>""</f>
        <v/>
      </c>
      <c r="F2316" t="str">
        <f>""</f>
        <v/>
      </c>
      <c r="H2316" t="str">
        <f t="shared" si="31"/>
        <v>SOCIAL SECURITY TAXES</v>
      </c>
    </row>
    <row r="2317" spans="5:8" x14ac:dyDescent="0.25">
      <c r="E2317" t="str">
        <f>""</f>
        <v/>
      </c>
      <c r="F2317" t="str">
        <f>""</f>
        <v/>
      </c>
      <c r="H2317" t="str">
        <f t="shared" si="31"/>
        <v>SOCIAL SECURITY TAXES</v>
      </c>
    </row>
    <row r="2318" spans="5:8" x14ac:dyDescent="0.25">
      <c r="E2318" t="str">
        <f>""</f>
        <v/>
      </c>
      <c r="F2318" t="str">
        <f>""</f>
        <v/>
      </c>
      <c r="H2318" t="str">
        <f t="shared" si="31"/>
        <v>SOCIAL SECURITY TAXES</v>
      </c>
    </row>
    <row r="2319" spans="5:8" x14ac:dyDescent="0.25">
      <c r="E2319" t="str">
        <f>""</f>
        <v/>
      </c>
      <c r="F2319" t="str">
        <f>""</f>
        <v/>
      </c>
      <c r="H2319" t="str">
        <f t="shared" si="31"/>
        <v>SOCIAL SECURITY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31"/>
        <v>SOCIAL SECURITY TAXES</v>
      </c>
    </row>
    <row r="2321" spans="5:8" x14ac:dyDescent="0.25">
      <c r="E2321" t="str">
        <f>""</f>
        <v/>
      </c>
      <c r="F2321" t="str">
        <f>""</f>
        <v/>
      </c>
      <c r="H2321" t="str">
        <f t="shared" si="31"/>
        <v>SOCIAL SECURITY TAXES</v>
      </c>
    </row>
    <row r="2322" spans="5:8" x14ac:dyDescent="0.25">
      <c r="E2322" t="str">
        <f>""</f>
        <v/>
      </c>
      <c r="F2322" t="str">
        <f>""</f>
        <v/>
      </c>
      <c r="H2322" t="str">
        <f t="shared" si="31"/>
        <v>SOCIAL SECURITY TAXES</v>
      </c>
    </row>
    <row r="2323" spans="5:8" x14ac:dyDescent="0.25">
      <c r="E2323" t="str">
        <f>""</f>
        <v/>
      </c>
      <c r="F2323" t="str">
        <f>""</f>
        <v/>
      </c>
      <c r="H2323" t="str">
        <f t="shared" si="31"/>
        <v>SOCIAL SECURITY TAXES</v>
      </c>
    </row>
    <row r="2324" spans="5:8" x14ac:dyDescent="0.25">
      <c r="E2324" t="str">
        <f>""</f>
        <v/>
      </c>
      <c r="F2324" t="str">
        <f>""</f>
        <v/>
      </c>
      <c r="H2324" t="str">
        <f t="shared" si="31"/>
        <v>SOCIAL SECURITY TAXES</v>
      </c>
    </row>
    <row r="2325" spans="5:8" x14ac:dyDescent="0.25">
      <c r="E2325" t="str">
        <f>""</f>
        <v/>
      </c>
      <c r="F2325" t="str">
        <f>""</f>
        <v/>
      </c>
      <c r="H2325" t="str">
        <f t="shared" si="31"/>
        <v>SOCIAL SECURITY TAXES</v>
      </c>
    </row>
    <row r="2326" spans="5:8" x14ac:dyDescent="0.25">
      <c r="E2326" t="str">
        <f>""</f>
        <v/>
      </c>
      <c r="F2326" t="str">
        <f>""</f>
        <v/>
      </c>
      <c r="H2326" t="str">
        <f t="shared" si="31"/>
        <v>SOCIAL SECURITY TAXES</v>
      </c>
    </row>
    <row r="2327" spans="5:8" x14ac:dyDescent="0.25">
      <c r="E2327" t="str">
        <f>""</f>
        <v/>
      </c>
      <c r="F2327" t="str">
        <f>""</f>
        <v/>
      </c>
      <c r="H2327" t="str">
        <f t="shared" si="31"/>
        <v>SOCIAL SECURITY TAXES</v>
      </c>
    </row>
    <row r="2328" spans="5:8" x14ac:dyDescent="0.25">
      <c r="E2328" t="str">
        <f>""</f>
        <v/>
      </c>
      <c r="F2328" t="str">
        <f>""</f>
        <v/>
      </c>
      <c r="H2328" t="str">
        <f t="shared" si="31"/>
        <v>SOCIAL SECURITY TAXES</v>
      </c>
    </row>
    <row r="2329" spans="5:8" x14ac:dyDescent="0.25">
      <c r="E2329" t="str">
        <f>""</f>
        <v/>
      </c>
      <c r="F2329" t="str">
        <f>""</f>
        <v/>
      </c>
      <c r="H2329" t="str">
        <f t="shared" si="31"/>
        <v>SOCIAL SECURITY TAXES</v>
      </c>
    </row>
    <row r="2330" spans="5:8" x14ac:dyDescent="0.25">
      <c r="E2330" t="str">
        <f>""</f>
        <v/>
      </c>
      <c r="F2330" t="str">
        <f>""</f>
        <v/>
      </c>
      <c r="H2330" t="str">
        <f t="shared" si="31"/>
        <v>SOCIAL SECURITY TAXES</v>
      </c>
    </row>
    <row r="2331" spans="5:8" x14ac:dyDescent="0.25">
      <c r="E2331" t="str">
        <f>""</f>
        <v/>
      </c>
      <c r="F2331" t="str">
        <f>""</f>
        <v/>
      </c>
      <c r="H2331" t="str">
        <f t="shared" si="31"/>
        <v>SOCIAL SECURITY TAXES</v>
      </c>
    </row>
    <row r="2332" spans="5:8" x14ac:dyDescent="0.25">
      <c r="E2332" t="str">
        <f>""</f>
        <v/>
      </c>
      <c r="F2332" t="str">
        <f>""</f>
        <v/>
      </c>
      <c r="H2332" t="str">
        <f t="shared" si="31"/>
        <v>SOCIAL SECURITY TAXES</v>
      </c>
    </row>
    <row r="2333" spans="5:8" x14ac:dyDescent="0.25">
      <c r="E2333" t="str">
        <f>""</f>
        <v/>
      </c>
      <c r="F2333" t="str">
        <f>""</f>
        <v/>
      </c>
      <c r="H2333" t="str">
        <f t="shared" si="31"/>
        <v>SOCIAL SECURITY TAXES</v>
      </c>
    </row>
    <row r="2334" spans="5:8" x14ac:dyDescent="0.25">
      <c r="E2334" t="str">
        <f>""</f>
        <v/>
      </c>
      <c r="F2334" t="str">
        <f>""</f>
        <v/>
      </c>
      <c r="H2334" t="str">
        <f t="shared" si="31"/>
        <v>SOCIAL SECURITY TAXES</v>
      </c>
    </row>
    <row r="2335" spans="5:8" x14ac:dyDescent="0.25">
      <c r="E2335" t="str">
        <f>""</f>
        <v/>
      </c>
      <c r="F2335" t="str">
        <f>""</f>
        <v/>
      </c>
      <c r="H2335" t="str">
        <f t="shared" ref="H2335:H2357" si="32">"SOCIAL SECURITY TAXES"</f>
        <v>SOCIAL SECURITY TAXES</v>
      </c>
    </row>
    <row r="2336" spans="5:8" x14ac:dyDescent="0.25">
      <c r="E2336" t="str">
        <f>""</f>
        <v/>
      </c>
      <c r="F2336" t="str">
        <f>""</f>
        <v/>
      </c>
      <c r="H2336" t="str">
        <f t="shared" si="32"/>
        <v>SOCIAL SECURITY TAXES</v>
      </c>
    </row>
    <row r="2337" spans="5:8" x14ac:dyDescent="0.25">
      <c r="E2337" t="str">
        <f>""</f>
        <v/>
      </c>
      <c r="F2337" t="str">
        <f>""</f>
        <v/>
      </c>
      <c r="H2337" t="str">
        <f t="shared" si="32"/>
        <v>SOCIAL SECURITY TAXES</v>
      </c>
    </row>
    <row r="2338" spans="5:8" x14ac:dyDescent="0.25">
      <c r="E2338" t="str">
        <f>""</f>
        <v/>
      </c>
      <c r="F2338" t="str">
        <f>""</f>
        <v/>
      </c>
      <c r="H2338" t="str">
        <f t="shared" si="32"/>
        <v>SOCIAL SECURITY TAXES</v>
      </c>
    </row>
    <row r="2339" spans="5:8" x14ac:dyDescent="0.25">
      <c r="E2339" t="str">
        <f>""</f>
        <v/>
      </c>
      <c r="F2339" t="str">
        <f>""</f>
        <v/>
      </c>
      <c r="H2339" t="str">
        <f t="shared" si="32"/>
        <v>SOCIAL SECURITY TAXES</v>
      </c>
    </row>
    <row r="2340" spans="5:8" x14ac:dyDescent="0.25">
      <c r="E2340" t="str">
        <f>""</f>
        <v/>
      </c>
      <c r="F2340" t="str">
        <f>""</f>
        <v/>
      </c>
      <c r="H2340" t="str">
        <f t="shared" si="32"/>
        <v>SOCIAL SECURITY TAXES</v>
      </c>
    </row>
    <row r="2341" spans="5:8" x14ac:dyDescent="0.25">
      <c r="E2341" t="str">
        <f>""</f>
        <v/>
      </c>
      <c r="F2341" t="str">
        <f>""</f>
        <v/>
      </c>
      <c r="H2341" t="str">
        <f t="shared" si="32"/>
        <v>SOCIAL SECURITY TAXES</v>
      </c>
    </row>
    <row r="2342" spans="5:8" x14ac:dyDescent="0.25">
      <c r="E2342" t="str">
        <f>""</f>
        <v/>
      </c>
      <c r="F2342" t="str">
        <f>""</f>
        <v/>
      </c>
      <c r="H2342" t="str">
        <f t="shared" si="32"/>
        <v>SOCIAL SECURITY TAXES</v>
      </c>
    </row>
    <row r="2343" spans="5:8" x14ac:dyDescent="0.25">
      <c r="E2343" t="str">
        <f>""</f>
        <v/>
      </c>
      <c r="F2343" t="str">
        <f>""</f>
        <v/>
      </c>
      <c r="H2343" t="str">
        <f t="shared" si="32"/>
        <v>SOCIAL SECURITY TAXES</v>
      </c>
    </row>
    <row r="2344" spans="5:8" x14ac:dyDescent="0.25">
      <c r="E2344" t="str">
        <f>""</f>
        <v/>
      </c>
      <c r="F2344" t="str">
        <f>""</f>
        <v/>
      </c>
      <c r="H2344" t="str">
        <f t="shared" si="32"/>
        <v>SOCIAL SECURITY TAXES</v>
      </c>
    </row>
    <row r="2345" spans="5:8" x14ac:dyDescent="0.25">
      <c r="E2345" t="str">
        <f>""</f>
        <v/>
      </c>
      <c r="F2345" t="str">
        <f>""</f>
        <v/>
      </c>
      <c r="H2345" t="str">
        <f t="shared" si="32"/>
        <v>SOCIAL SECURITY TAXES</v>
      </c>
    </row>
    <row r="2346" spans="5:8" x14ac:dyDescent="0.25">
      <c r="E2346" t="str">
        <f>""</f>
        <v/>
      </c>
      <c r="F2346" t="str">
        <f>""</f>
        <v/>
      </c>
      <c r="H2346" t="str">
        <f t="shared" si="32"/>
        <v>SOCIAL SECURITY TAXES</v>
      </c>
    </row>
    <row r="2347" spans="5:8" x14ac:dyDescent="0.25">
      <c r="E2347" t="str">
        <f>""</f>
        <v/>
      </c>
      <c r="F2347" t="str">
        <f>""</f>
        <v/>
      </c>
      <c r="H2347" t="str">
        <f t="shared" si="32"/>
        <v>SOCIAL SECURITY TAXES</v>
      </c>
    </row>
    <row r="2348" spans="5:8" x14ac:dyDescent="0.25">
      <c r="E2348" t="str">
        <f>""</f>
        <v/>
      </c>
      <c r="F2348" t="str">
        <f>""</f>
        <v/>
      </c>
      <c r="H2348" t="str">
        <f t="shared" si="32"/>
        <v>SOCIAL SECURITY TAXES</v>
      </c>
    </row>
    <row r="2349" spans="5:8" x14ac:dyDescent="0.25">
      <c r="E2349" t="str">
        <f>""</f>
        <v/>
      </c>
      <c r="F2349" t="str">
        <f>""</f>
        <v/>
      </c>
      <c r="H2349" t="str">
        <f t="shared" si="32"/>
        <v>SOCIAL SECURITY TAXES</v>
      </c>
    </row>
    <row r="2350" spans="5:8" x14ac:dyDescent="0.25">
      <c r="E2350" t="str">
        <f>""</f>
        <v/>
      </c>
      <c r="F2350" t="str">
        <f>""</f>
        <v/>
      </c>
      <c r="H2350" t="str">
        <f t="shared" si="32"/>
        <v>SOCIAL SECURITY TAXES</v>
      </c>
    </row>
    <row r="2351" spans="5:8" x14ac:dyDescent="0.25">
      <c r="E2351" t="str">
        <f>""</f>
        <v/>
      </c>
      <c r="F2351" t="str">
        <f>""</f>
        <v/>
      </c>
      <c r="H2351" t="str">
        <f t="shared" si="32"/>
        <v>SOCIAL SECURITY TAXES</v>
      </c>
    </row>
    <row r="2352" spans="5:8" x14ac:dyDescent="0.25">
      <c r="E2352" t="str">
        <f>""</f>
        <v/>
      </c>
      <c r="F2352" t="str">
        <f>""</f>
        <v/>
      </c>
      <c r="H2352" t="str">
        <f t="shared" si="32"/>
        <v>SOCIAL SECURITY TAXES</v>
      </c>
    </row>
    <row r="2353" spans="5:8" x14ac:dyDescent="0.25">
      <c r="E2353" t="str">
        <f>""</f>
        <v/>
      </c>
      <c r="F2353" t="str">
        <f>""</f>
        <v/>
      </c>
      <c r="H2353" t="str">
        <f t="shared" si="32"/>
        <v>SOCIAL SECURITY TAXES</v>
      </c>
    </row>
    <row r="2354" spans="5:8" x14ac:dyDescent="0.25">
      <c r="E2354" t="str">
        <f>"T3 201905159266"</f>
        <v>T3 201905159266</v>
      </c>
      <c r="F2354" t="str">
        <f>"SOCIAL SECURITY TAXES"</f>
        <v>SOCIAL SECURITY TAXES</v>
      </c>
      <c r="G2354" s="2">
        <v>4011.22</v>
      </c>
      <c r="H2354" t="str">
        <f t="shared" si="32"/>
        <v>SOCIAL SECURITY TAXES</v>
      </c>
    </row>
    <row r="2355" spans="5:8" x14ac:dyDescent="0.25">
      <c r="E2355" t="str">
        <f>""</f>
        <v/>
      </c>
      <c r="F2355" t="str">
        <f>""</f>
        <v/>
      </c>
      <c r="H2355" t="str">
        <f t="shared" si="32"/>
        <v>SOCIAL SECURITY TAXES</v>
      </c>
    </row>
    <row r="2356" spans="5:8" x14ac:dyDescent="0.25">
      <c r="E2356" t="str">
        <f>"T3 201905159267"</f>
        <v>T3 201905159267</v>
      </c>
      <c r="F2356" t="str">
        <f>"SOCIAL SECURITY TAXES"</f>
        <v>SOCIAL SECURITY TAXES</v>
      </c>
      <c r="G2356" s="2">
        <v>4991.26</v>
      </c>
      <c r="H2356" t="str">
        <f t="shared" si="32"/>
        <v>SOCIAL SECURITY TAXES</v>
      </c>
    </row>
    <row r="2357" spans="5:8" x14ac:dyDescent="0.25">
      <c r="E2357" t="str">
        <f>""</f>
        <v/>
      </c>
      <c r="F2357" t="str">
        <f>""</f>
        <v/>
      </c>
      <c r="H2357" t="str">
        <f t="shared" si="32"/>
        <v>SOCIAL SECURITY TAXES</v>
      </c>
    </row>
    <row r="2358" spans="5:8" x14ac:dyDescent="0.25">
      <c r="E2358" t="str">
        <f>"T4 201905159265"</f>
        <v>T4 201905159265</v>
      </c>
      <c r="F2358" t="str">
        <f>"MEDICARE TAXES"</f>
        <v>MEDICARE TAXES</v>
      </c>
      <c r="G2358" s="2">
        <v>25372.36</v>
      </c>
      <c r="H2358" t="str">
        <f t="shared" ref="H2358:H2389" si="33">"MEDICARE TAXES"</f>
        <v>MEDICARE TAXES</v>
      </c>
    </row>
    <row r="2359" spans="5:8" x14ac:dyDescent="0.25">
      <c r="E2359" t="str">
        <f>""</f>
        <v/>
      </c>
      <c r="F2359" t="str">
        <f>""</f>
        <v/>
      </c>
      <c r="H2359" t="str">
        <f t="shared" si="33"/>
        <v>MEDICARE TAXES</v>
      </c>
    </row>
    <row r="2360" spans="5:8" x14ac:dyDescent="0.25">
      <c r="E2360" t="str">
        <f>""</f>
        <v/>
      </c>
      <c r="F2360" t="str">
        <f>""</f>
        <v/>
      </c>
      <c r="H2360" t="str">
        <f t="shared" si="33"/>
        <v>MEDICARE TAXES</v>
      </c>
    </row>
    <row r="2361" spans="5:8" x14ac:dyDescent="0.25">
      <c r="E2361" t="str">
        <f>""</f>
        <v/>
      </c>
      <c r="F2361" t="str">
        <f>""</f>
        <v/>
      </c>
      <c r="H2361" t="str">
        <f t="shared" si="33"/>
        <v>MEDICARE TAXES</v>
      </c>
    </row>
    <row r="2362" spans="5:8" x14ac:dyDescent="0.25">
      <c r="E2362" t="str">
        <f>""</f>
        <v/>
      </c>
      <c r="F2362" t="str">
        <f>""</f>
        <v/>
      </c>
      <c r="H2362" t="str">
        <f t="shared" si="33"/>
        <v>MEDICARE TAXES</v>
      </c>
    </row>
    <row r="2363" spans="5:8" x14ac:dyDescent="0.25">
      <c r="E2363" t="str">
        <f>""</f>
        <v/>
      </c>
      <c r="F2363" t="str">
        <f>""</f>
        <v/>
      </c>
      <c r="H2363" t="str">
        <f t="shared" si="33"/>
        <v>MEDICARE TAXES</v>
      </c>
    </row>
    <row r="2364" spans="5:8" x14ac:dyDescent="0.25">
      <c r="E2364" t="str">
        <f>""</f>
        <v/>
      </c>
      <c r="F2364" t="str">
        <f>""</f>
        <v/>
      </c>
      <c r="H2364" t="str">
        <f t="shared" si="33"/>
        <v>MEDICARE TAXES</v>
      </c>
    </row>
    <row r="2365" spans="5:8" x14ac:dyDescent="0.25">
      <c r="E2365" t="str">
        <f>""</f>
        <v/>
      </c>
      <c r="F2365" t="str">
        <f>""</f>
        <v/>
      </c>
      <c r="H2365" t="str">
        <f t="shared" si="33"/>
        <v>MEDICARE TAXES</v>
      </c>
    </row>
    <row r="2366" spans="5:8" x14ac:dyDescent="0.25">
      <c r="E2366" t="str">
        <f>""</f>
        <v/>
      </c>
      <c r="F2366" t="str">
        <f>""</f>
        <v/>
      </c>
      <c r="H2366" t="str">
        <f t="shared" si="33"/>
        <v>MEDICARE TAXES</v>
      </c>
    </row>
    <row r="2367" spans="5:8" x14ac:dyDescent="0.25">
      <c r="E2367" t="str">
        <f>""</f>
        <v/>
      </c>
      <c r="F2367" t="str">
        <f>""</f>
        <v/>
      </c>
      <c r="H2367" t="str">
        <f t="shared" si="33"/>
        <v>MEDICARE TAXES</v>
      </c>
    </row>
    <row r="2368" spans="5:8" x14ac:dyDescent="0.25">
      <c r="E2368" t="str">
        <f>""</f>
        <v/>
      </c>
      <c r="F2368" t="str">
        <f>""</f>
        <v/>
      </c>
      <c r="H2368" t="str">
        <f t="shared" si="33"/>
        <v>MEDICARE TAXES</v>
      </c>
    </row>
    <row r="2369" spans="5:8" x14ac:dyDescent="0.25">
      <c r="E2369" t="str">
        <f>""</f>
        <v/>
      </c>
      <c r="F2369" t="str">
        <f>""</f>
        <v/>
      </c>
      <c r="H2369" t="str">
        <f t="shared" si="33"/>
        <v>MEDICARE TAXES</v>
      </c>
    </row>
    <row r="2370" spans="5:8" x14ac:dyDescent="0.25">
      <c r="E2370" t="str">
        <f>""</f>
        <v/>
      </c>
      <c r="F2370" t="str">
        <f>""</f>
        <v/>
      </c>
      <c r="H2370" t="str">
        <f t="shared" si="33"/>
        <v>MEDICARE TAXES</v>
      </c>
    </row>
    <row r="2371" spans="5:8" x14ac:dyDescent="0.25">
      <c r="E2371" t="str">
        <f>""</f>
        <v/>
      </c>
      <c r="F2371" t="str">
        <f>""</f>
        <v/>
      </c>
      <c r="H2371" t="str">
        <f t="shared" si="33"/>
        <v>MEDICARE TAXES</v>
      </c>
    </row>
    <row r="2372" spans="5:8" x14ac:dyDescent="0.25">
      <c r="E2372" t="str">
        <f>""</f>
        <v/>
      </c>
      <c r="F2372" t="str">
        <f>""</f>
        <v/>
      </c>
      <c r="H2372" t="str">
        <f t="shared" si="33"/>
        <v>MEDICARE TAXES</v>
      </c>
    </row>
    <row r="2373" spans="5:8" x14ac:dyDescent="0.25">
      <c r="E2373" t="str">
        <f>""</f>
        <v/>
      </c>
      <c r="F2373" t="str">
        <f>""</f>
        <v/>
      </c>
      <c r="H2373" t="str">
        <f t="shared" si="33"/>
        <v>MEDICARE TAXES</v>
      </c>
    </row>
    <row r="2374" spans="5:8" x14ac:dyDescent="0.25">
      <c r="E2374" t="str">
        <f>""</f>
        <v/>
      </c>
      <c r="F2374" t="str">
        <f>""</f>
        <v/>
      </c>
      <c r="H2374" t="str">
        <f t="shared" si="33"/>
        <v>MEDICARE TAXES</v>
      </c>
    </row>
    <row r="2375" spans="5:8" x14ac:dyDescent="0.25">
      <c r="E2375" t="str">
        <f>""</f>
        <v/>
      </c>
      <c r="F2375" t="str">
        <f>""</f>
        <v/>
      </c>
      <c r="H2375" t="str">
        <f t="shared" si="33"/>
        <v>MEDICARE TAXES</v>
      </c>
    </row>
    <row r="2376" spans="5:8" x14ac:dyDescent="0.25">
      <c r="E2376" t="str">
        <f>""</f>
        <v/>
      </c>
      <c r="F2376" t="str">
        <f>""</f>
        <v/>
      </c>
      <c r="H2376" t="str">
        <f t="shared" si="33"/>
        <v>MEDICARE TAXES</v>
      </c>
    </row>
    <row r="2377" spans="5:8" x14ac:dyDescent="0.25">
      <c r="E2377" t="str">
        <f>""</f>
        <v/>
      </c>
      <c r="F2377" t="str">
        <f>""</f>
        <v/>
      </c>
      <c r="H2377" t="str">
        <f t="shared" si="33"/>
        <v>MEDICARE TAXES</v>
      </c>
    </row>
    <row r="2378" spans="5:8" x14ac:dyDescent="0.25">
      <c r="E2378" t="str">
        <f>""</f>
        <v/>
      </c>
      <c r="F2378" t="str">
        <f>""</f>
        <v/>
      </c>
      <c r="H2378" t="str">
        <f t="shared" si="33"/>
        <v>MEDICARE TAXES</v>
      </c>
    </row>
    <row r="2379" spans="5:8" x14ac:dyDescent="0.25">
      <c r="E2379" t="str">
        <f>""</f>
        <v/>
      </c>
      <c r="F2379" t="str">
        <f>""</f>
        <v/>
      </c>
      <c r="H2379" t="str">
        <f t="shared" si="33"/>
        <v>MEDICARE TAXES</v>
      </c>
    </row>
    <row r="2380" spans="5:8" x14ac:dyDescent="0.25">
      <c r="E2380" t="str">
        <f>""</f>
        <v/>
      </c>
      <c r="F2380" t="str">
        <f>""</f>
        <v/>
      </c>
      <c r="H2380" t="str">
        <f t="shared" si="33"/>
        <v>MEDICARE TAXES</v>
      </c>
    </row>
    <row r="2381" spans="5:8" x14ac:dyDescent="0.25">
      <c r="E2381" t="str">
        <f>""</f>
        <v/>
      </c>
      <c r="F2381" t="str">
        <f>""</f>
        <v/>
      </c>
      <c r="H2381" t="str">
        <f t="shared" si="33"/>
        <v>MEDICARE TAXES</v>
      </c>
    </row>
    <row r="2382" spans="5:8" x14ac:dyDescent="0.25">
      <c r="E2382" t="str">
        <f>""</f>
        <v/>
      </c>
      <c r="F2382" t="str">
        <f>""</f>
        <v/>
      </c>
      <c r="H2382" t="str">
        <f t="shared" si="33"/>
        <v>MEDICARE TAXES</v>
      </c>
    </row>
    <row r="2383" spans="5:8" x14ac:dyDescent="0.25">
      <c r="E2383" t="str">
        <f>""</f>
        <v/>
      </c>
      <c r="F2383" t="str">
        <f>""</f>
        <v/>
      </c>
      <c r="H2383" t="str">
        <f t="shared" si="33"/>
        <v>MEDICARE TAXES</v>
      </c>
    </row>
    <row r="2384" spans="5:8" x14ac:dyDescent="0.25">
      <c r="E2384" t="str">
        <f>""</f>
        <v/>
      </c>
      <c r="F2384" t="str">
        <f>""</f>
        <v/>
      </c>
      <c r="H2384" t="str">
        <f t="shared" si="33"/>
        <v>MEDICARE TAXES</v>
      </c>
    </row>
    <row r="2385" spans="5:8" x14ac:dyDescent="0.25">
      <c r="E2385" t="str">
        <f>""</f>
        <v/>
      </c>
      <c r="F2385" t="str">
        <f>""</f>
        <v/>
      </c>
      <c r="H2385" t="str">
        <f t="shared" si="33"/>
        <v>MEDICARE TAXES</v>
      </c>
    </row>
    <row r="2386" spans="5:8" x14ac:dyDescent="0.25">
      <c r="E2386" t="str">
        <f>""</f>
        <v/>
      </c>
      <c r="F2386" t="str">
        <f>""</f>
        <v/>
      </c>
      <c r="H2386" t="str">
        <f t="shared" si="33"/>
        <v>MEDICARE TAXES</v>
      </c>
    </row>
    <row r="2387" spans="5:8" x14ac:dyDescent="0.25">
      <c r="E2387" t="str">
        <f>""</f>
        <v/>
      </c>
      <c r="F2387" t="str">
        <f>""</f>
        <v/>
      </c>
      <c r="H2387" t="str">
        <f t="shared" si="33"/>
        <v>MEDICARE TAXES</v>
      </c>
    </row>
    <row r="2388" spans="5:8" x14ac:dyDescent="0.25">
      <c r="E2388" t="str">
        <f>""</f>
        <v/>
      </c>
      <c r="F2388" t="str">
        <f>""</f>
        <v/>
      </c>
      <c r="H2388" t="str">
        <f t="shared" si="33"/>
        <v>MEDICARE TAXES</v>
      </c>
    </row>
    <row r="2389" spans="5:8" x14ac:dyDescent="0.25">
      <c r="E2389" t="str">
        <f>""</f>
        <v/>
      </c>
      <c r="F2389" t="str">
        <f>""</f>
        <v/>
      </c>
      <c r="H2389" t="str">
        <f t="shared" si="33"/>
        <v>MEDICARE TAXES</v>
      </c>
    </row>
    <row r="2390" spans="5:8" x14ac:dyDescent="0.25">
      <c r="E2390" t="str">
        <f>""</f>
        <v/>
      </c>
      <c r="F2390" t="str">
        <f>""</f>
        <v/>
      </c>
      <c r="H2390" t="str">
        <f t="shared" ref="H2390:H2412" si="34">"MEDICARE TAXES"</f>
        <v>MEDICARE TAXES</v>
      </c>
    </row>
    <row r="2391" spans="5:8" x14ac:dyDescent="0.25">
      <c r="E2391" t="str">
        <f>""</f>
        <v/>
      </c>
      <c r="F2391" t="str">
        <f>""</f>
        <v/>
      </c>
      <c r="H2391" t="str">
        <f t="shared" si="34"/>
        <v>MEDICARE TAXES</v>
      </c>
    </row>
    <row r="2392" spans="5:8" x14ac:dyDescent="0.25">
      <c r="E2392" t="str">
        <f>""</f>
        <v/>
      </c>
      <c r="F2392" t="str">
        <f>""</f>
        <v/>
      </c>
      <c r="H2392" t="str">
        <f t="shared" si="34"/>
        <v>MEDICARE TAXES</v>
      </c>
    </row>
    <row r="2393" spans="5:8" x14ac:dyDescent="0.25">
      <c r="E2393" t="str">
        <f>""</f>
        <v/>
      </c>
      <c r="F2393" t="str">
        <f>""</f>
        <v/>
      </c>
      <c r="H2393" t="str">
        <f t="shared" si="34"/>
        <v>MEDICARE TAXES</v>
      </c>
    </row>
    <row r="2394" spans="5:8" x14ac:dyDescent="0.25">
      <c r="E2394" t="str">
        <f>""</f>
        <v/>
      </c>
      <c r="F2394" t="str">
        <f>""</f>
        <v/>
      </c>
      <c r="H2394" t="str">
        <f t="shared" si="34"/>
        <v>MEDICARE TAXES</v>
      </c>
    </row>
    <row r="2395" spans="5:8" x14ac:dyDescent="0.25">
      <c r="E2395" t="str">
        <f>""</f>
        <v/>
      </c>
      <c r="F2395" t="str">
        <f>""</f>
        <v/>
      </c>
      <c r="H2395" t="str">
        <f t="shared" si="34"/>
        <v>MEDICARE TAXES</v>
      </c>
    </row>
    <row r="2396" spans="5:8" x14ac:dyDescent="0.25">
      <c r="E2396" t="str">
        <f>""</f>
        <v/>
      </c>
      <c r="F2396" t="str">
        <f>""</f>
        <v/>
      </c>
      <c r="H2396" t="str">
        <f t="shared" si="34"/>
        <v>MEDICARE TAXES</v>
      </c>
    </row>
    <row r="2397" spans="5:8" x14ac:dyDescent="0.25">
      <c r="E2397" t="str">
        <f>""</f>
        <v/>
      </c>
      <c r="F2397" t="str">
        <f>""</f>
        <v/>
      </c>
      <c r="H2397" t="str">
        <f t="shared" si="34"/>
        <v>MEDICARE TAXES</v>
      </c>
    </row>
    <row r="2398" spans="5:8" x14ac:dyDescent="0.25">
      <c r="E2398" t="str">
        <f>""</f>
        <v/>
      </c>
      <c r="F2398" t="str">
        <f>""</f>
        <v/>
      </c>
      <c r="H2398" t="str">
        <f t="shared" si="34"/>
        <v>MEDICARE TAXES</v>
      </c>
    </row>
    <row r="2399" spans="5:8" x14ac:dyDescent="0.25">
      <c r="E2399" t="str">
        <f>""</f>
        <v/>
      </c>
      <c r="F2399" t="str">
        <f>""</f>
        <v/>
      </c>
      <c r="H2399" t="str">
        <f t="shared" si="34"/>
        <v>MEDICARE TAXES</v>
      </c>
    </row>
    <row r="2400" spans="5:8" x14ac:dyDescent="0.25">
      <c r="E2400" t="str">
        <f>""</f>
        <v/>
      </c>
      <c r="F2400" t="str">
        <f>""</f>
        <v/>
      </c>
      <c r="H2400" t="str">
        <f t="shared" si="34"/>
        <v>MEDICARE TAXES</v>
      </c>
    </row>
    <row r="2401" spans="1:8" x14ac:dyDescent="0.25">
      <c r="E2401" t="str">
        <f>""</f>
        <v/>
      </c>
      <c r="F2401" t="str">
        <f>""</f>
        <v/>
      </c>
      <c r="H2401" t="str">
        <f t="shared" si="34"/>
        <v>MEDICARE TAXES</v>
      </c>
    </row>
    <row r="2402" spans="1:8" x14ac:dyDescent="0.25">
      <c r="E2402" t="str">
        <f>""</f>
        <v/>
      </c>
      <c r="F2402" t="str">
        <f>""</f>
        <v/>
      </c>
      <c r="H2402" t="str">
        <f t="shared" si="34"/>
        <v>MEDICARE TAXES</v>
      </c>
    </row>
    <row r="2403" spans="1:8" x14ac:dyDescent="0.25">
      <c r="E2403" t="str">
        <f>""</f>
        <v/>
      </c>
      <c r="F2403" t="str">
        <f>""</f>
        <v/>
      </c>
      <c r="H2403" t="str">
        <f t="shared" si="34"/>
        <v>MEDICARE TAXES</v>
      </c>
    </row>
    <row r="2404" spans="1:8" x14ac:dyDescent="0.25">
      <c r="E2404" t="str">
        <f>""</f>
        <v/>
      </c>
      <c r="F2404" t="str">
        <f>""</f>
        <v/>
      </c>
      <c r="H2404" t="str">
        <f t="shared" si="34"/>
        <v>MEDICARE TAXES</v>
      </c>
    </row>
    <row r="2405" spans="1:8" x14ac:dyDescent="0.25">
      <c r="E2405" t="str">
        <f>""</f>
        <v/>
      </c>
      <c r="F2405" t="str">
        <f>""</f>
        <v/>
      </c>
      <c r="H2405" t="str">
        <f t="shared" si="34"/>
        <v>MEDICARE TAXES</v>
      </c>
    </row>
    <row r="2406" spans="1:8" x14ac:dyDescent="0.25">
      <c r="E2406" t="str">
        <f>""</f>
        <v/>
      </c>
      <c r="F2406" t="str">
        <f>""</f>
        <v/>
      </c>
      <c r="H2406" t="str">
        <f t="shared" si="34"/>
        <v>MEDICARE TAXES</v>
      </c>
    </row>
    <row r="2407" spans="1:8" x14ac:dyDescent="0.25">
      <c r="E2407" t="str">
        <f>""</f>
        <v/>
      </c>
      <c r="F2407" t="str">
        <f>""</f>
        <v/>
      </c>
      <c r="H2407" t="str">
        <f t="shared" si="34"/>
        <v>MEDICARE TAXES</v>
      </c>
    </row>
    <row r="2408" spans="1:8" x14ac:dyDescent="0.25">
      <c r="E2408" t="str">
        <f>""</f>
        <v/>
      </c>
      <c r="F2408" t="str">
        <f>""</f>
        <v/>
      </c>
      <c r="H2408" t="str">
        <f t="shared" si="34"/>
        <v>MEDICARE TAXES</v>
      </c>
    </row>
    <row r="2409" spans="1:8" x14ac:dyDescent="0.25">
      <c r="E2409" t="str">
        <f>"T4 201905159266"</f>
        <v>T4 201905159266</v>
      </c>
      <c r="F2409" t="str">
        <f>"MEDICARE TAXES"</f>
        <v>MEDICARE TAXES</v>
      </c>
      <c r="G2409" s="2">
        <v>938.12</v>
      </c>
      <c r="H2409" t="str">
        <f t="shared" si="34"/>
        <v>MEDICARE TAXES</v>
      </c>
    </row>
    <row r="2410" spans="1:8" x14ac:dyDescent="0.25">
      <c r="E2410" t="str">
        <f>""</f>
        <v/>
      </c>
      <c r="F2410" t="str">
        <f>""</f>
        <v/>
      </c>
      <c r="H2410" t="str">
        <f t="shared" si="34"/>
        <v>MEDICARE TAXES</v>
      </c>
    </row>
    <row r="2411" spans="1:8" x14ac:dyDescent="0.25">
      <c r="E2411" t="str">
        <f>"T4 201905159267"</f>
        <v>T4 201905159267</v>
      </c>
      <c r="F2411" t="str">
        <f>"MEDICARE TAXES"</f>
        <v>MEDICARE TAXES</v>
      </c>
      <c r="G2411" s="2">
        <v>1167.32</v>
      </c>
      <c r="H2411" t="str">
        <f t="shared" si="34"/>
        <v>MEDICARE TAXES</v>
      </c>
    </row>
    <row r="2412" spans="1:8" x14ac:dyDescent="0.25">
      <c r="E2412" t="str">
        <f>""</f>
        <v/>
      </c>
      <c r="F2412" t="str">
        <f>""</f>
        <v/>
      </c>
      <c r="H2412" t="str">
        <f t="shared" si="34"/>
        <v>MEDICARE TAXES</v>
      </c>
    </row>
    <row r="2413" spans="1:8" x14ac:dyDescent="0.25">
      <c r="A2413" t="s">
        <v>460</v>
      </c>
      <c r="B2413">
        <v>136</v>
      </c>
      <c r="C2413" s="2">
        <v>225593.5</v>
      </c>
      <c r="D2413" s="1">
        <v>43616</v>
      </c>
      <c r="E2413" t="str">
        <f>"T1 201905299491"</f>
        <v>T1 201905299491</v>
      </c>
      <c r="F2413" t="str">
        <f>"FEDERAL WITHHOLDING"</f>
        <v>FEDERAL WITHHOLDING</v>
      </c>
      <c r="G2413" s="2">
        <v>74236.710000000006</v>
      </c>
      <c r="H2413" t="str">
        <f>"FEDERAL WITHHOLDING"</f>
        <v>FEDERAL WITHHOLDING</v>
      </c>
    </row>
    <row r="2414" spans="1:8" x14ac:dyDescent="0.25">
      <c r="E2414" t="str">
        <f>"T1 201905299494"</f>
        <v>T1 201905299494</v>
      </c>
      <c r="F2414" t="str">
        <f>"FEDERAL WITHHOLDING"</f>
        <v>FEDERAL WITHHOLDING</v>
      </c>
      <c r="G2414" s="2">
        <v>2994.01</v>
      </c>
      <c r="H2414" t="str">
        <f>"FEDERAL WITHHOLDING"</f>
        <v>FEDERAL WITHHOLDING</v>
      </c>
    </row>
    <row r="2415" spans="1:8" x14ac:dyDescent="0.25">
      <c r="E2415" t="str">
        <f>"T1 201905299495"</f>
        <v>T1 201905299495</v>
      </c>
      <c r="F2415" t="str">
        <f>"FEDERAL WITHHOLDING"</f>
        <v>FEDERAL WITHHOLDING</v>
      </c>
      <c r="G2415" s="2">
        <v>4206.3599999999997</v>
      </c>
      <c r="H2415" t="str">
        <f>"FEDERAL WITHHOLDING"</f>
        <v>FEDERAL WITHHOLDING</v>
      </c>
    </row>
    <row r="2416" spans="1:8" x14ac:dyDescent="0.25">
      <c r="E2416" t="str">
        <f>"T3 201905299491"</f>
        <v>T3 201905299491</v>
      </c>
      <c r="F2416" t="str">
        <f>"SOCIAL SECURITY TAXES"</f>
        <v>SOCIAL SECURITY TAXES</v>
      </c>
      <c r="G2416" s="2">
        <v>107039.14</v>
      </c>
      <c r="H2416" t="str">
        <f t="shared" ref="H2416:H2447" si="35">"SOCIAL SECURITY TAXES"</f>
        <v>SOCIAL SECURITY TAXES</v>
      </c>
    </row>
    <row r="2417" spans="5:8" x14ac:dyDescent="0.25">
      <c r="E2417" t="str">
        <f>""</f>
        <v/>
      </c>
      <c r="F2417" t="str">
        <f>""</f>
        <v/>
      </c>
      <c r="H2417" t="str">
        <f t="shared" si="35"/>
        <v>SOCIAL SECURITY TAXES</v>
      </c>
    </row>
    <row r="2418" spans="5:8" x14ac:dyDescent="0.25">
      <c r="E2418" t="str">
        <f>""</f>
        <v/>
      </c>
      <c r="F2418" t="str">
        <f>""</f>
        <v/>
      </c>
      <c r="H2418" t="str">
        <f t="shared" si="35"/>
        <v>SOCIAL SECURITY TAXES</v>
      </c>
    </row>
    <row r="2419" spans="5:8" x14ac:dyDescent="0.25">
      <c r="E2419" t="str">
        <f>""</f>
        <v/>
      </c>
      <c r="F2419" t="str">
        <f>""</f>
        <v/>
      </c>
      <c r="H2419" t="str">
        <f t="shared" si="35"/>
        <v>SOCIAL SECURITY TAXES</v>
      </c>
    </row>
    <row r="2420" spans="5:8" x14ac:dyDescent="0.25">
      <c r="E2420" t="str">
        <f>""</f>
        <v/>
      </c>
      <c r="F2420" t="str">
        <f>""</f>
        <v/>
      </c>
      <c r="H2420" t="str">
        <f t="shared" si="35"/>
        <v>SOCIAL SECURITY TAXES</v>
      </c>
    </row>
    <row r="2421" spans="5:8" x14ac:dyDescent="0.25">
      <c r="E2421" t="str">
        <f>""</f>
        <v/>
      </c>
      <c r="F2421" t="str">
        <f>""</f>
        <v/>
      </c>
      <c r="H2421" t="str">
        <f t="shared" si="35"/>
        <v>SOCIAL SECURITY TAXES</v>
      </c>
    </row>
    <row r="2422" spans="5:8" x14ac:dyDescent="0.25">
      <c r="E2422" t="str">
        <f>""</f>
        <v/>
      </c>
      <c r="F2422" t="str">
        <f>""</f>
        <v/>
      </c>
      <c r="H2422" t="str">
        <f t="shared" si="35"/>
        <v>SOCIAL SECURITY TAXES</v>
      </c>
    </row>
    <row r="2423" spans="5:8" x14ac:dyDescent="0.25">
      <c r="E2423" t="str">
        <f>""</f>
        <v/>
      </c>
      <c r="F2423" t="str">
        <f>""</f>
        <v/>
      </c>
      <c r="H2423" t="str">
        <f t="shared" si="35"/>
        <v>SOCIAL SECURITY TAXES</v>
      </c>
    </row>
    <row r="2424" spans="5:8" x14ac:dyDescent="0.25">
      <c r="E2424" t="str">
        <f>""</f>
        <v/>
      </c>
      <c r="F2424" t="str">
        <f>""</f>
        <v/>
      </c>
      <c r="H2424" t="str">
        <f t="shared" si="35"/>
        <v>SOCIAL SECURITY TAXES</v>
      </c>
    </row>
    <row r="2425" spans="5:8" x14ac:dyDescent="0.25">
      <c r="E2425" t="str">
        <f>""</f>
        <v/>
      </c>
      <c r="F2425" t="str">
        <f>""</f>
        <v/>
      </c>
      <c r="H2425" t="str">
        <f t="shared" si="35"/>
        <v>SOCIAL SECURITY TAXES</v>
      </c>
    </row>
    <row r="2426" spans="5:8" x14ac:dyDescent="0.25">
      <c r="E2426" t="str">
        <f>""</f>
        <v/>
      </c>
      <c r="F2426" t="str">
        <f>""</f>
        <v/>
      </c>
      <c r="H2426" t="str">
        <f t="shared" si="35"/>
        <v>SOCIAL SECURITY TAXES</v>
      </c>
    </row>
    <row r="2427" spans="5:8" x14ac:dyDescent="0.25">
      <c r="E2427" t="str">
        <f>""</f>
        <v/>
      </c>
      <c r="F2427" t="str">
        <f>""</f>
        <v/>
      </c>
      <c r="H2427" t="str">
        <f t="shared" si="35"/>
        <v>SOCIAL SECURITY TAXES</v>
      </c>
    </row>
    <row r="2428" spans="5:8" x14ac:dyDescent="0.25">
      <c r="E2428" t="str">
        <f>""</f>
        <v/>
      </c>
      <c r="F2428" t="str">
        <f>""</f>
        <v/>
      </c>
      <c r="H2428" t="str">
        <f t="shared" si="35"/>
        <v>SOCIAL SECURITY TAXES</v>
      </c>
    </row>
    <row r="2429" spans="5:8" x14ac:dyDescent="0.25">
      <c r="E2429" t="str">
        <f>""</f>
        <v/>
      </c>
      <c r="F2429" t="str">
        <f>""</f>
        <v/>
      </c>
      <c r="H2429" t="str">
        <f t="shared" si="35"/>
        <v>SOCIAL SECURITY TAXES</v>
      </c>
    </row>
    <row r="2430" spans="5:8" x14ac:dyDescent="0.25">
      <c r="E2430" t="str">
        <f>""</f>
        <v/>
      </c>
      <c r="F2430" t="str">
        <f>""</f>
        <v/>
      </c>
      <c r="H2430" t="str">
        <f t="shared" si="35"/>
        <v>SOCIAL SECURITY TAXES</v>
      </c>
    </row>
    <row r="2431" spans="5:8" x14ac:dyDescent="0.25">
      <c r="E2431" t="str">
        <f>""</f>
        <v/>
      </c>
      <c r="F2431" t="str">
        <f>""</f>
        <v/>
      </c>
      <c r="H2431" t="str">
        <f t="shared" si="35"/>
        <v>SOCIAL SECURITY TAXES</v>
      </c>
    </row>
    <row r="2432" spans="5:8" x14ac:dyDescent="0.25">
      <c r="E2432" t="str">
        <f>""</f>
        <v/>
      </c>
      <c r="F2432" t="str">
        <f>""</f>
        <v/>
      </c>
      <c r="H2432" t="str">
        <f t="shared" si="35"/>
        <v>SOCIAL SECURITY TAXES</v>
      </c>
    </row>
    <row r="2433" spans="5:8" x14ac:dyDescent="0.25">
      <c r="E2433" t="str">
        <f>""</f>
        <v/>
      </c>
      <c r="F2433" t="str">
        <f>""</f>
        <v/>
      </c>
      <c r="H2433" t="str">
        <f t="shared" si="35"/>
        <v>SOCIAL SECURITY TAXES</v>
      </c>
    </row>
    <row r="2434" spans="5:8" x14ac:dyDescent="0.25">
      <c r="E2434" t="str">
        <f>""</f>
        <v/>
      </c>
      <c r="F2434" t="str">
        <f>""</f>
        <v/>
      </c>
      <c r="H2434" t="str">
        <f t="shared" si="35"/>
        <v>SOCIAL SECURITY TAXES</v>
      </c>
    </row>
    <row r="2435" spans="5:8" x14ac:dyDescent="0.25">
      <c r="E2435" t="str">
        <f>""</f>
        <v/>
      </c>
      <c r="F2435" t="str">
        <f>""</f>
        <v/>
      </c>
      <c r="H2435" t="str">
        <f t="shared" si="35"/>
        <v>SOCIAL SECURITY TAXES</v>
      </c>
    </row>
    <row r="2436" spans="5:8" x14ac:dyDescent="0.25">
      <c r="E2436" t="str">
        <f>""</f>
        <v/>
      </c>
      <c r="F2436" t="str">
        <f>""</f>
        <v/>
      </c>
      <c r="H2436" t="str">
        <f t="shared" si="35"/>
        <v>SOCIAL SECURITY TAXES</v>
      </c>
    </row>
    <row r="2437" spans="5:8" x14ac:dyDescent="0.25">
      <c r="E2437" t="str">
        <f>""</f>
        <v/>
      </c>
      <c r="F2437" t="str">
        <f>""</f>
        <v/>
      </c>
      <c r="H2437" t="str">
        <f t="shared" si="35"/>
        <v>SOCIAL SECURITY TAXES</v>
      </c>
    </row>
    <row r="2438" spans="5:8" x14ac:dyDescent="0.25">
      <c r="E2438" t="str">
        <f>""</f>
        <v/>
      </c>
      <c r="F2438" t="str">
        <f>""</f>
        <v/>
      </c>
      <c r="H2438" t="str">
        <f t="shared" si="35"/>
        <v>SOCIAL SECURITY TAXES</v>
      </c>
    </row>
    <row r="2439" spans="5:8" x14ac:dyDescent="0.25">
      <c r="E2439" t="str">
        <f>""</f>
        <v/>
      </c>
      <c r="F2439" t="str">
        <f>""</f>
        <v/>
      </c>
      <c r="H2439" t="str">
        <f t="shared" si="35"/>
        <v>SOCIAL SECURITY TAXES</v>
      </c>
    </row>
    <row r="2440" spans="5:8" x14ac:dyDescent="0.25">
      <c r="E2440" t="str">
        <f>""</f>
        <v/>
      </c>
      <c r="F2440" t="str">
        <f>""</f>
        <v/>
      </c>
      <c r="H2440" t="str">
        <f t="shared" si="35"/>
        <v>SOCIAL SECURITY TAXES</v>
      </c>
    </row>
    <row r="2441" spans="5:8" x14ac:dyDescent="0.25">
      <c r="E2441" t="str">
        <f>""</f>
        <v/>
      </c>
      <c r="F2441" t="str">
        <f>""</f>
        <v/>
      </c>
      <c r="H2441" t="str">
        <f t="shared" si="35"/>
        <v>SOCIAL SECURITY TAXES</v>
      </c>
    </row>
    <row r="2442" spans="5:8" x14ac:dyDescent="0.25">
      <c r="E2442" t="str">
        <f>""</f>
        <v/>
      </c>
      <c r="F2442" t="str">
        <f>""</f>
        <v/>
      </c>
      <c r="H2442" t="str">
        <f t="shared" si="35"/>
        <v>SOCIAL SECURITY TAXES</v>
      </c>
    </row>
    <row r="2443" spans="5:8" x14ac:dyDescent="0.25">
      <c r="E2443" t="str">
        <f>""</f>
        <v/>
      </c>
      <c r="F2443" t="str">
        <f>""</f>
        <v/>
      </c>
      <c r="H2443" t="str">
        <f t="shared" si="35"/>
        <v>SOCIAL SECURITY TAXES</v>
      </c>
    </row>
    <row r="2444" spans="5:8" x14ac:dyDescent="0.25">
      <c r="E2444" t="str">
        <f>""</f>
        <v/>
      </c>
      <c r="F2444" t="str">
        <f>""</f>
        <v/>
      </c>
      <c r="H2444" t="str">
        <f t="shared" si="35"/>
        <v>SOCIAL SECURITY TAXES</v>
      </c>
    </row>
    <row r="2445" spans="5:8" x14ac:dyDescent="0.25">
      <c r="E2445" t="str">
        <f>""</f>
        <v/>
      </c>
      <c r="F2445" t="str">
        <f>""</f>
        <v/>
      </c>
      <c r="H2445" t="str">
        <f t="shared" si="35"/>
        <v>SOCIAL SECURITY TAXES</v>
      </c>
    </row>
    <row r="2446" spans="5:8" x14ac:dyDescent="0.25">
      <c r="E2446" t="str">
        <f>""</f>
        <v/>
      </c>
      <c r="F2446" t="str">
        <f>""</f>
        <v/>
      </c>
      <c r="H2446" t="str">
        <f t="shared" si="35"/>
        <v>SOCIAL SECURITY TAXES</v>
      </c>
    </row>
    <row r="2447" spans="5:8" x14ac:dyDescent="0.25">
      <c r="E2447" t="str">
        <f>""</f>
        <v/>
      </c>
      <c r="F2447" t="str">
        <f>""</f>
        <v/>
      </c>
      <c r="H2447" t="str">
        <f t="shared" si="35"/>
        <v>SOCIAL SECURITY TAXES</v>
      </c>
    </row>
    <row r="2448" spans="5:8" x14ac:dyDescent="0.25">
      <c r="E2448" t="str">
        <f>""</f>
        <v/>
      </c>
      <c r="F2448" t="str">
        <f>""</f>
        <v/>
      </c>
      <c r="H2448" t="str">
        <f t="shared" ref="H2448:H2471" si="36">"SOCIAL SECURITY TAXES"</f>
        <v>SOCIAL SECURITY TAXES</v>
      </c>
    </row>
    <row r="2449" spans="5:8" x14ac:dyDescent="0.25">
      <c r="E2449" t="str">
        <f>""</f>
        <v/>
      </c>
      <c r="F2449" t="str">
        <f>""</f>
        <v/>
      </c>
      <c r="H2449" t="str">
        <f t="shared" si="36"/>
        <v>SOCIAL SECURITY TAXES</v>
      </c>
    </row>
    <row r="2450" spans="5:8" x14ac:dyDescent="0.25">
      <c r="E2450" t="str">
        <f>""</f>
        <v/>
      </c>
      <c r="F2450" t="str">
        <f>""</f>
        <v/>
      </c>
      <c r="H2450" t="str">
        <f t="shared" si="36"/>
        <v>SOCIAL SECURITY TAXES</v>
      </c>
    </row>
    <row r="2451" spans="5:8" x14ac:dyDescent="0.25">
      <c r="E2451" t="str">
        <f>""</f>
        <v/>
      </c>
      <c r="F2451" t="str">
        <f>""</f>
        <v/>
      </c>
      <c r="H2451" t="str">
        <f t="shared" si="36"/>
        <v>SOCIAL SECURITY TAXES</v>
      </c>
    </row>
    <row r="2452" spans="5:8" x14ac:dyDescent="0.25">
      <c r="E2452" t="str">
        <f>""</f>
        <v/>
      </c>
      <c r="F2452" t="str">
        <f>""</f>
        <v/>
      </c>
      <c r="H2452" t="str">
        <f t="shared" si="36"/>
        <v>SOCIAL SECURITY TAXES</v>
      </c>
    </row>
    <row r="2453" spans="5:8" x14ac:dyDescent="0.25">
      <c r="E2453" t="str">
        <f>""</f>
        <v/>
      </c>
      <c r="F2453" t="str">
        <f>""</f>
        <v/>
      </c>
      <c r="H2453" t="str">
        <f t="shared" si="36"/>
        <v>SOCIAL SECURITY TAXES</v>
      </c>
    </row>
    <row r="2454" spans="5:8" x14ac:dyDescent="0.25">
      <c r="E2454" t="str">
        <f>""</f>
        <v/>
      </c>
      <c r="F2454" t="str">
        <f>""</f>
        <v/>
      </c>
      <c r="H2454" t="str">
        <f t="shared" si="36"/>
        <v>SOCIAL SECURITY TAXES</v>
      </c>
    </row>
    <row r="2455" spans="5:8" x14ac:dyDescent="0.25">
      <c r="E2455" t="str">
        <f>""</f>
        <v/>
      </c>
      <c r="F2455" t="str">
        <f>""</f>
        <v/>
      </c>
      <c r="H2455" t="str">
        <f t="shared" si="36"/>
        <v>SOCIAL SECURITY TAXES</v>
      </c>
    </row>
    <row r="2456" spans="5:8" x14ac:dyDescent="0.25">
      <c r="E2456" t="str">
        <f>""</f>
        <v/>
      </c>
      <c r="F2456" t="str">
        <f>""</f>
        <v/>
      </c>
      <c r="H2456" t="str">
        <f t="shared" si="36"/>
        <v>SOCIAL SECURITY TAXES</v>
      </c>
    </row>
    <row r="2457" spans="5:8" x14ac:dyDescent="0.25">
      <c r="E2457" t="str">
        <f>""</f>
        <v/>
      </c>
      <c r="F2457" t="str">
        <f>""</f>
        <v/>
      </c>
      <c r="H2457" t="str">
        <f t="shared" si="36"/>
        <v>SOCIAL SECURITY TAXES</v>
      </c>
    </row>
    <row r="2458" spans="5:8" x14ac:dyDescent="0.25">
      <c r="E2458" t="str">
        <f>""</f>
        <v/>
      </c>
      <c r="F2458" t="str">
        <f>""</f>
        <v/>
      </c>
      <c r="H2458" t="str">
        <f t="shared" si="36"/>
        <v>SOCIAL SECURITY TAXES</v>
      </c>
    </row>
    <row r="2459" spans="5:8" x14ac:dyDescent="0.25">
      <c r="E2459" t="str">
        <f>""</f>
        <v/>
      </c>
      <c r="F2459" t="str">
        <f>""</f>
        <v/>
      </c>
      <c r="H2459" t="str">
        <f t="shared" si="36"/>
        <v>SOCIAL SECURITY TAXES</v>
      </c>
    </row>
    <row r="2460" spans="5:8" x14ac:dyDescent="0.25">
      <c r="E2460" t="str">
        <f>""</f>
        <v/>
      </c>
      <c r="F2460" t="str">
        <f>""</f>
        <v/>
      </c>
      <c r="H2460" t="str">
        <f t="shared" si="36"/>
        <v>SOCIAL SECURITY TAXES</v>
      </c>
    </row>
    <row r="2461" spans="5:8" x14ac:dyDescent="0.25">
      <c r="E2461" t="str">
        <f>""</f>
        <v/>
      </c>
      <c r="F2461" t="str">
        <f>""</f>
        <v/>
      </c>
      <c r="H2461" t="str">
        <f t="shared" si="36"/>
        <v>SOCIAL SECURITY TAXES</v>
      </c>
    </row>
    <row r="2462" spans="5:8" x14ac:dyDescent="0.25">
      <c r="E2462" t="str">
        <f>""</f>
        <v/>
      </c>
      <c r="F2462" t="str">
        <f>""</f>
        <v/>
      </c>
      <c r="H2462" t="str">
        <f t="shared" si="36"/>
        <v>SOCIAL SECURITY TAXES</v>
      </c>
    </row>
    <row r="2463" spans="5:8" x14ac:dyDescent="0.25">
      <c r="E2463" t="str">
        <f>""</f>
        <v/>
      </c>
      <c r="F2463" t="str">
        <f>""</f>
        <v/>
      </c>
      <c r="H2463" t="str">
        <f t="shared" si="36"/>
        <v>SOCIAL SECURITY TAXES</v>
      </c>
    </row>
    <row r="2464" spans="5:8" x14ac:dyDescent="0.25">
      <c r="E2464" t="str">
        <f>""</f>
        <v/>
      </c>
      <c r="F2464" t="str">
        <f>""</f>
        <v/>
      </c>
      <c r="H2464" t="str">
        <f t="shared" si="36"/>
        <v>SOCIAL SECURITY TAXES</v>
      </c>
    </row>
    <row r="2465" spans="5:8" x14ac:dyDescent="0.25">
      <c r="E2465" t="str">
        <f>""</f>
        <v/>
      </c>
      <c r="F2465" t="str">
        <f>""</f>
        <v/>
      </c>
      <c r="H2465" t="str">
        <f t="shared" si="36"/>
        <v>SOCIAL SECURITY TAXES</v>
      </c>
    </row>
    <row r="2466" spans="5:8" x14ac:dyDescent="0.25">
      <c r="E2466" t="str">
        <f>""</f>
        <v/>
      </c>
      <c r="F2466" t="str">
        <f>""</f>
        <v/>
      </c>
      <c r="H2466" t="str">
        <f t="shared" si="36"/>
        <v>SOCIAL SECURITY TAXES</v>
      </c>
    </row>
    <row r="2467" spans="5:8" x14ac:dyDescent="0.25">
      <c r="E2467" t="str">
        <f>""</f>
        <v/>
      </c>
      <c r="F2467" t="str">
        <f>""</f>
        <v/>
      </c>
      <c r="H2467" t="str">
        <f t="shared" si="36"/>
        <v>SOCIAL SECURITY TAXES</v>
      </c>
    </row>
    <row r="2468" spans="5:8" x14ac:dyDescent="0.25">
      <c r="E2468" t="str">
        <f>"T3 201905299494"</f>
        <v>T3 201905299494</v>
      </c>
      <c r="F2468" t="str">
        <f>"SOCIAL SECURITY TAXES"</f>
        <v>SOCIAL SECURITY TAXES</v>
      </c>
      <c r="G2468" s="2">
        <v>4092.78</v>
      </c>
      <c r="H2468" t="str">
        <f t="shared" si="36"/>
        <v>SOCIAL SECURITY TAXES</v>
      </c>
    </row>
    <row r="2469" spans="5:8" x14ac:dyDescent="0.25">
      <c r="E2469" t="str">
        <f>""</f>
        <v/>
      </c>
      <c r="F2469" t="str">
        <f>""</f>
        <v/>
      </c>
      <c r="H2469" t="str">
        <f t="shared" si="36"/>
        <v>SOCIAL SECURITY TAXES</v>
      </c>
    </row>
    <row r="2470" spans="5:8" x14ac:dyDescent="0.25">
      <c r="E2470" t="str">
        <f>"T3 201905299495"</f>
        <v>T3 201905299495</v>
      </c>
      <c r="F2470" t="str">
        <f>"SOCIAL SECURITY TAXES"</f>
        <v>SOCIAL SECURITY TAXES</v>
      </c>
      <c r="G2470" s="2">
        <v>5700.92</v>
      </c>
      <c r="H2470" t="str">
        <f t="shared" si="36"/>
        <v>SOCIAL SECURITY TAXES</v>
      </c>
    </row>
    <row r="2471" spans="5:8" x14ac:dyDescent="0.25">
      <c r="E2471" t="str">
        <f>""</f>
        <v/>
      </c>
      <c r="F2471" t="str">
        <f>""</f>
        <v/>
      </c>
      <c r="H2471" t="str">
        <f t="shared" si="36"/>
        <v>SOCIAL SECURITY TAXES</v>
      </c>
    </row>
    <row r="2472" spans="5:8" x14ac:dyDescent="0.25">
      <c r="E2472" t="str">
        <f>"T4 201905299491"</f>
        <v>T4 201905299491</v>
      </c>
      <c r="F2472" t="str">
        <f>"MEDICARE TAXES"</f>
        <v>MEDICARE TAXES</v>
      </c>
      <c r="G2472" s="2">
        <v>25033.08</v>
      </c>
      <c r="H2472" t="str">
        <f t="shared" ref="H2472:H2503" si="37">"MEDICARE TAXES"</f>
        <v>MEDICARE TAXES</v>
      </c>
    </row>
    <row r="2473" spans="5:8" x14ac:dyDescent="0.25">
      <c r="E2473" t="str">
        <f>""</f>
        <v/>
      </c>
      <c r="F2473" t="str">
        <f>""</f>
        <v/>
      </c>
      <c r="H2473" t="str">
        <f t="shared" si="37"/>
        <v>MEDICARE TAXES</v>
      </c>
    </row>
    <row r="2474" spans="5:8" x14ac:dyDescent="0.25">
      <c r="E2474" t="str">
        <f>""</f>
        <v/>
      </c>
      <c r="F2474" t="str">
        <f>""</f>
        <v/>
      </c>
      <c r="H2474" t="str">
        <f t="shared" si="37"/>
        <v>MEDICARE TAXES</v>
      </c>
    </row>
    <row r="2475" spans="5:8" x14ac:dyDescent="0.25">
      <c r="E2475" t="str">
        <f>""</f>
        <v/>
      </c>
      <c r="F2475" t="str">
        <f>""</f>
        <v/>
      </c>
      <c r="H2475" t="str">
        <f t="shared" si="37"/>
        <v>MEDICARE TAXES</v>
      </c>
    </row>
    <row r="2476" spans="5:8" x14ac:dyDescent="0.25">
      <c r="E2476" t="str">
        <f>""</f>
        <v/>
      </c>
      <c r="F2476" t="str">
        <f>""</f>
        <v/>
      </c>
      <c r="H2476" t="str">
        <f t="shared" si="37"/>
        <v>MEDICARE TAXES</v>
      </c>
    </row>
    <row r="2477" spans="5:8" x14ac:dyDescent="0.25">
      <c r="E2477" t="str">
        <f>""</f>
        <v/>
      </c>
      <c r="F2477" t="str">
        <f>""</f>
        <v/>
      </c>
      <c r="H2477" t="str">
        <f t="shared" si="37"/>
        <v>MEDICARE TAXES</v>
      </c>
    </row>
    <row r="2478" spans="5:8" x14ac:dyDescent="0.25">
      <c r="E2478" t="str">
        <f>""</f>
        <v/>
      </c>
      <c r="F2478" t="str">
        <f>""</f>
        <v/>
      </c>
      <c r="H2478" t="str">
        <f t="shared" si="37"/>
        <v>MEDICARE TAXES</v>
      </c>
    </row>
    <row r="2479" spans="5:8" x14ac:dyDescent="0.25">
      <c r="E2479" t="str">
        <f>""</f>
        <v/>
      </c>
      <c r="F2479" t="str">
        <f>""</f>
        <v/>
      </c>
      <c r="H2479" t="str">
        <f t="shared" si="37"/>
        <v>MEDICARE TAXES</v>
      </c>
    </row>
    <row r="2480" spans="5:8" x14ac:dyDescent="0.25">
      <c r="E2480" t="str">
        <f>""</f>
        <v/>
      </c>
      <c r="F2480" t="str">
        <f>""</f>
        <v/>
      </c>
      <c r="H2480" t="str">
        <f t="shared" si="37"/>
        <v>MEDICARE TAXES</v>
      </c>
    </row>
    <row r="2481" spans="5:8" x14ac:dyDescent="0.25">
      <c r="E2481" t="str">
        <f>""</f>
        <v/>
      </c>
      <c r="F2481" t="str">
        <f>""</f>
        <v/>
      </c>
      <c r="H2481" t="str">
        <f t="shared" si="37"/>
        <v>MEDICARE TAXES</v>
      </c>
    </row>
    <row r="2482" spans="5:8" x14ac:dyDescent="0.25">
      <c r="E2482" t="str">
        <f>""</f>
        <v/>
      </c>
      <c r="F2482" t="str">
        <f>""</f>
        <v/>
      </c>
      <c r="H2482" t="str">
        <f t="shared" si="37"/>
        <v>MEDICARE TAXES</v>
      </c>
    </row>
    <row r="2483" spans="5:8" x14ac:dyDescent="0.25">
      <c r="E2483" t="str">
        <f>""</f>
        <v/>
      </c>
      <c r="F2483" t="str">
        <f>""</f>
        <v/>
      </c>
      <c r="H2483" t="str">
        <f t="shared" si="37"/>
        <v>MEDICARE TAXES</v>
      </c>
    </row>
    <row r="2484" spans="5:8" x14ac:dyDescent="0.25">
      <c r="E2484" t="str">
        <f>""</f>
        <v/>
      </c>
      <c r="F2484" t="str">
        <f>""</f>
        <v/>
      </c>
      <c r="H2484" t="str">
        <f t="shared" si="37"/>
        <v>MEDICARE TAXES</v>
      </c>
    </row>
    <row r="2485" spans="5:8" x14ac:dyDescent="0.25">
      <c r="E2485" t="str">
        <f>""</f>
        <v/>
      </c>
      <c r="F2485" t="str">
        <f>""</f>
        <v/>
      </c>
      <c r="H2485" t="str">
        <f t="shared" si="37"/>
        <v>MEDICARE TAXES</v>
      </c>
    </row>
    <row r="2486" spans="5:8" x14ac:dyDescent="0.25">
      <c r="E2486" t="str">
        <f>""</f>
        <v/>
      </c>
      <c r="F2486" t="str">
        <f>""</f>
        <v/>
      </c>
      <c r="H2486" t="str">
        <f t="shared" si="37"/>
        <v>MEDICARE TAXES</v>
      </c>
    </row>
    <row r="2487" spans="5:8" x14ac:dyDescent="0.25">
      <c r="E2487" t="str">
        <f>""</f>
        <v/>
      </c>
      <c r="F2487" t="str">
        <f>""</f>
        <v/>
      </c>
      <c r="H2487" t="str">
        <f t="shared" si="37"/>
        <v>MEDICARE TAXES</v>
      </c>
    </row>
    <row r="2488" spans="5:8" x14ac:dyDescent="0.25">
      <c r="E2488" t="str">
        <f>""</f>
        <v/>
      </c>
      <c r="F2488" t="str">
        <f>""</f>
        <v/>
      </c>
      <c r="H2488" t="str">
        <f t="shared" si="37"/>
        <v>MEDICARE TAXES</v>
      </c>
    </row>
    <row r="2489" spans="5:8" x14ac:dyDescent="0.25">
      <c r="E2489" t="str">
        <f>""</f>
        <v/>
      </c>
      <c r="F2489" t="str">
        <f>""</f>
        <v/>
      </c>
      <c r="H2489" t="str">
        <f t="shared" si="37"/>
        <v>MEDICARE TAXES</v>
      </c>
    </row>
    <row r="2490" spans="5:8" x14ac:dyDescent="0.25">
      <c r="E2490" t="str">
        <f>""</f>
        <v/>
      </c>
      <c r="F2490" t="str">
        <f>""</f>
        <v/>
      </c>
      <c r="H2490" t="str">
        <f t="shared" si="37"/>
        <v>MEDICARE TAXES</v>
      </c>
    </row>
    <row r="2491" spans="5:8" x14ac:dyDescent="0.25">
      <c r="E2491" t="str">
        <f>""</f>
        <v/>
      </c>
      <c r="F2491" t="str">
        <f>""</f>
        <v/>
      </c>
      <c r="H2491" t="str">
        <f t="shared" si="37"/>
        <v>MEDICARE TAXES</v>
      </c>
    </row>
    <row r="2492" spans="5:8" x14ac:dyDescent="0.25">
      <c r="E2492" t="str">
        <f>""</f>
        <v/>
      </c>
      <c r="F2492" t="str">
        <f>""</f>
        <v/>
      </c>
      <c r="H2492" t="str">
        <f t="shared" si="37"/>
        <v>MEDICARE TAXES</v>
      </c>
    </row>
    <row r="2493" spans="5:8" x14ac:dyDescent="0.25">
      <c r="E2493" t="str">
        <f>""</f>
        <v/>
      </c>
      <c r="F2493" t="str">
        <f>""</f>
        <v/>
      </c>
      <c r="H2493" t="str">
        <f t="shared" si="37"/>
        <v>MEDICARE TAXES</v>
      </c>
    </row>
    <row r="2494" spans="5:8" x14ac:dyDescent="0.25">
      <c r="E2494" t="str">
        <f>""</f>
        <v/>
      </c>
      <c r="F2494" t="str">
        <f>""</f>
        <v/>
      </c>
      <c r="H2494" t="str">
        <f t="shared" si="37"/>
        <v>MEDICARE TAXES</v>
      </c>
    </row>
    <row r="2495" spans="5:8" x14ac:dyDescent="0.25">
      <c r="E2495" t="str">
        <f>""</f>
        <v/>
      </c>
      <c r="F2495" t="str">
        <f>""</f>
        <v/>
      </c>
      <c r="H2495" t="str">
        <f t="shared" si="37"/>
        <v>MEDICARE TAXES</v>
      </c>
    </row>
    <row r="2496" spans="5:8" x14ac:dyDescent="0.25">
      <c r="E2496" t="str">
        <f>""</f>
        <v/>
      </c>
      <c r="F2496" t="str">
        <f>""</f>
        <v/>
      </c>
      <c r="H2496" t="str">
        <f t="shared" si="37"/>
        <v>MEDICARE TAXES</v>
      </c>
    </row>
    <row r="2497" spans="5:8" x14ac:dyDescent="0.25">
      <c r="E2497" t="str">
        <f>""</f>
        <v/>
      </c>
      <c r="F2497" t="str">
        <f>""</f>
        <v/>
      </c>
      <c r="H2497" t="str">
        <f t="shared" si="37"/>
        <v>MEDICARE TAXES</v>
      </c>
    </row>
    <row r="2498" spans="5:8" x14ac:dyDescent="0.25">
      <c r="E2498" t="str">
        <f>""</f>
        <v/>
      </c>
      <c r="F2498" t="str">
        <f>""</f>
        <v/>
      </c>
      <c r="H2498" t="str">
        <f t="shared" si="37"/>
        <v>MEDICARE TAXES</v>
      </c>
    </row>
    <row r="2499" spans="5:8" x14ac:dyDescent="0.25">
      <c r="E2499" t="str">
        <f>""</f>
        <v/>
      </c>
      <c r="F2499" t="str">
        <f>""</f>
        <v/>
      </c>
      <c r="H2499" t="str">
        <f t="shared" si="37"/>
        <v>MEDICARE TAXES</v>
      </c>
    </row>
    <row r="2500" spans="5:8" x14ac:dyDescent="0.25">
      <c r="E2500" t="str">
        <f>""</f>
        <v/>
      </c>
      <c r="F2500" t="str">
        <f>""</f>
        <v/>
      </c>
      <c r="H2500" t="str">
        <f t="shared" si="37"/>
        <v>MEDICARE TAXES</v>
      </c>
    </row>
    <row r="2501" spans="5:8" x14ac:dyDescent="0.25">
      <c r="E2501" t="str">
        <f>""</f>
        <v/>
      </c>
      <c r="F2501" t="str">
        <f>""</f>
        <v/>
      </c>
      <c r="H2501" t="str">
        <f t="shared" si="37"/>
        <v>MEDICARE TAXES</v>
      </c>
    </row>
    <row r="2502" spans="5:8" x14ac:dyDescent="0.25">
      <c r="E2502" t="str">
        <f>""</f>
        <v/>
      </c>
      <c r="F2502" t="str">
        <f>""</f>
        <v/>
      </c>
      <c r="H2502" t="str">
        <f t="shared" si="37"/>
        <v>MEDICARE TAXES</v>
      </c>
    </row>
    <row r="2503" spans="5:8" x14ac:dyDescent="0.25">
      <c r="E2503" t="str">
        <f>""</f>
        <v/>
      </c>
      <c r="F2503" t="str">
        <f>""</f>
        <v/>
      </c>
      <c r="H2503" t="str">
        <f t="shared" si="37"/>
        <v>MEDICARE TAXES</v>
      </c>
    </row>
    <row r="2504" spans="5:8" x14ac:dyDescent="0.25">
      <c r="E2504" t="str">
        <f>""</f>
        <v/>
      </c>
      <c r="F2504" t="str">
        <f>""</f>
        <v/>
      </c>
      <c r="H2504" t="str">
        <f t="shared" ref="H2504:H2527" si="38">"MEDICARE TAXES"</f>
        <v>MEDICARE TAXES</v>
      </c>
    </row>
    <row r="2505" spans="5:8" x14ac:dyDescent="0.25">
      <c r="E2505" t="str">
        <f>""</f>
        <v/>
      </c>
      <c r="F2505" t="str">
        <f>""</f>
        <v/>
      </c>
      <c r="H2505" t="str">
        <f t="shared" si="38"/>
        <v>MEDICARE TAXES</v>
      </c>
    </row>
    <row r="2506" spans="5:8" x14ac:dyDescent="0.25">
      <c r="E2506" t="str">
        <f>""</f>
        <v/>
      </c>
      <c r="F2506" t="str">
        <f>""</f>
        <v/>
      </c>
      <c r="H2506" t="str">
        <f t="shared" si="38"/>
        <v>MEDICARE TAXES</v>
      </c>
    </row>
    <row r="2507" spans="5:8" x14ac:dyDescent="0.25">
      <c r="E2507" t="str">
        <f>""</f>
        <v/>
      </c>
      <c r="F2507" t="str">
        <f>""</f>
        <v/>
      </c>
      <c r="H2507" t="str">
        <f t="shared" si="38"/>
        <v>MEDICARE TAXES</v>
      </c>
    </row>
    <row r="2508" spans="5:8" x14ac:dyDescent="0.25">
      <c r="E2508" t="str">
        <f>""</f>
        <v/>
      </c>
      <c r="F2508" t="str">
        <f>""</f>
        <v/>
      </c>
      <c r="H2508" t="str">
        <f t="shared" si="38"/>
        <v>MEDICARE TAXES</v>
      </c>
    </row>
    <row r="2509" spans="5:8" x14ac:dyDescent="0.25">
      <c r="E2509" t="str">
        <f>""</f>
        <v/>
      </c>
      <c r="F2509" t="str">
        <f>""</f>
        <v/>
      </c>
      <c r="H2509" t="str">
        <f t="shared" si="38"/>
        <v>MEDICARE TAXES</v>
      </c>
    </row>
    <row r="2510" spans="5:8" x14ac:dyDescent="0.25">
      <c r="E2510" t="str">
        <f>""</f>
        <v/>
      </c>
      <c r="F2510" t="str">
        <f>""</f>
        <v/>
      </c>
      <c r="H2510" t="str">
        <f t="shared" si="38"/>
        <v>MEDICARE TAXES</v>
      </c>
    </row>
    <row r="2511" spans="5:8" x14ac:dyDescent="0.25">
      <c r="E2511" t="str">
        <f>""</f>
        <v/>
      </c>
      <c r="F2511" t="str">
        <f>""</f>
        <v/>
      </c>
      <c r="H2511" t="str">
        <f t="shared" si="38"/>
        <v>MEDICARE TAXES</v>
      </c>
    </row>
    <row r="2512" spans="5:8" x14ac:dyDescent="0.25">
      <c r="E2512" t="str">
        <f>""</f>
        <v/>
      </c>
      <c r="F2512" t="str">
        <f>""</f>
        <v/>
      </c>
      <c r="H2512" t="str">
        <f t="shared" si="38"/>
        <v>MEDICARE TAXES</v>
      </c>
    </row>
    <row r="2513" spans="1:8" x14ac:dyDescent="0.25">
      <c r="E2513" t="str">
        <f>""</f>
        <v/>
      </c>
      <c r="F2513" t="str">
        <f>""</f>
        <v/>
      </c>
      <c r="H2513" t="str">
        <f t="shared" si="38"/>
        <v>MEDICARE TAXES</v>
      </c>
    </row>
    <row r="2514" spans="1:8" x14ac:dyDescent="0.25">
      <c r="E2514" t="str">
        <f>""</f>
        <v/>
      </c>
      <c r="F2514" t="str">
        <f>""</f>
        <v/>
      </c>
      <c r="H2514" t="str">
        <f t="shared" si="38"/>
        <v>MEDICARE TAXES</v>
      </c>
    </row>
    <row r="2515" spans="1:8" x14ac:dyDescent="0.25">
      <c r="E2515" t="str">
        <f>""</f>
        <v/>
      </c>
      <c r="F2515" t="str">
        <f>""</f>
        <v/>
      </c>
      <c r="H2515" t="str">
        <f t="shared" si="38"/>
        <v>MEDICARE TAXES</v>
      </c>
    </row>
    <row r="2516" spans="1:8" x14ac:dyDescent="0.25">
      <c r="E2516" t="str">
        <f>""</f>
        <v/>
      </c>
      <c r="F2516" t="str">
        <f>""</f>
        <v/>
      </c>
      <c r="H2516" t="str">
        <f t="shared" si="38"/>
        <v>MEDICARE TAXES</v>
      </c>
    </row>
    <row r="2517" spans="1:8" x14ac:dyDescent="0.25">
      <c r="E2517" t="str">
        <f>""</f>
        <v/>
      </c>
      <c r="F2517" t="str">
        <f>""</f>
        <v/>
      </c>
      <c r="H2517" t="str">
        <f t="shared" si="38"/>
        <v>MEDICARE TAXES</v>
      </c>
    </row>
    <row r="2518" spans="1:8" x14ac:dyDescent="0.25">
      <c r="E2518" t="str">
        <f>""</f>
        <v/>
      </c>
      <c r="F2518" t="str">
        <f>""</f>
        <v/>
      </c>
      <c r="H2518" t="str">
        <f t="shared" si="38"/>
        <v>MEDICARE TAXES</v>
      </c>
    </row>
    <row r="2519" spans="1:8" x14ac:dyDescent="0.25">
      <c r="E2519" t="str">
        <f>""</f>
        <v/>
      </c>
      <c r="F2519" t="str">
        <f>""</f>
        <v/>
      </c>
      <c r="H2519" t="str">
        <f t="shared" si="38"/>
        <v>MEDICARE TAXES</v>
      </c>
    </row>
    <row r="2520" spans="1:8" x14ac:dyDescent="0.25">
      <c r="E2520" t="str">
        <f>""</f>
        <v/>
      </c>
      <c r="F2520" t="str">
        <f>""</f>
        <v/>
      </c>
      <c r="H2520" t="str">
        <f t="shared" si="38"/>
        <v>MEDICARE TAXES</v>
      </c>
    </row>
    <row r="2521" spans="1:8" x14ac:dyDescent="0.25">
      <c r="E2521" t="str">
        <f>""</f>
        <v/>
      </c>
      <c r="F2521" t="str">
        <f>""</f>
        <v/>
      </c>
      <c r="H2521" t="str">
        <f t="shared" si="38"/>
        <v>MEDICARE TAXES</v>
      </c>
    </row>
    <row r="2522" spans="1:8" x14ac:dyDescent="0.25">
      <c r="E2522" t="str">
        <f>""</f>
        <v/>
      </c>
      <c r="F2522" t="str">
        <f>""</f>
        <v/>
      </c>
      <c r="H2522" t="str">
        <f t="shared" si="38"/>
        <v>MEDICARE TAXES</v>
      </c>
    </row>
    <row r="2523" spans="1:8" x14ac:dyDescent="0.25">
      <c r="E2523" t="str">
        <f>""</f>
        <v/>
      </c>
      <c r="F2523" t="str">
        <f>""</f>
        <v/>
      </c>
      <c r="H2523" t="str">
        <f t="shared" si="38"/>
        <v>MEDICARE TAXES</v>
      </c>
    </row>
    <row r="2524" spans="1:8" x14ac:dyDescent="0.25">
      <c r="E2524" t="str">
        <f>"T4 201905299494"</f>
        <v>T4 201905299494</v>
      </c>
      <c r="F2524" t="str">
        <f>"MEDICARE TAXES"</f>
        <v>MEDICARE TAXES</v>
      </c>
      <c r="G2524" s="2">
        <v>957.2</v>
      </c>
      <c r="H2524" t="str">
        <f t="shared" si="38"/>
        <v>MEDICARE TAXES</v>
      </c>
    </row>
    <row r="2525" spans="1:8" x14ac:dyDescent="0.25">
      <c r="E2525" t="str">
        <f>""</f>
        <v/>
      </c>
      <c r="F2525" t="str">
        <f>""</f>
        <v/>
      </c>
      <c r="H2525" t="str">
        <f t="shared" si="38"/>
        <v>MEDICARE TAXES</v>
      </c>
    </row>
    <row r="2526" spans="1:8" x14ac:dyDescent="0.25">
      <c r="E2526" t="str">
        <f>"T4 201905299495"</f>
        <v>T4 201905299495</v>
      </c>
      <c r="F2526" t="str">
        <f>"MEDICARE TAXES"</f>
        <v>MEDICARE TAXES</v>
      </c>
      <c r="G2526" s="2">
        <v>1333.3</v>
      </c>
      <c r="H2526" t="str">
        <f t="shared" si="38"/>
        <v>MEDICARE TAXES</v>
      </c>
    </row>
    <row r="2527" spans="1:8" x14ac:dyDescent="0.25">
      <c r="E2527" t="str">
        <f>""</f>
        <v/>
      </c>
      <c r="F2527" t="str">
        <f>""</f>
        <v/>
      </c>
      <c r="H2527" t="str">
        <f t="shared" si="38"/>
        <v>MEDICARE TAXES</v>
      </c>
    </row>
    <row r="2528" spans="1:8" x14ac:dyDescent="0.25">
      <c r="A2528" t="s">
        <v>461</v>
      </c>
      <c r="B2528">
        <v>47429</v>
      </c>
      <c r="C2528" s="2">
        <v>222.76</v>
      </c>
      <c r="D2528" s="1">
        <v>43588</v>
      </c>
      <c r="E2528" t="str">
        <f>"C64201904308908"</f>
        <v>C64201904308908</v>
      </c>
      <c r="F2528" t="str">
        <f>"CASE #912745322"</f>
        <v>CASE #912745322</v>
      </c>
      <c r="G2528" s="2">
        <v>222.76</v>
      </c>
      <c r="H2528" t="str">
        <f>"CASE #912745322"</f>
        <v>CASE #912745322</v>
      </c>
    </row>
    <row r="2529" spans="1:8" x14ac:dyDescent="0.25">
      <c r="A2529" t="s">
        <v>461</v>
      </c>
      <c r="B2529">
        <v>47462</v>
      </c>
      <c r="C2529" s="2">
        <v>222.76</v>
      </c>
      <c r="D2529" s="1">
        <v>43602</v>
      </c>
      <c r="E2529" t="str">
        <f>"C64201905159265"</f>
        <v>C64201905159265</v>
      </c>
      <c r="F2529" t="str">
        <f>"CASE #912745322"</f>
        <v>CASE #912745322</v>
      </c>
      <c r="G2529" s="2">
        <v>222.76</v>
      </c>
      <c r="H2529" t="str">
        <f>"CASE #912745322"</f>
        <v>CASE #912745322</v>
      </c>
    </row>
    <row r="2530" spans="1:8" x14ac:dyDescent="0.25">
      <c r="A2530" t="s">
        <v>461</v>
      </c>
      <c r="B2530">
        <v>47485</v>
      </c>
      <c r="C2530" s="2">
        <v>222.76</v>
      </c>
      <c r="D2530" s="1">
        <v>43616</v>
      </c>
      <c r="E2530" t="str">
        <f>"C64201905299491"</f>
        <v>C64201905299491</v>
      </c>
      <c r="F2530" t="str">
        <f>"CASE #912745322"</f>
        <v>CASE #912745322</v>
      </c>
      <c r="G2530" s="2">
        <v>222.76</v>
      </c>
      <c r="H2530" t="str">
        <f>"CASE #912745322"</f>
        <v>CASE #912745322</v>
      </c>
    </row>
    <row r="2531" spans="1:8" x14ac:dyDescent="0.25">
      <c r="A2531" t="s">
        <v>462</v>
      </c>
      <c r="B2531">
        <v>142</v>
      </c>
      <c r="C2531" s="2">
        <v>674.82</v>
      </c>
      <c r="D2531" s="1">
        <v>43615</v>
      </c>
      <c r="E2531" t="str">
        <f>"LIX201904308908"</f>
        <v>LIX201904308908</v>
      </c>
      <c r="F2531" t="str">
        <f>"TEXAS LIFE/OLIVO GROUP"</f>
        <v>TEXAS LIFE/OLIVO GROUP</v>
      </c>
      <c r="G2531" s="2">
        <v>337.41</v>
      </c>
      <c r="H2531" t="str">
        <f>"TEXAS LIFE/OLIVO GROUP"</f>
        <v>TEXAS LIFE/OLIVO GROUP</v>
      </c>
    </row>
    <row r="2532" spans="1:8" x14ac:dyDescent="0.25">
      <c r="E2532" t="str">
        <f>"LIX201905159265"</f>
        <v>LIX201905159265</v>
      </c>
      <c r="F2532" t="str">
        <f>"TEXAS LIFE/OLIVO GROUP"</f>
        <v>TEXAS LIFE/OLIVO GROUP</v>
      </c>
      <c r="G2532" s="2">
        <v>337.41</v>
      </c>
      <c r="H2532" t="str">
        <f>"TEXAS LIFE/OLIVO GROUP"</f>
        <v>TEXAS LIFE/OLIVO GROUP</v>
      </c>
    </row>
    <row r="2533" spans="1:8" x14ac:dyDescent="0.25">
      <c r="A2533" t="s">
        <v>463</v>
      </c>
      <c r="B2533">
        <v>47490</v>
      </c>
      <c r="C2533" s="2">
        <v>331739.84000000003</v>
      </c>
      <c r="D2533" s="1">
        <v>43615</v>
      </c>
      <c r="E2533" t="str">
        <f>"201905299493"</f>
        <v>201905299493</v>
      </c>
      <c r="F2533" t="str">
        <f>"Rounding"</f>
        <v>Rounding</v>
      </c>
      <c r="G2533" s="2">
        <v>-0.84</v>
      </c>
      <c r="H2533" t="str">
        <f>"Rounding"</f>
        <v>Rounding</v>
      </c>
    </row>
    <row r="2534" spans="1:8" x14ac:dyDescent="0.25">
      <c r="E2534" t="str">
        <f>"201905289486"</f>
        <v>201905289486</v>
      </c>
      <c r="F2534" t="str">
        <f>"Retiree May 2019"</f>
        <v>Retiree May 2019</v>
      </c>
      <c r="G2534" s="2">
        <v>16018.76</v>
      </c>
      <c r="H2534" t="str">
        <f>"TAC HEALTH BENEFITS POOL"</f>
        <v>TAC HEALTH BENEFITS POOL</v>
      </c>
    </row>
    <row r="2535" spans="1:8" x14ac:dyDescent="0.25">
      <c r="E2535" t="str">
        <f>"2EC201904308908"</f>
        <v>2EC201904308908</v>
      </c>
      <c r="F2535" t="str">
        <f>"BCBS PAYABLE"</f>
        <v>BCBS PAYABLE</v>
      </c>
      <c r="G2535" s="2">
        <v>44748.35</v>
      </c>
      <c r="H2535" t="str">
        <f t="shared" ref="H2535:H2566" si="39">"BCBS PAYABLE"</f>
        <v>BCBS PAYABLE</v>
      </c>
    </row>
    <row r="2536" spans="1:8" x14ac:dyDescent="0.25">
      <c r="E2536" t="str">
        <f>""</f>
        <v/>
      </c>
      <c r="F2536" t="str">
        <f>""</f>
        <v/>
      </c>
      <c r="H2536" t="str">
        <f t="shared" si="39"/>
        <v>BCBS PAYABLE</v>
      </c>
    </row>
    <row r="2537" spans="1:8" x14ac:dyDescent="0.25">
      <c r="E2537" t="str">
        <f>""</f>
        <v/>
      </c>
      <c r="F2537" t="str">
        <f>""</f>
        <v/>
      </c>
      <c r="H2537" t="str">
        <f t="shared" si="39"/>
        <v>BCBS PAYABLE</v>
      </c>
    </row>
    <row r="2538" spans="1:8" x14ac:dyDescent="0.25">
      <c r="E2538" t="str">
        <f>""</f>
        <v/>
      </c>
      <c r="F2538" t="str">
        <f>""</f>
        <v/>
      </c>
      <c r="H2538" t="str">
        <f t="shared" si="39"/>
        <v>BCBS PAYABLE</v>
      </c>
    </row>
    <row r="2539" spans="1:8" x14ac:dyDescent="0.25">
      <c r="E2539" t="str">
        <f>""</f>
        <v/>
      </c>
      <c r="F2539" t="str">
        <f>""</f>
        <v/>
      </c>
      <c r="H2539" t="str">
        <f t="shared" si="39"/>
        <v>BCBS PAYABLE</v>
      </c>
    </row>
    <row r="2540" spans="1:8" x14ac:dyDescent="0.25">
      <c r="E2540" t="str">
        <f>""</f>
        <v/>
      </c>
      <c r="F2540" t="str">
        <f>""</f>
        <v/>
      </c>
      <c r="H2540" t="str">
        <f t="shared" si="39"/>
        <v>BCBS PAYABLE</v>
      </c>
    </row>
    <row r="2541" spans="1:8" x14ac:dyDescent="0.25">
      <c r="E2541" t="str">
        <f>""</f>
        <v/>
      </c>
      <c r="F2541" t="str">
        <f>""</f>
        <v/>
      </c>
      <c r="H2541" t="str">
        <f t="shared" si="39"/>
        <v>BCBS PAYABLE</v>
      </c>
    </row>
    <row r="2542" spans="1:8" x14ac:dyDescent="0.25">
      <c r="E2542" t="str">
        <f>""</f>
        <v/>
      </c>
      <c r="F2542" t="str">
        <f>""</f>
        <v/>
      </c>
      <c r="H2542" t="str">
        <f t="shared" si="39"/>
        <v>BCBS PAYABLE</v>
      </c>
    </row>
    <row r="2543" spans="1:8" x14ac:dyDescent="0.25">
      <c r="E2543" t="str">
        <f>""</f>
        <v/>
      </c>
      <c r="F2543" t="str">
        <f>""</f>
        <v/>
      </c>
      <c r="H2543" t="str">
        <f t="shared" si="39"/>
        <v>BCBS PAYABLE</v>
      </c>
    </row>
    <row r="2544" spans="1:8" x14ac:dyDescent="0.25">
      <c r="E2544" t="str">
        <f>""</f>
        <v/>
      </c>
      <c r="F2544" t="str">
        <f>""</f>
        <v/>
      </c>
      <c r="H2544" t="str">
        <f t="shared" si="39"/>
        <v>BCBS PAYABLE</v>
      </c>
    </row>
    <row r="2545" spans="5:8" x14ac:dyDescent="0.25">
      <c r="E2545" t="str">
        <f>""</f>
        <v/>
      </c>
      <c r="F2545" t="str">
        <f>""</f>
        <v/>
      </c>
      <c r="H2545" t="str">
        <f t="shared" si="39"/>
        <v>BCBS PAYABLE</v>
      </c>
    </row>
    <row r="2546" spans="5:8" x14ac:dyDescent="0.25">
      <c r="E2546" t="str">
        <f>""</f>
        <v/>
      </c>
      <c r="F2546" t="str">
        <f>""</f>
        <v/>
      </c>
      <c r="H2546" t="str">
        <f t="shared" si="39"/>
        <v>BCBS PAYABLE</v>
      </c>
    </row>
    <row r="2547" spans="5:8" x14ac:dyDescent="0.25">
      <c r="E2547" t="str">
        <f>""</f>
        <v/>
      </c>
      <c r="F2547" t="str">
        <f>""</f>
        <v/>
      </c>
      <c r="H2547" t="str">
        <f t="shared" si="39"/>
        <v>BCBS PAYABLE</v>
      </c>
    </row>
    <row r="2548" spans="5:8" x14ac:dyDescent="0.25">
      <c r="E2548" t="str">
        <f>""</f>
        <v/>
      </c>
      <c r="F2548" t="str">
        <f>""</f>
        <v/>
      </c>
      <c r="H2548" t="str">
        <f t="shared" si="39"/>
        <v>BCBS PAYABLE</v>
      </c>
    </row>
    <row r="2549" spans="5:8" x14ac:dyDescent="0.25">
      <c r="E2549" t="str">
        <f>""</f>
        <v/>
      </c>
      <c r="F2549" t="str">
        <f>""</f>
        <v/>
      </c>
      <c r="H2549" t="str">
        <f t="shared" si="39"/>
        <v>BCBS PAYABLE</v>
      </c>
    </row>
    <row r="2550" spans="5:8" x14ac:dyDescent="0.25">
      <c r="E2550" t="str">
        <f>""</f>
        <v/>
      </c>
      <c r="F2550" t="str">
        <f>""</f>
        <v/>
      </c>
      <c r="H2550" t="str">
        <f t="shared" si="39"/>
        <v>BCBS PAYABLE</v>
      </c>
    </row>
    <row r="2551" spans="5:8" x14ac:dyDescent="0.25">
      <c r="E2551" t="str">
        <f>""</f>
        <v/>
      </c>
      <c r="F2551" t="str">
        <f>""</f>
        <v/>
      </c>
      <c r="H2551" t="str">
        <f t="shared" si="39"/>
        <v>BCBS PAYABLE</v>
      </c>
    </row>
    <row r="2552" spans="5:8" x14ac:dyDescent="0.25">
      <c r="E2552" t="str">
        <f>""</f>
        <v/>
      </c>
      <c r="F2552" t="str">
        <f>""</f>
        <v/>
      </c>
      <c r="H2552" t="str">
        <f t="shared" si="39"/>
        <v>BCBS PAYABLE</v>
      </c>
    </row>
    <row r="2553" spans="5:8" x14ac:dyDescent="0.25">
      <c r="E2553" t="str">
        <f>""</f>
        <v/>
      </c>
      <c r="F2553" t="str">
        <f>""</f>
        <v/>
      </c>
      <c r="H2553" t="str">
        <f t="shared" si="39"/>
        <v>BCBS PAYABLE</v>
      </c>
    </row>
    <row r="2554" spans="5:8" x14ac:dyDescent="0.25">
      <c r="E2554" t="str">
        <f>""</f>
        <v/>
      </c>
      <c r="F2554" t="str">
        <f>""</f>
        <v/>
      </c>
      <c r="H2554" t="str">
        <f t="shared" si="39"/>
        <v>BCBS PAYABLE</v>
      </c>
    </row>
    <row r="2555" spans="5:8" x14ac:dyDescent="0.25">
      <c r="E2555" t="str">
        <f>""</f>
        <v/>
      </c>
      <c r="F2555" t="str">
        <f>""</f>
        <v/>
      </c>
      <c r="H2555" t="str">
        <f t="shared" si="39"/>
        <v>BCBS PAYABLE</v>
      </c>
    </row>
    <row r="2556" spans="5:8" x14ac:dyDescent="0.25">
      <c r="E2556" t="str">
        <f>""</f>
        <v/>
      </c>
      <c r="F2556" t="str">
        <f>""</f>
        <v/>
      </c>
      <c r="H2556" t="str">
        <f t="shared" si="39"/>
        <v>BCBS PAYABLE</v>
      </c>
    </row>
    <row r="2557" spans="5:8" x14ac:dyDescent="0.25">
      <c r="E2557" t="str">
        <f>""</f>
        <v/>
      </c>
      <c r="F2557" t="str">
        <f>""</f>
        <v/>
      </c>
      <c r="H2557" t="str">
        <f t="shared" si="39"/>
        <v>BCBS PAYABLE</v>
      </c>
    </row>
    <row r="2558" spans="5:8" x14ac:dyDescent="0.25">
      <c r="E2558" t="str">
        <f>""</f>
        <v/>
      </c>
      <c r="F2558" t="str">
        <f>""</f>
        <v/>
      </c>
      <c r="H2558" t="str">
        <f t="shared" si="39"/>
        <v>BCBS PAYABLE</v>
      </c>
    </row>
    <row r="2559" spans="5:8" x14ac:dyDescent="0.25">
      <c r="E2559" t="str">
        <f>""</f>
        <v/>
      </c>
      <c r="F2559" t="str">
        <f>""</f>
        <v/>
      </c>
      <c r="H2559" t="str">
        <f t="shared" si="39"/>
        <v>BCBS PAYABLE</v>
      </c>
    </row>
    <row r="2560" spans="5:8" x14ac:dyDescent="0.25">
      <c r="E2560" t="str">
        <f>""</f>
        <v/>
      </c>
      <c r="F2560" t="str">
        <f>""</f>
        <v/>
      </c>
      <c r="H2560" t="str">
        <f t="shared" si="39"/>
        <v>BCBS PAYABLE</v>
      </c>
    </row>
    <row r="2561" spans="5:8" x14ac:dyDescent="0.25">
      <c r="E2561" t="str">
        <f>""</f>
        <v/>
      </c>
      <c r="F2561" t="str">
        <f>""</f>
        <v/>
      </c>
      <c r="H2561" t="str">
        <f t="shared" si="39"/>
        <v>BCBS PAYABLE</v>
      </c>
    </row>
    <row r="2562" spans="5:8" x14ac:dyDescent="0.25">
      <c r="E2562" t="str">
        <f>""</f>
        <v/>
      </c>
      <c r="F2562" t="str">
        <f>""</f>
        <v/>
      </c>
      <c r="H2562" t="str">
        <f t="shared" si="39"/>
        <v>BCBS PAYABLE</v>
      </c>
    </row>
    <row r="2563" spans="5:8" x14ac:dyDescent="0.25">
      <c r="E2563" t="str">
        <f>""</f>
        <v/>
      </c>
      <c r="F2563" t="str">
        <f>""</f>
        <v/>
      </c>
      <c r="H2563" t="str">
        <f t="shared" si="39"/>
        <v>BCBS PAYABLE</v>
      </c>
    </row>
    <row r="2564" spans="5:8" x14ac:dyDescent="0.25">
      <c r="E2564" t="str">
        <f>""</f>
        <v/>
      </c>
      <c r="F2564" t="str">
        <f>""</f>
        <v/>
      </c>
      <c r="H2564" t="str">
        <f t="shared" si="39"/>
        <v>BCBS PAYABLE</v>
      </c>
    </row>
    <row r="2565" spans="5:8" x14ac:dyDescent="0.25">
      <c r="E2565" t="str">
        <f>"2EC201904308909"</f>
        <v>2EC201904308909</v>
      </c>
      <c r="F2565" t="str">
        <f>"BCBS PAYABLE"</f>
        <v>BCBS PAYABLE</v>
      </c>
      <c r="G2565" s="2">
        <v>1737.8</v>
      </c>
      <c r="H2565" t="str">
        <f t="shared" si="39"/>
        <v>BCBS PAYABLE</v>
      </c>
    </row>
    <row r="2566" spans="5:8" x14ac:dyDescent="0.25">
      <c r="E2566" t="str">
        <f>""</f>
        <v/>
      </c>
      <c r="F2566" t="str">
        <f>""</f>
        <v/>
      </c>
      <c r="H2566" t="str">
        <f t="shared" si="39"/>
        <v>BCBS PAYABLE</v>
      </c>
    </row>
    <row r="2567" spans="5:8" x14ac:dyDescent="0.25">
      <c r="E2567" t="str">
        <f>"2EC201905159265"</f>
        <v>2EC201905159265</v>
      </c>
      <c r="F2567" t="str">
        <f>"BCBS PAYABLE"</f>
        <v>BCBS PAYABLE</v>
      </c>
      <c r="G2567" s="2">
        <v>44748.35</v>
      </c>
      <c r="H2567" t="str">
        <f t="shared" ref="H2567:H2598" si="40">"BCBS PAYABLE"</f>
        <v>BCBS PAYABLE</v>
      </c>
    </row>
    <row r="2568" spans="5:8" x14ac:dyDescent="0.25">
      <c r="E2568" t="str">
        <f>""</f>
        <v/>
      </c>
      <c r="F2568" t="str">
        <f>""</f>
        <v/>
      </c>
      <c r="H2568" t="str">
        <f t="shared" si="40"/>
        <v>BCBS PAYABLE</v>
      </c>
    </row>
    <row r="2569" spans="5:8" x14ac:dyDescent="0.25">
      <c r="E2569" t="str">
        <f>""</f>
        <v/>
      </c>
      <c r="F2569" t="str">
        <f>""</f>
        <v/>
      </c>
      <c r="H2569" t="str">
        <f t="shared" si="40"/>
        <v>BCBS PAYABLE</v>
      </c>
    </row>
    <row r="2570" spans="5:8" x14ac:dyDescent="0.25">
      <c r="E2570" t="str">
        <f>""</f>
        <v/>
      </c>
      <c r="F2570" t="str">
        <f>""</f>
        <v/>
      </c>
      <c r="H2570" t="str">
        <f t="shared" si="40"/>
        <v>BCBS PAYABLE</v>
      </c>
    </row>
    <row r="2571" spans="5:8" x14ac:dyDescent="0.25">
      <c r="E2571" t="str">
        <f>""</f>
        <v/>
      </c>
      <c r="F2571" t="str">
        <f>""</f>
        <v/>
      </c>
      <c r="H2571" t="str">
        <f t="shared" si="40"/>
        <v>BCBS PAYABLE</v>
      </c>
    </row>
    <row r="2572" spans="5:8" x14ac:dyDescent="0.25">
      <c r="E2572" t="str">
        <f>""</f>
        <v/>
      </c>
      <c r="F2572" t="str">
        <f>""</f>
        <v/>
      </c>
      <c r="H2572" t="str">
        <f t="shared" si="40"/>
        <v>BCBS PAYABLE</v>
      </c>
    </row>
    <row r="2573" spans="5:8" x14ac:dyDescent="0.25">
      <c r="E2573" t="str">
        <f>""</f>
        <v/>
      </c>
      <c r="F2573" t="str">
        <f>""</f>
        <v/>
      </c>
      <c r="H2573" t="str">
        <f t="shared" si="40"/>
        <v>BCBS PAYABLE</v>
      </c>
    </row>
    <row r="2574" spans="5:8" x14ac:dyDescent="0.25">
      <c r="E2574" t="str">
        <f>""</f>
        <v/>
      </c>
      <c r="F2574" t="str">
        <f>""</f>
        <v/>
      </c>
      <c r="H2574" t="str">
        <f t="shared" si="40"/>
        <v>BCBS PAYABLE</v>
      </c>
    </row>
    <row r="2575" spans="5:8" x14ac:dyDescent="0.25">
      <c r="E2575" t="str">
        <f>""</f>
        <v/>
      </c>
      <c r="F2575" t="str">
        <f>""</f>
        <v/>
      </c>
      <c r="H2575" t="str">
        <f t="shared" si="40"/>
        <v>BCBS PAYABLE</v>
      </c>
    </row>
    <row r="2576" spans="5:8" x14ac:dyDescent="0.25">
      <c r="E2576" t="str">
        <f>""</f>
        <v/>
      </c>
      <c r="F2576" t="str">
        <f>""</f>
        <v/>
      </c>
      <c r="H2576" t="str">
        <f t="shared" si="40"/>
        <v>BCBS PAYABLE</v>
      </c>
    </row>
    <row r="2577" spans="5:8" x14ac:dyDescent="0.25">
      <c r="E2577" t="str">
        <f>""</f>
        <v/>
      </c>
      <c r="F2577" t="str">
        <f>""</f>
        <v/>
      </c>
      <c r="H2577" t="str">
        <f t="shared" si="40"/>
        <v>BCBS PAYABLE</v>
      </c>
    </row>
    <row r="2578" spans="5:8" x14ac:dyDescent="0.25">
      <c r="E2578" t="str">
        <f>""</f>
        <v/>
      </c>
      <c r="F2578" t="str">
        <f>""</f>
        <v/>
      </c>
      <c r="H2578" t="str">
        <f t="shared" si="40"/>
        <v>BCBS PAYABLE</v>
      </c>
    </row>
    <row r="2579" spans="5:8" x14ac:dyDescent="0.25">
      <c r="E2579" t="str">
        <f>""</f>
        <v/>
      </c>
      <c r="F2579" t="str">
        <f>""</f>
        <v/>
      </c>
      <c r="H2579" t="str">
        <f t="shared" si="40"/>
        <v>BCBS PAYABLE</v>
      </c>
    </row>
    <row r="2580" spans="5:8" x14ac:dyDescent="0.25">
      <c r="E2580" t="str">
        <f>""</f>
        <v/>
      </c>
      <c r="F2580" t="str">
        <f>""</f>
        <v/>
      </c>
      <c r="H2580" t="str">
        <f t="shared" si="40"/>
        <v>BCBS PAYABLE</v>
      </c>
    </row>
    <row r="2581" spans="5:8" x14ac:dyDescent="0.25">
      <c r="E2581" t="str">
        <f>""</f>
        <v/>
      </c>
      <c r="F2581" t="str">
        <f>""</f>
        <v/>
      </c>
      <c r="H2581" t="str">
        <f t="shared" si="40"/>
        <v>BCBS PAYABLE</v>
      </c>
    </row>
    <row r="2582" spans="5:8" x14ac:dyDescent="0.25">
      <c r="E2582" t="str">
        <f>""</f>
        <v/>
      </c>
      <c r="F2582" t="str">
        <f>""</f>
        <v/>
      </c>
      <c r="H2582" t="str">
        <f t="shared" si="40"/>
        <v>BCBS PAYABLE</v>
      </c>
    </row>
    <row r="2583" spans="5:8" x14ac:dyDescent="0.25">
      <c r="E2583" t="str">
        <f>""</f>
        <v/>
      </c>
      <c r="F2583" t="str">
        <f>""</f>
        <v/>
      </c>
      <c r="H2583" t="str">
        <f t="shared" si="40"/>
        <v>BCBS PAYABLE</v>
      </c>
    </row>
    <row r="2584" spans="5:8" x14ac:dyDescent="0.25">
      <c r="E2584" t="str">
        <f>""</f>
        <v/>
      </c>
      <c r="F2584" t="str">
        <f>""</f>
        <v/>
      </c>
      <c r="H2584" t="str">
        <f t="shared" si="40"/>
        <v>BCBS PAYABLE</v>
      </c>
    </row>
    <row r="2585" spans="5:8" x14ac:dyDescent="0.25">
      <c r="E2585" t="str">
        <f>""</f>
        <v/>
      </c>
      <c r="F2585" t="str">
        <f>""</f>
        <v/>
      </c>
      <c r="H2585" t="str">
        <f t="shared" si="40"/>
        <v>BCBS PAYABLE</v>
      </c>
    </row>
    <row r="2586" spans="5:8" x14ac:dyDescent="0.25">
      <c r="E2586" t="str">
        <f>""</f>
        <v/>
      </c>
      <c r="F2586" t="str">
        <f>""</f>
        <v/>
      </c>
      <c r="H2586" t="str">
        <f t="shared" si="40"/>
        <v>BCBS PAYABLE</v>
      </c>
    </row>
    <row r="2587" spans="5:8" x14ac:dyDescent="0.25">
      <c r="E2587" t="str">
        <f>""</f>
        <v/>
      </c>
      <c r="F2587" t="str">
        <f>""</f>
        <v/>
      </c>
      <c r="H2587" t="str">
        <f t="shared" si="40"/>
        <v>BCBS PAYABLE</v>
      </c>
    </row>
    <row r="2588" spans="5:8" x14ac:dyDescent="0.25">
      <c r="E2588" t="str">
        <f>""</f>
        <v/>
      </c>
      <c r="F2588" t="str">
        <f>""</f>
        <v/>
      </c>
      <c r="H2588" t="str">
        <f t="shared" si="40"/>
        <v>BCBS PAYABLE</v>
      </c>
    </row>
    <row r="2589" spans="5:8" x14ac:dyDescent="0.25">
      <c r="E2589" t="str">
        <f>""</f>
        <v/>
      </c>
      <c r="F2589" t="str">
        <f>""</f>
        <v/>
      </c>
      <c r="H2589" t="str">
        <f t="shared" si="40"/>
        <v>BCBS PAYABLE</v>
      </c>
    </row>
    <row r="2590" spans="5:8" x14ac:dyDescent="0.25">
      <c r="E2590" t="str">
        <f>""</f>
        <v/>
      </c>
      <c r="F2590" t="str">
        <f>""</f>
        <v/>
      </c>
      <c r="H2590" t="str">
        <f t="shared" si="40"/>
        <v>BCBS PAYABLE</v>
      </c>
    </row>
    <row r="2591" spans="5:8" x14ac:dyDescent="0.25">
      <c r="E2591" t="str">
        <f>""</f>
        <v/>
      </c>
      <c r="F2591" t="str">
        <f>""</f>
        <v/>
      </c>
      <c r="H2591" t="str">
        <f t="shared" si="40"/>
        <v>BCBS PAYABLE</v>
      </c>
    </row>
    <row r="2592" spans="5:8" x14ac:dyDescent="0.25">
      <c r="E2592" t="str">
        <f>""</f>
        <v/>
      </c>
      <c r="F2592" t="str">
        <f>""</f>
        <v/>
      </c>
      <c r="H2592" t="str">
        <f t="shared" si="40"/>
        <v>BCBS PAYABLE</v>
      </c>
    </row>
    <row r="2593" spans="5:8" x14ac:dyDescent="0.25">
      <c r="E2593" t="str">
        <f>""</f>
        <v/>
      </c>
      <c r="F2593" t="str">
        <f>""</f>
        <v/>
      </c>
      <c r="H2593" t="str">
        <f t="shared" si="40"/>
        <v>BCBS PAYABLE</v>
      </c>
    </row>
    <row r="2594" spans="5:8" x14ac:dyDescent="0.25">
      <c r="E2594" t="str">
        <f>""</f>
        <v/>
      </c>
      <c r="F2594" t="str">
        <f>""</f>
        <v/>
      </c>
      <c r="H2594" t="str">
        <f t="shared" si="40"/>
        <v>BCBS PAYABLE</v>
      </c>
    </row>
    <row r="2595" spans="5:8" x14ac:dyDescent="0.25">
      <c r="E2595" t="str">
        <f>""</f>
        <v/>
      </c>
      <c r="F2595" t="str">
        <f>""</f>
        <v/>
      </c>
      <c r="H2595" t="str">
        <f t="shared" si="40"/>
        <v>BCBS PAYABLE</v>
      </c>
    </row>
    <row r="2596" spans="5:8" x14ac:dyDescent="0.25">
      <c r="E2596" t="str">
        <f>""</f>
        <v/>
      </c>
      <c r="F2596" t="str">
        <f>""</f>
        <v/>
      </c>
      <c r="H2596" t="str">
        <f t="shared" si="40"/>
        <v>BCBS PAYABLE</v>
      </c>
    </row>
    <row r="2597" spans="5:8" x14ac:dyDescent="0.25">
      <c r="E2597" t="str">
        <f>""</f>
        <v/>
      </c>
      <c r="F2597" t="str">
        <f>""</f>
        <v/>
      </c>
      <c r="H2597" t="str">
        <f t="shared" si="40"/>
        <v>BCBS PAYABLE</v>
      </c>
    </row>
    <row r="2598" spans="5:8" x14ac:dyDescent="0.25">
      <c r="E2598" t="str">
        <f>"2EC201905159266"</f>
        <v>2EC201905159266</v>
      </c>
      <c r="F2598" t="str">
        <f>"BCBS PAYABLE"</f>
        <v>BCBS PAYABLE</v>
      </c>
      <c r="G2598" s="2">
        <v>1737.8</v>
      </c>
      <c r="H2598" t="str">
        <f t="shared" si="40"/>
        <v>BCBS PAYABLE</v>
      </c>
    </row>
    <row r="2599" spans="5:8" x14ac:dyDescent="0.25">
      <c r="E2599" t="str">
        <f>""</f>
        <v/>
      </c>
      <c r="F2599" t="str">
        <f>""</f>
        <v/>
      </c>
      <c r="H2599" t="str">
        <f t="shared" ref="H2599:H2630" si="41">"BCBS PAYABLE"</f>
        <v>BCBS PAYABLE</v>
      </c>
    </row>
    <row r="2600" spans="5:8" x14ac:dyDescent="0.25">
      <c r="E2600" t="str">
        <f>"2EF201904308908"</f>
        <v>2EF201904308908</v>
      </c>
      <c r="F2600" t="str">
        <f>"BCBS PAYABLE"</f>
        <v>BCBS PAYABLE</v>
      </c>
      <c r="G2600" s="2">
        <v>863.33</v>
      </c>
      <c r="H2600" t="str">
        <f t="shared" si="41"/>
        <v>BCBS PAYABLE</v>
      </c>
    </row>
    <row r="2601" spans="5:8" x14ac:dyDescent="0.25">
      <c r="E2601" t="str">
        <f>""</f>
        <v/>
      </c>
      <c r="F2601" t="str">
        <f>""</f>
        <v/>
      </c>
      <c r="H2601" t="str">
        <f t="shared" si="41"/>
        <v>BCBS PAYABLE</v>
      </c>
    </row>
    <row r="2602" spans="5:8" x14ac:dyDescent="0.25">
      <c r="E2602" t="str">
        <f>"2EF201905159265"</f>
        <v>2EF201905159265</v>
      </c>
      <c r="F2602" t="str">
        <f>"BCBS PAYABLE"</f>
        <v>BCBS PAYABLE</v>
      </c>
      <c r="G2602" s="2">
        <v>863.33</v>
      </c>
      <c r="H2602" t="str">
        <f t="shared" si="41"/>
        <v>BCBS PAYABLE</v>
      </c>
    </row>
    <row r="2603" spans="5:8" x14ac:dyDescent="0.25">
      <c r="E2603" t="str">
        <f>""</f>
        <v/>
      </c>
      <c r="F2603" t="str">
        <f>""</f>
        <v/>
      </c>
      <c r="H2603" t="str">
        <f t="shared" si="41"/>
        <v>BCBS PAYABLE</v>
      </c>
    </row>
    <row r="2604" spans="5:8" x14ac:dyDescent="0.25">
      <c r="E2604" t="str">
        <f>"2EO201904308908"</f>
        <v>2EO201904308908</v>
      </c>
      <c r="F2604" t="str">
        <f>"BCBS PAYABLE"</f>
        <v>BCBS PAYABLE</v>
      </c>
      <c r="G2604" s="2">
        <v>91979.28</v>
      </c>
      <c r="H2604" t="str">
        <f t="shared" si="41"/>
        <v>BCBS PAYABLE</v>
      </c>
    </row>
    <row r="2605" spans="5:8" x14ac:dyDescent="0.25">
      <c r="E2605" t="str">
        <f>""</f>
        <v/>
      </c>
      <c r="F2605" t="str">
        <f>""</f>
        <v/>
      </c>
      <c r="H2605" t="str">
        <f t="shared" si="41"/>
        <v>BCBS PAYABLE</v>
      </c>
    </row>
    <row r="2606" spans="5:8" x14ac:dyDescent="0.25">
      <c r="E2606" t="str">
        <f>""</f>
        <v/>
      </c>
      <c r="F2606" t="str">
        <f>""</f>
        <v/>
      </c>
      <c r="H2606" t="str">
        <f t="shared" si="41"/>
        <v>BCBS PAYABLE</v>
      </c>
    </row>
    <row r="2607" spans="5:8" x14ac:dyDescent="0.25">
      <c r="E2607" t="str">
        <f>""</f>
        <v/>
      </c>
      <c r="F2607" t="str">
        <f>""</f>
        <v/>
      </c>
      <c r="H2607" t="str">
        <f t="shared" si="41"/>
        <v>BCBS PAYABLE</v>
      </c>
    </row>
    <row r="2608" spans="5:8" x14ac:dyDescent="0.25">
      <c r="E2608" t="str">
        <f>""</f>
        <v/>
      </c>
      <c r="F2608" t="str">
        <f>""</f>
        <v/>
      </c>
      <c r="H2608" t="str">
        <f t="shared" si="41"/>
        <v>BCBS PAYABLE</v>
      </c>
    </row>
    <row r="2609" spans="5:8" x14ac:dyDescent="0.25">
      <c r="E2609" t="str">
        <f>""</f>
        <v/>
      </c>
      <c r="F2609" t="str">
        <f>""</f>
        <v/>
      </c>
      <c r="H2609" t="str">
        <f t="shared" si="41"/>
        <v>BCBS PAYABLE</v>
      </c>
    </row>
    <row r="2610" spans="5:8" x14ac:dyDescent="0.25">
      <c r="E2610" t="str">
        <f>""</f>
        <v/>
      </c>
      <c r="F2610" t="str">
        <f>""</f>
        <v/>
      </c>
      <c r="H2610" t="str">
        <f t="shared" si="41"/>
        <v>BCBS PAYABLE</v>
      </c>
    </row>
    <row r="2611" spans="5:8" x14ac:dyDescent="0.25">
      <c r="E2611" t="str">
        <f>""</f>
        <v/>
      </c>
      <c r="F2611" t="str">
        <f>""</f>
        <v/>
      </c>
      <c r="H2611" t="str">
        <f t="shared" si="41"/>
        <v>BCBS PAYABLE</v>
      </c>
    </row>
    <row r="2612" spans="5:8" x14ac:dyDescent="0.25">
      <c r="E2612" t="str">
        <f>""</f>
        <v/>
      </c>
      <c r="F2612" t="str">
        <f>""</f>
        <v/>
      </c>
      <c r="H2612" t="str">
        <f t="shared" si="41"/>
        <v>BCBS PAYABLE</v>
      </c>
    </row>
    <row r="2613" spans="5:8" x14ac:dyDescent="0.25">
      <c r="E2613" t="str">
        <f>""</f>
        <v/>
      </c>
      <c r="F2613" t="str">
        <f>""</f>
        <v/>
      </c>
      <c r="H2613" t="str">
        <f t="shared" si="41"/>
        <v>BCBS PAYABLE</v>
      </c>
    </row>
    <row r="2614" spans="5:8" x14ac:dyDescent="0.25">
      <c r="E2614" t="str">
        <f>""</f>
        <v/>
      </c>
      <c r="F2614" t="str">
        <f>""</f>
        <v/>
      </c>
      <c r="H2614" t="str">
        <f t="shared" si="41"/>
        <v>BCBS PAYABLE</v>
      </c>
    </row>
    <row r="2615" spans="5:8" x14ac:dyDescent="0.25">
      <c r="E2615" t="str">
        <f>""</f>
        <v/>
      </c>
      <c r="F2615" t="str">
        <f>""</f>
        <v/>
      </c>
      <c r="H2615" t="str">
        <f t="shared" si="41"/>
        <v>BCBS PAYABLE</v>
      </c>
    </row>
    <row r="2616" spans="5:8" x14ac:dyDescent="0.25">
      <c r="E2616" t="str">
        <f>""</f>
        <v/>
      </c>
      <c r="F2616" t="str">
        <f>""</f>
        <v/>
      </c>
      <c r="H2616" t="str">
        <f t="shared" si="41"/>
        <v>BCBS PAYABLE</v>
      </c>
    </row>
    <row r="2617" spans="5:8" x14ac:dyDescent="0.25">
      <c r="E2617" t="str">
        <f>""</f>
        <v/>
      </c>
      <c r="F2617" t="str">
        <f>""</f>
        <v/>
      </c>
      <c r="H2617" t="str">
        <f t="shared" si="41"/>
        <v>BCBS PAYABLE</v>
      </c>
    </row>
    <row r="2618" spans="5:8" x14ac:dyDescent="0.25">
      <c r="E2618" t="str">
        <f>""</f>
        <v/>
      </c>
      <c r="F2618" t="str">
        <f>""</f>
        <v/>
      </c>
      <c r="H2618" t="str">
        <f t="shared" si="41"/>
        <v>BCBS PAYABLE</v>
      </c>
    </row>
    <row r="2619" spans="5:8" x14ac:dyDescent="0.25">
      <c r="E2619" t="str">
        <f>""</f>
        <v/>
      </c>
      <c r="F2619" t="str">
        <f>""</f>
        <v/>
      </c>
      <c r="H2619" t="str">
        <f t="shared" si="41"/>
        <v>BCBS PAYABLE</v>
      </c>
    </row>
    <row r="2620" spans="5:8" x14ac:dyDescent="0.25">
      <c r="E2620" t="str">
        <f>""</f>
        <v/>
      </c>
      <c r="F2620" t="str">
        <f>""</f>
        <v/>
      </c>
      <c r="H2620" t="str">
        <f t="shared" si="41"/>
        <v>BCBS PAYABLE</v>
      </c>
    </row>
    <row r="2621" spans="5:8" x14ac:dyDescent="0.25">
      <c r="E2621" t="str">
        <f>""</f>
        <v/>
      </c>
      <c r="F2621" t="str">
        <f>""</f>
        <v/>
      </c>
      <c r="H2621" t="str">
        <f t="shared" si="41"/>
        <v>BCBS PAYABLE</v>
      </c>
    </row>
    <row r="2622" spans="5:8" x14ac:dyDescent="0.25">
      <c r="E2622" t="str">
        <f>""</f>
        <v/>
      </c>
      <c r="F2622" t="str">
        <f>""</f>
        <v/>
      </c>
      <c r="H2622" t="str">
        <f t="shared" si="41"/>
        <v>BCBS PAYABLE</v>
      </c>
    </row>
    <row r="2623" spans="5:8" x14ac:dyDescent="0.25">
      <c r="E2623" t="str">
        <f>""</f>
        <v/>
      </c>
      <c r="F2623" t="str">
        <f>""</f>
        <v/>
      </c>
      <c r="H2623" t="str">
        <f t="shared" si="41"/>
        <v>BCBS PAYABLE</v>
      </c>
    </row>
    <row r="2624" spans="5:8" x14ac:dyDescent="0.25">
      <c r="E2624" t="str">
        <f>""</f>
        <v/>
      </c>
      <c r="F2624" t="str">
        <f>""</f>
        <v/>
      </c>
      <c r="H2624" t="str">
        <f t="shared" si="41"/>
        <v>BCBS PAYABLE</v>
      </c>
    </row>
    <row r="2625" spans="5:8" x14ac:dyDescent="0.25">
      <c r="E2625" t="str">
        <f>""</f>
        <v/>
      </c>
      <c r="F2625" t="str">
        <f>""</f>
        <v/>
      </c>
      <c r="H2625" t="str">
        <f t="shared" si="41"/>
        <v>BCBS PAYABLE</v>
      </c>
    </row>
    <row r="2626" spans="5:8" x14ac:dyDescent="0.25">
      <c r="E2626" t="str">
        <f>""</f>
        <v/>
      </c>
      <c r="F2626" t="str">
        <f>""</f>
        <v/>
      </c>
      <c r="H2626" t="str">
        <f t="shared" si="41"/>
        <v>BCBS PAYABLE</v>
      </c>
    </row>
    <row r="2627" spans="5:8" x14ac:dyDescent="0.25">
      <c r="E2627" t="str">
        <f>""</f>
        <v/>
      </c>
      <c r="F2627" t="str">
        <f>""</f>
        <v/>
      </c>
      <c r="H2627" t="str">
        <f t="shared" si="41"/>
        <v>BCBS PAYABLE</v>
      </c>
    </row>
    <row r="2628" spans="5:8" x14ac:dyDescent="0.25">
      <c r="E2628" t="str">
        <f>""</f>
        <v/>
      </c>
      <c r="F2628" t="str">
        <f>""</f>
        <v/>
      </c>
      <c r="H2628" t="str">
        <f t="shared" si="41"/>
        <v>BCBS PAYABLE</v>
      </c>
    </row>
    <row r="2629" spans="5:8" x14ac:dyDescent="0.25">
      <c r="E2629" t="str">
        <f>""</f>
        <v/>
      </c>
      <c r="F2629" t="str">
        <f>""</f>
        <v/>
      </c>
      <c r="H2629" t="str">
        <f t="shared" si="41"/>
        <v>BCBS PAYABLE</v>
      </c>
    </row>
    <row r="2630" spans="5:8" x14ac:dyDescent="0.25">
      <c r="E2630" t="str">
        <f>""</f>
        <v/>
      </c>
      <c r="F2630" t="str">
        <f>""</f>
        <v/>
      </c>
      <c r="H2630" t="str">
        <f t="shared" si="41"/>
        <v>BCBS PAYABLE</v>
      </c>
    </row>
    <row r="2631" spans="5:8" x14ac:dyDescent="0.25">
      <c r="E2631" t="str">
        <f>""</f>
        <v/>
      </c>
      <c r="F2631" t="str">
        <f>""</f>
        <v/>
      </c>
      <c r="H2631" t="str">
        <f t="shared" ref="H2631:H2662" si="42">"BCBS PAYABLE"</f>
        <v>BCBS PAYABLE</v>
      </c>
    </row>
    <row r="2632" spans="5:8" x14ac:dyDescent="0.25">
      <c r="E2632" t="str">
        <f>""</f>
        <v/>
      </c>
      <c r="F2632" t="str">
        <f>""</f>
        <v/>
      </c>
      <c r="H2632" t="str">
        <f t="shared" si="42"/>
        <v>BCBS PAYABLE</v>
      </c>
    </row>
    <row r="2633" spans="5:8" x14ac:dyDescent="0.25">
      <c r="E2633" t="str">
        <f>""</f>
        <v/>
      </c>
      <c r="F2633" t="str">
        <f>""</f>
        <v/>
      </c>
      <c r="H2633" t="str">
        <f t="shared" si="42"/>
        <v>BCBS PAYABLE</v>
      </c>
    </row>
    <row r="2634" spans="5:8" x14ac:dyDescent="0.25">
      <c r="E2634" t="str">
        <f>""</f>
        <v/>
      </c>
      <c r="F2634" t="str">
        <f>""</f>
        <v/>
      </c>
      <c r="H2634" t="str">
        <f t="shared" si="42"/>
        <v>BCBS PAYABLE</v>
      </c>
    </row>
    <row r="2635" spans="5:8" x14ac:dyDescent="0.25">
      <c r="E2635" t="str">
        <f>""</f>
        <v/>
      </c>
      <c r="F2635" t="str">
        <f>""</f>
        <v/>
      </c>
      <c r="H2635" t="str">
        <f t="shared" si="42"/>
        <v>BCBS PAYABLE</v>
      </c>
    </row>
    <row r="2636" spans="5:8" x14ac:dyDescent="0.25">
      <c r="E2636" t="str">
        <f>""</f>
        <v/>
      </c>
      <c r="F2636" t="str">
        <f>""</f>
        <v/>
      </c>
      <c r="H2636" t="str">
        <f t="shared" si="42"/>
        <v>BCBS PAYABLE</v>
      </c>
    </row>
    <row r="2637" spans="5:8" x14ac:dyDescent="0.25">
      <c r="E2637" t="str">
        <f>""</f>
        <v/>
      </c>
      <c r="F2637" t="str">
        <f>""</f>
        <v/>
      </c>
      <c r="H2637" t="str">
        <f t="shared" si="42"/>
        <v>BCBS PAYABLE</v>
      </c>
    </row>
    <row r="2638" spans="5:8" x14ac:dyDescent="0.25">
      <c r="E2638" t="str">
        <f>""</f>
        <v/>
      </c>
      <c r="F2638" t="str">
        <f>""</f>
        <v/>
      </c>
      <c r="H2638" t="str">
        <f t="shared" si="42"/>
        <v>BCBS PAYABLE</v>
      </c>
    </row>
    <row r="2639" spans="5:8" x14ac:dyDescent="0.25">
      <c r="E2639" t="str">
        <f>""</f>
        <v/>
      </c>
      <c r="F2639" t="str">
        <f>""</f>
        <v/>
      </c>
      <c r="H2639" t="str">
        <f t="shared" si="42"/>
        <v>BCBS PAYABLE</v>
      </c>
    </row>
    <row r="2640" spans="5:8" x14ac:dyDescent="0.25">
      <c r="E2640" t="str">
        <f>""</f>
        <v/>
      </c>
      <c r="F2640" t="str">
        <f>""</f>
        <v/>
      </c>
      <c r="H2640" t="str">
        <f t="shared" si="42"/>
        <v>BCBS PAYABLE</v>
      </c>
    </row>
    <row r="2641" spans="5:8" x14ac:dyDescent="0.25">
      <c r="E2641" t="str">
        <f>""</f>
        <v/>
      </c>
      <c r="F2641" t="str">
        <f>""</f>
        <v/>
      </c>
      <c r="H2641" t="str">
        <f t="shared" si="42"/>
        <v>BCBS PAYABLE</v>
      </c>
    </row>
    <row r="2642" spans="5:8" x14ac:dyDescent="0.25">
      <c r="E2642" t="str">
        <f>""</f>
        <v/>
      </c>
      <c r="F2642" t="str">
        <f>""</f>
        <v/>
      </c>
      <c r="H2642" t="str">
        <f t="shared" si="42"/>
        <v>BCBS PAYABLE</v>
      </c>
    </row>
    <row r="2643" spans="5:8" x14ac:dyDescent="0.25">
      <c r="E2643" t="str">
        <f>""</f>
        <v/>
      </c>
      <c r="F2643" t="str">
        <f>""</f>
        <v/>
      </c>
      <c r="H2643" t="str">
        <f t="shared" si="42"/>
        <v>BCBS PAYABLE</v>
      </c>
    </row>
    <row r="2644" spans="5:8" x14ac:dyDescent="0.25">
      <c r="E2644" t="str">
        <f>""</f>
        <v/>
      </c>
      <c r="F2644" t="str">
        <f>""</f>
        <v/>
      </c>
      <c r="H2644" t="str">
        <f t="shared" si="42"/>
        <v>BCBS PAYABLE</v>
      </c>
    </row>
    <row r="2645" spans="5:8" x14ac:dyDescent="0.25">
      <c r="E2645" t="str">
        <f>""</f>
        <v/>
      </c>
      <c r="F2645" t="str">
        <f>""</f>
        <v/>
      </c>
      <c r="H2645" t="str">
        <f t="shared" si="42"/>
        <v>BCBS PAYABLE</v>
      </c>
    </row>
    <row r="2646" spans="5:8" x14ac:dyDescent="0.25">
      <c r="E2646" t="str">
        <f>""</f>
        <v/>
      </c>
      <c r="F2646" t="str">
        <f>""</f>
        <v/>
      </c>
      <c r="H2646" t="str">
        <f t="shared" si="42"/>
        <v>BCBS PAYABLE</v>
      </c>
    </row>
    <row r="2647" spans="5:8" x14ac:dyDescent="0.25">
      <c r="E2647" t="str">
        <f>""</f>
        <v/>
      </c>
      <c r="F2647" t="str">
        <f>""</f>
        <v/>
      </c>
      <c r="H2647" t="str">
        <f t="shared" si="42"/>
        <v>BCBS PAYABLE</v>
      </c>
    </row>
    <row r="2648" spans="5:8" x14ac:dyDescent="0.25">
      <c r="E2648" t="str">
        <f>""</f>
        <v/>
      </c>
      <c r="F2648" t="str">
        <f>""</f>
        <v/>
      </c>
      <c r="H2648" t="str">
        <f t="shared" si="42"/>
        <v>BCBS PAYABLE</v>
      </c>
    </row>
    <row r="2649" spans="5:8" x14ac:dyDescent="0.25">
      <c r="E2649" t="str">
        <f>"2EO201904308909"</f>
        <v>2EO201904308909</v>
      </c>
      <c r="F2649" t="str">
        <f>"BCBS PAYABLE"</f>
        <v>BCBS PAYABLE</v>
      </c>
      <c r="G2649" s="2">
        <v>3792.96</v>
      </c>
      <c r="H2649" t="str">
        <f t="shared" si="42"/>
        <v>BCBS PAYABLE</v>
      </c>
    </row>
    <row r="2650" spans="5:8" x14ac:dyDescent="0.25">
      <c r="E2650" t="str">
        <f>"2EO201905159265"</f>
        <v>2EO201905159265</v>
      </c>
      <c r="F2650" t="str">
        <f>"BCBS PAYABLE"</f>
        <v>BCBS PAYABLE</v>
      </c>
      <c r="G2650" s="2">
        <v>92295.360000000001</v>
      </c>
      <c r="H2650" t="str">
        <f t="shared" si="42"/>
        <v>BCBS PAYABLE</v>
      </c>
    </row>
    <row r="2651" spans="5:8" x14ac:dyDescent="0.25">
      <c r="E2651" t="str">
        <f>""</f>
        <v/>
      </c>
      <c r="F2651" t="str">
        <f>""</f>
        <v/>
      </c>
      <c r="H2651" t="str">
        <f t="shared" si="42"/>
        <v>BCBS PAYABLE</v>
      </c>
    </row>
    <row r="2652" spans="5:8" x14ac:dyDescent="0.25">
      <c r="E2652" t="str">
        <f>""</f>
        <v/>
      </c>
      <c r="F2652" t="str">
        <f>""</f>
        <v/>
      </c>
      <c r="H2652" t="str">
        <f t="shared" si="42"/>
        <v>BCBS PAYABLE</v>
      </c>
    </row>
    <row r="2653" spans="5:8" x14ac:dyDescent="0.25">
      <c r="E2653" t="str">
        <f>""</f>
        <v/>
      </c>
      <c r="F2653" t="str">
        <f>""</f>
        <v/>
      </c>
      <c r="H2653" t="str">
        <f t="shared" si="42"/>
        <v>BCBS PAYABLE</v>
      </c>
    </row>
    <row r="2654" spans="5:8" x14ac:dyDescent="0.25">
      <c r="E2654" t="str">
        <f>""</f>
        <v/>
      </c>
      <c r="F2654" t="str">
        <f>""</f>
        <v/>
      </c>
      <c r="H2654" t="str">
        <f t="shared" si="42"/>
        <v>BCBS PAYABLE</v>
      </c>
    </row>
    <row r="2655" spans="5:8" x14ac:dyDescent="0.25">
      <c r="E2655" t="str">
        <f>""</f>
        <v/>
      </c>
      <c r="F2655" t="str">
        <f>""</f>
        <v/>
      </c>
      <c r="H2655" t="str">
        <f t="shared" si="42"/>
        <v>BCBS PAYABLE</v>
      </c>
    </row>
    <row r="2656" spans="5:8" x14ac:dyDescent="0.25">
      <c r="E2656" t="str">
        <f>""</f>
        <v/>
      </c>
      <c r="F2656" t="str">
        <f>""</f>
        <v/>
      </c>
      <c r="H2656" t="str">
        <f t="shared" si="42"/>
        <v>BCBS PAYABLE</v>
      </c>
    </row>
    <row r="2657" spans="5:8" x14ac:dyDescent="0.25">
      <c r="E2657" t="str">
        <f>""</f>
        <v/>
      </c>
      <c r="F2657" t="str">
        <f>""</f>
        <v/>
      </c>
      <c r="H2657" t="str">
        <f t="shared" si="42"/>
        <v>BCBS PAYABLE</v>
      </c>
    </row>
    <row r="2658" spans="5:8" x14ac:dyDescent="0.25">
      <c r="E2658" t="str">
        <f>""</f>
        <v/>
      </c>
      <c r="F2658" t="str">
        <f>""</f>
        <v/>
      </c>
      <c r="H2658" t="str">
        <f t="shared" si="42"/>
        <v>BCBS PAYABLE</v>
      </c>
    </row>
    <row r="2659" spans="5:8" x14ac:dyDescent="0.25">
      <c r="E2659" t="str">
        <f>""</f>
        <v/>
      </c>
      <c r="F2659" t="str">
        <f>""</f>
        <v/>
      </c>
      <c r="H2659" t="str">
        <f t="shared" si="42"/>
        <v>BCBS PAYABLE</v>
      </c>
    </row>
    <row r="2660" spans="5:8" x14ac:dyDescent="0.25">
      <c r="E2660" t="str">
        <f>""</f>
        <v/>
      </c>
      <c r="F2660" t="str">
        <f>""</f>
        <v/>
      </c>
      <c r="H2660" t="str">
        <f t="shared" si="42"/>
        <v>BCBS PAYABLE</v>
      </c>
    </row>
    <row r="2661" spans="5:8" x14ac:dyDescent="0.25">
      <c r="E2661" t="str">
        <f>""</f>
        <v/>
      </c>
      <c r="F2661" t="str">
        <f>""</f>
        <v/>
      </c>
      <c r="H2661" t="str">
        <f t="shared" si="42"/>
        <v>BCBS PAYABLE</v>
      </c>
    </row>
    <row r="2662" spans="5:8" x14ac:dyDescent="0.25">
      <c r="E2662" t="str">
        <f>""</f>
        <v/>
      </c>
      <c r="F2662" t="str">
        <f>""</f>
        <v/>
      </c>
      <c r="H2662" t="str">
        <f t="shared" si="42"/>
        <v>BCBS PAYABLE</v>
      </c>
    </row>
    <row r="2663" spans="5:8" x14ac:dyDescent="0.25">
      <c r="E2663" t="str">
        <f>""</f>
        <v/>
      </c>
      <c r="F2663" t="str">
        <f>""</f>
        <v/>
      </c>
      <c r="H2663" t="str">
        <f t="shared" ref="H2663:H2694" si="43">"BCBS PAYABLE"</f>
        <v>BCBS PAYABLE</v>
      </c>
    </row>
    <row r="2664" spans="5:8" x14ac:dyDescent="0.25">
      <c r="E2664" t="str">
        <f>""</f>
        <v/>
      </c>
      <c r="F2664" t="str">
        <f>""</f>
        <v/>
      </c>
      <c r="H2664" t="str">
        <f t="shared" si="43"/>
        <v>BCBS PAYABLE</v>
      </c>
    </row>
    <row r="2665" spans="5:8" x14ac:dyDescent="0.25">
      <c r="E2665" t="str">
        <f>""</f>
        <v/>
      </c>
      <c r="F2665" t="str">
        <f>""</f>
        <v/>
      </c>
      <c r="H2665" t="str">
        <f t="shared" si="43"/>
        <v>BCBS PAYABLE</v>
      </c>
    </row>
    <row r="2666" spans="5:8" x14ac:dyDescent="0.25">
      <c r="E2666" t="str">
        <f>""</f>
        <v/>
      </c>
      <c r="F2666" t="str">
        <f>""</f>
        <v/>
      </c>
      <c r="H2666" t="str">
        <f t="shared" si="43"/>
        <v>BCBS PAYABLE</v>
      </c>
    </row>
    <row r="2667" spans="5:8" x14ac:dyDescent="0.25">
      <c r="E2667" t="str">
        <f>""</f>
        <v/>
      </c>
      <c r="F2667" t="str">
        <f>""</f>
        <v/>
      </c>
      <c r="H2667" t="str">
        <f t="shared" si="43"/>
        <v>BCBS PAYABLE</v>
      </c>
    </row>
    <row r="2668" spans="5:8" x14ac:dyDescent="0.25">
      <c r="E2668" t="str">
        <f>""</f>
        <v/>
      </c>
      <c r="F2668" t="str">
        <f>""</f>
        <v/>
      </c>
      <c r="H2668" t="str">
        <f t="shared" si="43"/>
        <v>BCBS PAYABLE</v>
      </c>
    </row>
    <row r="2669" spans="5:8" x14ac:dyDescent="0.25">
      <c r="E2669" t="str">
        <f>""</f>
        <v/>
      </c>
      <c r="F2669" t="str">
        <f>""</f>
        <v/>
      </c>
      <c r="H2669" t="str">
        <f t="shared" si="43"/>
        <v>BCBS PAYABLE</v>
      </c>
    </row>
    <row r="2670" spans="5:8" x14ac:dyDescent="0.25">
      <c r="E2670" t="str">
        <f>""</f>
        <v/>
      </c>
      <c r="F2670" t="str">
        <f>""</f>
        <v/>
      </c>
      <c r="H2670" t="str">
        <f t="shared" si="43"/>
        <v>BCBS PAYABLE</v>
      </c>
    </row>
    <row r="2671" spans="5:8" x14ac:dyDescent="0.25">
      <c r="E2671" t="str">
        <f>""</f>
        <v/>
      </c>
      <c r="F2671" t="str">
        <f>""</f>
        <v/>
      </c>
      <c r="H2671" t="str">
        <f t="shared" si="43"/>
        <v>BCBS PAYABLE</v>
      </c>
    </row>
    <row r="2672" spans="5:8" x14ac:dyDescent="0.25">
      <c r="E2672" t="str">
        <f>""</f>
        <v/>
      </c>
      <c r="F2672" t="str">
        <f>""</f>
        <v/>
      </c>
      <c r="H2672" t="str">
        <f t="shared" si="43"/>
        <v>BCBS PAYABLE</v>
      </c>
    </row>
    <row r="2673" spans="5:8" x14ac:dyDescent="0.25">
      <c r="E2673" t="str">
        <f>""</f>
        <v/>
      </c>
      <c r="F2673" t="str">
        <f>""</f>
        <v/>
      </c>
      <c r="H2673" t="str">
        <f t="shared" si="43"/>
        <v>BCBS PAYABLE</v>
      </c>
    </row>
    <row r="2674" spans="5:8" x14ac:dyDescent="0.25">
      <c r="E2674" t="str">
        <f>""</f>
        <v/>
      </c>
      <c r="F2674" t="str">
        <f>""</f>
        <v/>
      </c>
      <c r="H2674" t="str">
        <f t="shared" si="43"/>
        <v>BCBS PAYABLE</v>
      </c>
    </row>
    <row r="2675" spans="5:8" x14ac:dyDescent="0.25">
      <c r="E2675" t="str">
        <f>""</f>
        <v/>
      </c>
      <c r="F2675" t="str">
        <f>""</f>
        <v/>
      </c>
      <c r="H2675" t="str">
        <f t="shared" si="43"/>
        <v>BCBS PAYABLE</v>
      </c>
    </row>
    <row r="2676" spans="5:8" x14ac:dyDescent="0.25">
      <c r="E2676" t="str">
        <f>""</f>
        <v/>
      </c>
      <c r="F2676" t="str">
        <f>""</f>
        <v/>
      </c>
      <c r="H2676" t="str">
        <f t="shared" si="43"/>
        <v>BCBS PAYABLE</v>
      </c>
    </row>
    <row r="2677" spans="5:8" x14ac:dyDescent="0.25">
      <c r="E2677" t="str">
        <f>""</f>
        <v/>
      </c>
      <c r="F2677" t="str">
        <f>""</f>
        <v/>
      </c>
      <c r="H2677" t="str">
        <f t="shared" si="43"/>
        <v>BCBS PAYABLE</v>
      </c>
    </row>
    <row r="2678" spans="5:8" x14ac:dyDescent="0.25">
      <c r="E2678" t="str">
        <f>""</f>
        <v/>
      </c>
      <c r="F2678" t="str">
        <f>""</f>
        <v/>
      </c>
      <c r="H2678" t="str">
        <f t="shared" si="43"/>
        <v>BCBS PAYABLE</v>
      </c>
    </row>
    <row r="2679" spans="5:8" x14ac:dyDescent="0.25">
      <c r="E2679" t="str">
        <f>""</f>
        <v/>
      </c>
      <c r="F2679" t="str">
        <f>""</f>
        <v/>
      </c>
      <c r="H2679" t="str">
        <f t="shared" si="43"/>
        <v>BCBS PAYABLE</v>
      </c>
    </row>
    <row r="2680" spans="5:8" x14ac:dyDescent="0.25">
      <c r="E2680" t="str">
        <f>""</f>
        <v/>
      </c>
      <c r="F2680" t="str">
        <f>""</f>
        <v/>
      </c>
      <c r="H2680" t="str">
        <f t="shared" si="43"/>
        <v>BCBS PAYABLE</v>
      </c>
    </row>
    <row r="2681" spans="5:8" x14ac:dyDescent="0.25">
      <c r="E2681" t="str">
        <f>""</f>
        <v/>
      </c>
      <c r="F2681" t="str">
        <f>""</f>
        <v/>
      </c>
      <c r="H2681" t="str">
        <f t="shared" si="43"/>
        <v>BCBS PAYABLE</v>
      </c>
    </row>
    <row r="2682" spans="5:8" x14ac:dyDescent="0.25">
      <c r="E2682" t="str">
        <f>""</f>
        <v/>
      </c>
      <c r="F2682" t="str">
        <f>""</f>
        <v/>
      </c>
      <c r="H2682" t="str">
        <f t="shared" si="43"/>
        <v>BCBS PAYABLE</v>
      </c>
    </row>
    <row r="2683" spans="5:8" x14ac:dyDescent="0.25">
      <c r="E2683" t="str">
        <f>""</f>
        <v/>
      </c>
      <c r="F2683" t="str">
        <f>""</f>
        <v/>
      </c>
      <c r="H2683" t="str">
        <f t="shared" si="43"/>
        <v>BCBS PAYABLE</v>
      </c>
    </row>
    <row r="2684" spans="5:8" x14ac:dyDescent="0.25">
      <c r="E2684" t="str">
        <f>""</f>
        <v/>
      </c>
      <c r="F2684" t="str">
        <f>""</f>
        <v/>
      </c>
      <c r="H2684" t="str">
        <f t="shared" si="43"/>
        <v>BCBS PAYABLE</v>
      </c>
    </row>
    <row r="2685" spans="5:8" x14ac:dyDescent="0.25">
      <c r="E2685" t="str">
        <f>""</f>
        <v/>
      </c>
      <c r="F2685" t="str">
        <f>""</f>
        <v/>
      </c>
      <c r="H2685" t="str">
        <f t="shared" si="43"/>
        <v>BCBS PAYABLE</v>
      </c>
    </row>
    <row r="2686" spans="5:8" x14ac:dyDescent="0.25">
      <c r="E2686" t="str">
        <f>""</f>
        <v/>
      </c>
      <c r="F2686" t="str">
        <f>""</f>
        <v/>
      </c>
      <c r="H2686" t="str">
        <f t="shared" si="43"/>
        <v>BCBS PAYABLE</v>
      </c>
    </row>
    <row r="2687" spans="5:8" x14ac:dyDescent="0.25">
      <c r="E2687" t="str">
        <f>""</f>
        <v/>
      </c>
      <c r="F2687" t="str">
        <f>""</f>
        <v/>
      </c>
      <c r="H2687" t="str">
        <f t="shared" si="43"/>
        <v>BCBS PAYABLE</v>
      </c>
    </row>
    <row r="2688" spans="5:8" x14ac:dyDescent="0.25">
      <c r="E2688" t="str">
        <f>""</f>
        <v/>
      </c>
      <c r="F2688" t="str">
        <f>""</f>
        <v/>
      </c>
      <c r="H2688" t="str">
        <f t="shared" si="43"/>
        <v>BCBS PAYABLE</v>
      </c>
    </row>
    <row r="2689" spans="5:8" x14ac:dyDescent="0.25">
      <c r="E2689" t="str">
        <f>""</f>
        <v/>
      </c>
      <c r="F2689" t="str">
        <f>""</f>
        <v/>
      </c>
      <c r="H2689" t="str">
        <f t="shared" si="43"/>
        <v>BCBS PAYABLE</v>
      </c>
    </row>
    <row r="2690" spans="5:8" x14ac:dyDescent="0.25">
      <c r="E2690" t="str">
        <f>""</f>
        <v/>
      </c>
      <c r="F2690" t="str">
        <f>""</f>
        <v/>
      </c>
      <c r="H2690" t="str">
        <f t="shared" si="43"/>
        <v>BCBS PAYABLE</v>
      </c>
    </row>
    <row r="2691" spans="5:8" x14ac:dyDescent="0.25">
      <c r="E2691" t="str">
        <f>""</f>
        <v/>
      </c>
      <c r="F2691" t="str">
        <f>""</f>
        <v/>
      </c>
      <c r="H2691" t="str">
        <f t="shared" si="43"/>
        <v>BCBS PAYABLE</v>
      </c>
    </row>
    <row r="2692" spans="5:8" x14ac:dyDescent="0.25">
      <c r="E2692" t="str">
        <f>""</f>
        <v/>
      </c>
      <c r="F2692" t="str">
        <f>""</f>
        <v/>
      </c>
      <c r="H2692" t="str">
        <f t="shared" si="43"/>
        <v>BCBS PAYABLE</v>
      </c>
    </row>
    <row r="2693" spans="5:8" x14ac:dyDescent="0.25">
      <c r="E2693" t="str">
        <f>""</f>
        <v/>
      </c>
      <c r="F2693" t="str">
        <f>""</f>
        <v/>
      </c>
      <c r="H2693" t="str">
        <f t="shared" si="43"/>
        <v>BCBS PAYABLE</v>
      </c>
    </row>
    <row r="2694" spans="5:8" x14ac:dyDescent="0.25">
      <c r="E2694" t="str">
        <f>""</f>
        <v/>
      </c>
      <c r="F2694" t="str">
        <f>""</f>
        <v/>
      </c>
      <c r="H2694" t="str">
        <f t="shared" si="43"/>
        <v>BCBS PAYABLE</v>
      </c>
    </row>
    <row r="2695" spans="5:8" x14ac:dyDescent="0.25">
      <c r="E2695" t="str">
        <f>"2EO201905159266"</f>
        <v>2EO201905159266</v>
      </c>
      <c r="F2695" t="str">
        <f>"BCBS PAYABLE"</f>
        <v>BCBS PAYABLE</v>
      </c>
      <c r="G2695" s="2">
        <v>3792.96</v>
      </c>
      <c r="H2695" t="str">
        <f t="shared" ref="H2695:H2727" si="44">"BCBS PAYABLE"</f>
        <v>BCBS PAYABLE</v>
      </c>
    </row>
    <row r="2696" spans="5:8" x14ac:dyDescent="0.25">
      <c r="E2696" t="str">
        <f>"2ES201904308908"</f>
        <v>2ES201904308908</v>
      </c>
      <c r="F2696" t="str">
        <f>"BCBS PAYABLE"</f>
        <v>BCBS PAYABLE</v>
      </c>
      <c r="G2696" s="2">
        <v>14581.2</v>
      </c>
      <c r="H2696" t="str">
        <f t="shared" si="44"/>
        <v>BCBS PAYABLE</v>
      </c>
    </row>
    <row r="2697" spans="5:8" x14ac:dyDescent="0.25">
      <c r="E2697" t="str">
        <f>""</f>
        <v/>
      </c>
      <c r="F2697" t="str">
        <f>""</f>
        <v/>
      </c>
      <c r="H2697" t="str">
        <f t="shared" si="44"/>
        <v>BCBS PAYABLE</v>
      </c>
    </row>
    <row r="2698" spans="5:8" x14ac:dyDescent="0.25">
      <c r="E2698" t="str">
        <f>""</f>
        <v/>
      </c>
      <c r="F2698" t="str">
        <f>""</f>
        <v/>
      </c>
      <c r="H2698" t="str">
        <f t="shared" si="44"/>
        <v>BCBS PAYABLE</v>
      </c>
    </row>
    <row r="2699" spans="5:8" x14ac:dyDescent="0.25">
      <c r="E2699" t="str">
        <f>""</f>
        <v/>
      </c>
      <c r="F2699" t="str">
        <f>""</f>
        <v/>
      </c>
      <c r="H2699" t="str">
        <f t="shared" si="44"/>
        <v>BCBS PAYABLE</v>
      </c>
    </row>
    <row r="2700" spans="5:8" x14ac:dyDescent="0.25">
      <c r="E2700" t="str">
        <f>""</f>
        <v/>
      </c>
      <c r="F2700" t="str">
        <f>""</f>
        <v/>
      </c>
      <c r="H2700" t="str">
        <f t="shared" si="44"/>
        <v>BCBS PAYABLE</v>
      </c>
    </row>
    <row r="2701" spans="5:8" x14ac:dyDescent="0.25">
      <c r="E2701" t="str">
        <f>""</f>
        <v/>
      </c>
      <c r="F2701" t="str">
        <f>""</f>
        <v/>
      </c>
      <c r="H2701" t="str">
        <f t="shared" si="44"/>
        <v>BCBS PAYABLE</v>
      </c>
    </row>
    <row r="2702" spans="5:8" x14ac:dyDescent="0.25">
      <c r="E2702" t="str">
        <f>""</f>
        <v/>
      </c>
      <c r="F2702" t="str">
        <f>""</f>
        <v/>
      </c>
      <c r="H2702" t="str">
        <f t="shared" si="44"/>
        <v>BCBS PAYABLE</v>
      </c>
    </row>
    <row r="2703" spans="5:8" x14ac:dyDescent="0.25">
      <c r="E2703" t="str">
        <f>""</f>
        <v/>
      </c>
      <c r="F2703" t="str">
        <f>""</f>
        <v/>
      </c>
      <c r="H2703" t="str">
        <f t="shared" si="44"/>
        <v>BCBS PAYABLE</v>
      </c>
    </row>
    <row r="2704" spans="5:8" x14ac:dyDescent="0.25">
      <c r="E2704" t="str">
        <f>""</f>
        <v/>
      </c>
      <c r="F2704" t="str">
        <f>""</f>
        <v/>
      </c>
      <c r="H2704" t="str">
        <f t="shared" si="44"/>
        <v>BCBS PAYABLE</v>
      </c>
    </row>
    <row r="2705" spans="5:8" x14ac:dyDescent="0.25">
      <c r="E2705" t="str">
        <f>""</f>
        <v/>
      </c>
      <c r="F2705" t="str">
        <f>""</f>
        <v/>
      </c>
      <c r="H2705" t="str">
        <f t="shared" si="44"/>
        <v>BCBS PAYABLE</v>
      </c>
    </row>
    <row r="2706" spans="5:8" x14ac:dyDescent="0.25">
      <c r="E2706" t="str">
        <f>""</f>
        <v/>
      </c>
      <c r="F2706" t="str">
        <f>""</f>
        <v/>
      </c>
      <c r="H2706" t="str">
        <f t="shared" si="44"/>
        <v>BCBS PAYABLE</v>
      </c>
    </row>
    <row r="2707" spans="5:8" x14ac:dyDescent="0.25">
      <c r="E2707" t="str">
        <f>""</f>
        <v/>
      </c>
      <c r="F2707" t="str">
        <f>""</f>
        <v/>
      </c>
      <c r="H2707" t="str">
        <f t="shared" si="44"/>
        <v>BCBS PAYABLE</v>
      </c>
    </row>
    <row r="2708" spans="5:8" x14ac:dyDescent="0.25">
      <c r="E2708" t="str">
        <f>""</f>
        <v/>
      </c>
      <c r="F2708" t="str">
        <f>""</f>
        <v/>
      </c>
      <c r="H2708" t="str">
        <f t="shared" si="44"/>
        <v>BCBS PAYABLE</v>
      </c>
    </row>
    <row r="2709" spans="5:8" x14ac:dyDescent="0.25">
      <c r="E2709" t="str">
        <f>""</f>
        <v/>
      </c>
      <c r="F2709" t="str">
        <f>""</f>
        <v/>
      </c>
      <c r="H2709" t="str">
        <f t="shared" si="44"/>
        <v>BCBS PAYABLE</v>
      </c>
    </row>
    <row r="2710" spans="5:8" x14ac:dyDescent="0.25">
      <c r="E2710" t="str">
        <f>""</f>
        <v/>
      </c>
      <c r="F2710" t="str">
        <f>""</f>
        <v/>
      </c>
      <c r="H2710" t="str">
        <f t="shared" si="44"/>
        <v>BCBS PAYABLE</v>
      </c>
    </row>
    <row r="2711" spans="5:8" x14ac:dyDescent="0.25">
      <c r="E2711" t="str">
        <f>""</f>
        <v/>
      </c>
      <c r="F2711" t="str">
        <f>""</f>
        <v/>
      </c>
      <c r="H2711" t="str">
        <f t="shared" si="44"/>
        <v>BCBS PAYABLE</v>
      </c>
    </row>
    <row r="2712" spans="5:8" x14ac:dyDescent="0.25">
      <c r="E2712" t="str">
        <f>"2ES201905159265"</f>
        <v>2ES201905159265</v>
      </c>
      <c r="F2712" t="str">
        <f>"BCBS PAYABLE"</f>
        <v>BCBS PAYABLE</v>
      </c>
      <c r="G2712" s="2">
        <v>14581.2</v>
      </c>
      <c r="H2712" t="str">
        <f t="shared" si="44"/>
        <v>BCBS PAYABLE</v>
      </c>
    </row>
    <row r="2713" spans="5:8" x14ac:dyDescent="0.25">
      <c r="E2713" t="str">
        <f>""</f>
        <v/>
      </c>
      <c r="F2713" t="str">
        <f>""</f>
        <v/>
      </c>
      <c r="H2713" t="str">
        <f t="shared" si="44"/>
        <v>BCBS PAYABLE</v>
      </c>
    </row>
    <row r="2714" spans="5:8" x14ac:dyDescent="0.25">
      <c r="E2714" t="str">
        <f>""</f>
        <v/>
      </c>
      <c r="F2714" t="str">
        <f>""</f>
        <v/>
      </c>
      <c r="H2714" t="str">
        <f t="shared" si="44"/>
        <v>BCBS PAYABLE</v>
      </c>
    </row>
    <row r="2715" spans="5:8" x14ac:dyDescent="0.25">
      <c r="E2715" t="str">
        <f>""</f>
        <v/>
      </c>
      <c r="F2715" t="str">
        <f>""</f>
        <v/>
      </c>
      <c r="H2715" t="str">
        <f t="shared" si="44"/>
        <v>BCBS PAYABLE</v>
      </c>
    </row>
    <row r="2716" spans="5:8" x14ac:dyDescent="0.25">
      <c r="E2716" t="str">
        <f>""</f>
        <v/>
      </c>
      <c r="F2716" t="str">
        <f>""</f>
        <v/>
      </c>
      <c r="H2716" t="str">
        <f t="shared" si="44"/>
        <v>BCBS PAYABLE</v>
      </c>
    </row>
    <row r="2717" spans="5:8" x14ac:dyDescent="0.25">
      <c r="E2717" t="str">
        <f>""</f>
        <v/>
      </c>
      <c r="F2717" t="str">
        <f>""</f>
        <v/>
      </c>
      <c r="H2717" t="str">
        <f t="shared" si="44"/>
        <v>BCBS PAYABLE</v>
      </c>
    </row>
    <row r="2718" spans="5:8" x14ac:dyDescent="0.25">
      <c r="E2718" t="str">
        <f>""</f>
        <v/>
      </c>
      <c r="F2718" t="str">
        <f>""</f>
        <v/>
      </c>
      <c r="H2718" t="str">
        <f t="shared" si="44"/>
        <v>BCBS PAYABLE</v>
      </c>
    </row>
    <row r="2719" spans="5:8" x14ac:dyDescent="0.25">
      <c r="E2719" t="str">
        <f>""</f>
        <v/>
      </c>
      <c r="F2719" t="str">
        <f>""</f>
        <v/>
      </c>
      <c r="H2719" t="str">
        <f t="shared" si="44"/>
        <v>BCBS PAYABLE</v>
      </c>
    </row>
    <row r="2720" spans="5:8" x14ac:dyDescent="0.25">
      <c r="E2720" t="str">
        <f>""</f>
        <v/>
      </c>
      <c r="F2720" t="str">
        <f>""</f>
        <v/>
      </c>
      <c r="H2720" t="str">
        <f t="shared" si="44"/>
        <v>BCBS PAYABLE</v>
      </c>
    </row>
    <row r="2721" spans="1:8" x14ac:dyDescent="0.25">
      <c r="E2721" t="str">
        <f>""</f>
        <v/>
      </c>
      <c r="F2721" t="str">
        <f>""</f>
        <v/>
      </c>
      <c r="H2721" t="str">
        <f t="shared" si="44"/>
        <v>BCBS PAYABLE</v>
      </c>
    </row>
    <row r="2722" spans="1:8" x14ac:dyDescent="0.25">
      <c r="E2722" t="str">
        <f>""</f>
        <v/>
      </c>
      <c r="F2722" t="str">
        <f>""</f>
        <v/>
      </c>
      <c r="H2722" t="str">
        <f t="shared" si="44"/>
        <v>BCBS PAYABLE</v>
      </c>
    </row>
    <row r="2723" spans="1:8" x14ac:dyDescent="0.25">
      <c r="E2723" t="str">
        <f>""</f>
        <v/>
      </c>
      <c r="F2723" t="str">
        <f>""</f>
        <v/>
      </c>
      <c r="H2723" t="str">
        <f t="shared" si="44"/>
        <v>BCBS PAYABLE</v>
      </c>
    </row>
    <row r="2724" spans="1:8" x14ac:dyDescent="0.25">
      <c r="E2724" t="str">
        <f>""</f>
        <v/>
      </c>
      <c r="F2724" t="str">
        <f>""</f>
        <v/>
      </c>
      <c r="H2724" t="str">
        <f t="shared" si="44"/>
        <v>BCBS PAYABLE</v>
      </c>
    </row>
    <row r="2725" spans="1:8" x14ac:dyDescent="0.25">
      <c r="E2725" t="str">
        <f>""</f>
        <v/>
      </c>
      <c r="F2725" t="str">
        <f>""</f>
        <v/>
      </c>
      <c r="H2725" t="str">
        <f t="shared" si="44"/>
        <v>BCBS PAYABLE</v>
      </c>
    </row>
    <row r="2726" spans="1:8" x14ac:dyDescent="0.25">
      <c r="E2726" t="str">
        <f>""</f>
        <v/>
      </c>
      <c r="F2726" t="str">
        <f>""</f>
        <v/>
      </c>
      <c r="H2726" t="str">
        <f t="shared" si="44"/>
        <v>BCBS PAYABLE</v>
      </c>
    </row>
    <row r="2727" spans="1:8" x14ac:dyDescent="0.25">
      <c r="E2727" t="str">
        <f>""</f>
        <v/>
      </c>
      <c r="F2727" t="str">
        <f>""</f>
        <v/>
      </c>
      <c r="H2727" t="str">
        <f t="shared" si="44"/>
        <v>BCBS PAYABLE</v>
      </c>
    </row>
    <row r="2728" spans="1:8" x14ac:dyDescent="0.25">
      <c r="A2728" t="s">
        <v>464</v>
      </c>
      <c r="B2728">
        <v>125</v>
      </c>
      <c r="C2728" s="2">
        <v>10357.83</v>
      </c>
      <c r="D2728" s="1">
        <v>43588</v>
      </c>
      <c r="E2728" t="str">
        <f>"FSA201904308908"</f>
        <v>FSA201904308908</v>
      </c>
      <c r="F2728" t="str">
        <f>"TASC FSA"</f>
        <v>TASC FSA</v>
      </c>
      <c r="G2728" s="2">
        <v>7400.26</v>
      </c>
      <c r="H2728" t="str">
        <f>"TASC FSA"</f>
        <v>TASC FSA</v>
      </c>
    </row>
    <row r="2729" spans="1:8" x14ac:dyDescent="0.25">
      <c r="E2729" t="str">
        <f>"FSA201904308909"</f>
        <v>FSA201904308909</v>
      </c>
      <c r="F2729" t="str">
        <f>"TASC FSA"</f>
        <v>TASC FSA</v>
      </c>
      <c r="G2729" s="2">
        <v>550.05999999999995</v>
      </c>
      <c r="H2729" t="str">
        <f>"TASC FSA"</f>
        <v>TASC FSA</v>
      </c>
    </row>
    <row r="2730" spans="1:8" x14ac:dyDescent="0.25">
      <c r="E2730" t="str">
        <f>"FSC201904308908"</f>
        <v>FSC201904308908</v>
      </c>
      <c r="F2730" t="str">
        <f>"TASC DEPENDENT CARE"</f>
        <v>TASC DEPENDENT CARE</v>
      </c>
      <c r="G2730" s="2">
        <v>513.96</v>
      </c>
      <c r="H2730" t="str">
        <f>"TASC DEPENDENT CARE"</f>
        <v>TASC DEPENDENT CARE</v>
      </c>
    </row>
    <row r="2731" spans="1:8" x14ac:dyDescent="0.25">
      <c r="E2731" t="str">
        <f>"FSF201904308908"</f>
        <v>FSF201904308908</v>
      </c>
      <c r="F2731" t="str">
        <f>"TASC - FSA  FEES"</f>
        <v>TASC - FSA  FEES</v>
      </c>
      <c r="G2731" s="2">
        <v>255.6</v>
      </c>
      <c r="H2731" t="str">
        <f t="shared" ref="H2731:H2768" si="45">"TASC - FSA  FEES"</f>
        <v>TASC - FSA  FEES</v>
      </c>
    </row>
    <row r="2732" spans="1:8" x14ac:dyDescent="0.25">
      <c r="E2732" t="str">
        <f>""</f>
        <v/>
      </c>
      <c r="F2732" t="str">
        <f>""</f>
        <v/>
      </c>
      <c r="H2732" t="str">
        <f t="shared" si="45"/>
        <v>TASC - FSA  FEES</v>
      </c>
    </row>
    <row r="2733" spans="1:8" x14ac:dyDescent="0.25">
      <c r="E2733" t="str">
        <f>""</f>
        <v/>
      </c>
      <c r="F2733" t="str">
        <f>""</f>
        <v/>
      </c>
      <c r="H2733" t="str">
        <f t="shared" si="45"/>
        <v>TASC - FSA  FEES</v>
      </c>
    </row>
    <row r="2734" spans="1:8" x14ac:dyDescent="0.25">
      <c r="E2734" t="str">
        <f>""</f>
        <v/>
      </c>
      <c r="F2734" t="str">
        <f>""</f>
        <v/>
      </c>
      <c r="H2734" t="str">
        <f t="shared" si="45"/>
        <v>TASC - FSA  FEES</v>
      </c>
    </row>
    <row r="2735" spans="1:8" x14ac:dyDescent="0.25">
      <c r="E2735" t="str">
        <f>""</f>
        <v/>
      </c>
      <c r="F2735" t="str">
        <f>""</f>
        <v/>
      </c>
      <c r="H2735" t="str">
        <f t="shared" si="45"/>
        <v>TASC - FSA  FEES</v>
      </c>
    </row>
    <row r="2736" spans="1:8" x14ac:dyDescent="0.25">
      <c r="E2736" t="str">
        <f>""</f>
        <v/>
      </c>
      <c r="F2736" t="str">
        <f>""</f>
        <v/>
      </c>
      <c r="H2736" t="str">
        <f t="shared" si="45"/>
        <v>TASC - FSA  FEES</v>
      </c>
    </row>
    <row r="2737" spans="5:8" x14ac:dyDescent="0.25">
      <c r="E2737" t="str">
        <f>""</f>
        <v/>
      </c>
      <c r="F2737" t="str">
        <f>""</f>
        <v/>
      </c>
      <c r="H2737" t="str">
        <f t="shared" si="45"/>
        <v>TASC - FSA  FEES</v>
      </c>
    </row>
    <row r="2738" spans="5:8" x14ac:dyDescent="0.25">
      <c r="E2738" t="str">
        <f>""</f>
        <v/>
      </c>
      <c r="F2738" t="str">
        <f>""</f>
        <v/>
      </c>
      <c r="H2738" t="str">
        <f t="shared" si="45"/>
        <v>TASC - FSA  FEES</v>
      </c>
    </row>
    <row r="2739" spans="5:8" x14ac:dyDescent="0.25">
      <c r="E2739" t="str">
        <f>""</f>
        <v/>
      </c>
      <c r="F2739" t="str">
        <f>""</f>
        <v/>
      </c>
      <c r="H2739" t="str">
        <f t="shared" si="45"/>
        <v>TASC - FSA  FEES</v>
      </c>
    </row>
    <row r="2740" spans="5:8" x14ac:dyDescent="0.25">
      <c r="E2740" t="str">
        <f>""</f>
        <v/>
      </c>
      <c r="F2740" t="str">
        <f>""</f>
        <v/>
      </c>
      <c r="H2740" t="str">
        <f t="shared" si="45"/>
        <v>TASC - FSA  FEES</v>
      </c>
    </row>
    <row r="2741" spans="5:8" x14ac:dyDescent="0.25">
      <c r="E2741" t="str">
        <f>""</f>
        <v/>
      </c>
      <c r="F2741" t="str">
        <f>""</f>
        <v/>
      </c>
      <c r="H2741" t="str">
        <f t="shared" si="45"/>
        <v>TASC - FSA  FEES</v>
      </c>
    </row>
    <row r="2742" spans="5:8" x14ac:dyDescent="0.25">
      <c r="E2742" t="str">
        <f>""</f>
        <v/>
      </c>
      <c r="F2742" t="str">
        <f>""</f>
        <v/>
      </c>
      <c r="H2742" t="str">
        <f t="shared" si="45"/>
        <v>TASC - FSA  FEES</v>
      </c>
    </row>
    <row r="2743" spans="5:8" x14ac:dyDescent="0.25">
      <c r="E2743" t="str">
        <f>""</f>
        <v/>
      </c>
      <c r="F2743" t="str">
        <f>""</f>
        <v/>
      </c>
      <c r="H2743" t="str">
        <f t="shared" si="45"/>
        <v>TASC - FSA  FEES</v>
      </c>
    </row>
    <row r="2744" spans="5:8" x14ac:dyDescent="0.25">
      <c r="E2744" t="str">
        <f>""</f>
        <v/>
      </c>
      <c r="F2744" t="str">
        <f>""</f>
        <v/>
      </c>
      <c r="H2744" t="str">
        <f t="shared" si="45"/>
        <v>TASC - FSA  FEES</v>
      </c>
    </row>
    <row r="2745" spans="5:8" x14ac:dyDescent="0.25">
      <c r="E2745" t="str">
        <f>""</f>
        <v/>
      </c>
      <c r="F2745" t="str">
        <f>""</f>
        <v/>
      </c>
      <c r="H2745" t="str">
        <f t="shared" si="45"/>
        <v>TASC - FSA  FEES</v>
      </c>
    </row>
    <row r="2746" spans="5:8" x14ac:dyDescent="0.25">
      <c r="E2746" t="str">
        <f>""</f>
        <v/>
      </c>
      <c r="F2746" t="str">
        <f>""</f>
        <v/>
      </c>
      <c r="H2746" t="str">
        <f t="shared" si="45"/>
        <v>TASC - FSA  FEES</v>
      </c>
    </row>
    <row r="2747" spans="5:8" x14ac:dyDescent="0.25">
      <c r="E2747" t="str">
        <f>""</f>
        <v/>
      </c>
      <c r="F2747" t="str">
        <f>""</f>
        <v/>
      </c>
      <c r="H2747" t="str">
        <f t="shared" si="45"/>
        <v>TASC - FSA  FEES</v>
      </c>
    </row>
    <row r="2748" spans="5:8" x14ac:dyDescent="0.25">
      <c r="E2748" t="str">
        <f>""</f>
        <v/>
      </c>
      <c r="F2748" t="str">
        <f>""</f>
        <v/>
      </c>
      <c r="H2748" t="str">
        <f t="shared" si="45"/>
        <v>TASC - FSA  FEES</v>
      </c>
    </row>
    <row r="2749" spans="5:8" x14ac:dyDescent="0.25">
      <c r="E2749" t="str">
        <f>""</f>
        <v/>
      </c>
      <c r="F2749" t="str">
        <f>""</f>
        <v/>
      </c>
      <c r="H2749" t="str">
        <f t="shared" si="45"/>
        <v>TASC - FSA  FEES</v>
      </c>
    </row>
    <row r="2750" spans="5:8" x14ac:dyDescent="0.25">
      <c r="E2750" t="str">
        <f>""</f>
        <v/>
      </c>
      <c r="F2750" t="str">
        <f>""</f>
        <v/>
      </c>
      <c r="H2750" t="str">
        <f t="shared" si="45"/>
        <v>TASC - FSA  FEES</v>
      </c>
    </row>
    <row r="2751" spans="5:8" x14ac:dyDescent="0.25">
      <c r="E2751" t="str">
        <f>""</f>
        <v/>
      </c>
      <c r="F2751" t="str">
        <f>""</f>
        <v/>
      </c>
      <c r="H2751" t="str">
        <f t="shared" si="45"/>
        <v>TASC - FSA  FEES</v>
      </c>
    </row>
    <row r="2752" spans="5:8" x14ac:dyDescent="0.25">
      <c r="E2752" t="str">
        <f>""</f>
        <v/>
      </c>
      <c r="F2752" t="str">
        <f>""</f>
        <v/>
      </c>
      <c r="H2752" t="str">
        <f t="shared" si="45"/>
        <v>TASC - FSA  FEES</v>
      </c>
    </row>
    <row r="2753" spans="5:8" x14ac:dyDescent="0.25">
      <c r="E2753" t="str">
        <f>""</f>
        <v/>
      </c>
      <c r="F2753" t="str">
        <f>""</f>
        <v/>
      </c>
      <c r="H2753" t="str">
        <f t="shared" si="45"/>
        <v>TASC - FSA  FEES</v>
      </c>
    </row>
    <row r="2754" spans="5:8" x14ac:dyDescent="0.25">
      <c r="E2754" t="str">
        <f>""</f>
        <v/>
      </c>
      <c r="F2754" t="str">
        <f>""</f>
        <v/>
      </c>
      <c r="H2754" t="str">
        <f t="shared" si="45"/>
        <v>TASC - FSA  FEES</v>
      </c>
    </row>
    <row r="2755" spans="5:8" x14ac:dyDescent="0.25">
      <c r="E2755" t="str">
        <f>""</f>
        <v/>
      </c>
      <c r="F2755" t="str">
        <f>""</f>
        <v/>
      </c>
      <c r="H2755" t="str">
        <f t="shared" si="45"/>
        <v>TASC - FSA  FEES</v>
      </c>
    </row>
    <row r="2756" spans="5:8" x14ac:dyDescent="0.25">
      <c r="E2756" t="str">
        <f>""</f>
        <v/>
      </c>
      <c r="F2756" t="str">
        <f>""</f>
        <v/>
      </c>
      <c r="H2756" t="str">
        <f t="shared" si="45"/>
        <v>TASC - FSA  FEES</v>
      </c>
    </row>
    <row r="2757" spans="5:8" x14ac:dyDescent="0.25">
      <c r="E2757" t="str">
        <f>""</f>
        <v/>
      </c>
      <c r="F2757" t="str">
        <f>""</f>
        <v/>
      </c>
      <c r="H2757" t="str">
        <f t="shared" si="45"/>
        <v>TASC - FSA  FEES</v>
      </c>
    </row>
    <row r="2758" spans="5:8" x14ac:dyDescent="0.25">
      <c r="E2758" t="str">
        <f>""</f>
        <v/>
      </c>
      <c r="F2758" t="str">
        <f>""</f>
        <v/>
      </c>
      <c r="H2758" t="str">
        <f t="shared" si="45"/>
        <v>TASC - FSA  FEES</v>
      </c>
    </row>
    <row r="2759" spans="5:8" x14ac:dyDescent="0.25">
      <c r="E2759" t="str">
        <f>""</f>
        <v/>
      </c>
      <c r="F2759" t="str">
        <f>""</f>
        <v/>
      </c>
      <c r="H2759" t="str">
        <f t="shared" si="45"/>
        <v>TASC - FSA  FEES</v>
      </c>
    </row>
    <row r="2760" spans="5:8" x14ac:dyDescent="0.25">
      <c r="E2760" t="str">
        <f>""</f>
        <v/>
      </c>
      <c r="F2760" t="str">
        <f>""</f>
        <v/>
      </c>
      <c r="H2760" t="str">
        <f t="shared" si="45"/>
        <v>TASC - FSA  FEES</v>
      </c>
    </row>
    <row r="2761" spans="5:8" x14ac:dyDescent="0.25">
      <c r="E2761" t="str">
        <f>""</f>
        <v/>
      </c>
      <c r="F2761" t="str">
        <f>""</f>
        <v/>
      </c>
      <c r="H2761" t="str">
        <f t="shared" si="45"/>
        <v>TASC - FSA  FEES</v>
      </c>
    </row>
    <row r="2762" spans="5:8" x14ac:dyDescent="0.25">
      <c r="E2762" t="str">
        <f>""</f>
        <v/>
      </c>
      <c r="F2762" t="str">
        <f>""</f>
        <v/>
      </c>
      <c r="H2762" t="str">
        <f t="shared" si="45"/>
        <v>TASC - FSA  FEES</v>
      </c>
    </row>
    <row r="2763" spans="5:8" x14ac:dyDescent="0.25">
      <c r="E2763" t="str">
        <f>""</f>
        <v/>
      </c>
      <c r="F2763" t="str">
        <f>""</f>
        <v/>
      </c>
      <c r="H2763" t="str">
        <f t="shared" si="45"/>
        <v>TASC - FSA  FEES</v>
      </c>
    </row>
    <row r="2764" spans="5:8" x14ac:dyDescent="0.25">
      <c r="E2764" t="str">
        <f>""</f>
        <v/>
      </c>
      <c r="F2764" t="str">
        <f>""</f>
        <v/>
      </c>
      <c r="H2764" t="str">
        <f t="shared" si="45"/>
        <v>TASC - FSA  FEES</v>
      </c>
    </row>
    <row r="2765" spans="5:8" x14ac:dyDescent="0.25">
      <c r="E2765" t="str">
        <f>""</f>
        <v/>
      </c>
      <c r="F2765" t="str">
        <f>""</f>
        <v/>
      </c>
      <c r="H2765" t="str">
        <f t="shared" si="45"/>
        <v>TASC - FSA  FEES</v>
      </c>
    </row>
    <row r="2766" spans="5:8" x14ac:dyDescent="0.25">
      <c r="E2766" t="str">
        <f>""</f>
        <v/>
      </c>
      <c r="F2766" t="str">
        <f>""</f>
        <v/>
      </c>
      <c r="H2766" t="str">
        <f t="shared" si="45"/>
        <v>TASC - FSA  FEES</v>
      </c>
    </row>
    <row r="2767" spans="5:8" x14ac:dyDescent="0.25">
      <c r="E2767" t="str">
        <f>""</f>
        <v/>
      </c>
      <c r="F2767" t="str">
        <f>""</f>
        <v/>
      </c>
      <c r="H2767" t="str">
        <f t="shared" si="45"/>
        <v>TASC - FSA  FEES</v>
      </c>
    </row>
    <row r="2768" spans="5:8" x14ac:dyDescent="0.25">
      <c r="E2768" t="str">
        <f>"FSF201904308909"</f>
        <v>FSF201904308909</v>
      </c>
      <c r="F2768" t="str">
        <f>"TASC - FSA  FEES"</f>
        <v>TASC - FSA  FEES</v>
      </c>
      <c r="G2768" s="2">
        <v>12.6</v>
      </c>
      <c r="H2768" t="str">
        <f t="shared" si="45"/>
        <v>TASC - FSA  FEES</v>
      </c>
    </row>
    <row r="2769" spans="5:8" x14ac:dyDescent="0.25">
      <c r="E2769" t="str">
        <f>"HRA201904308908"</f>
        <v>HRA201904308908</v>
      </c>
      <c r="F2769" t="str">
        <f>"TASC HRA"</f>
        <v>TASC HRA</v>
      </c>
      <c r="G2769" s="2">
        <v>833.35</v>
      </c>
      <c r="H2769" t="str">
        <f>"TASC HRA"</f>
        <v>TASC HRA</v>
      </c>
    </row>
    <row r="2770" spans="5:8" x14ac:dyDescent="0.25">
      <c r="E2770" t="str">
        <f>""</f>
        <v/>
      </c>
      <c r="F2770" t="str">
        <f>""</f>
        <v/>
      </c>
      <c r="H2770" t="str">
        <f>"TASC HRA"</f>
        <v>TASC HRA</v>
      </c>
    </row>
    <row r="2771" spans="5:8" x14ac:dyDescent="0.25">
      <c r="E2771" t="str">
        <f>""</f>
        <v/>
      </c>
      <c r="F2771" t="str">
        <f>""</f>
        <v/>
      </c>
      <c r="H2771" t="str">
        <f>"TASC HRA"</f>
        <v>TASC HRA</v>
      </c>
    </row>
    <row r="2772" spans="5:8" x14ac:dyDescent="0.25">
      <c r="E2772" t="str">
        <f>""</f>
        <v/>
      </c>
      <c r="F2772" t="str">
        <f>""</f>
        <v/>
      </c>
      <c r="H2772" t="str">
        <f>"TASC HRA"</f>
        <v>TASC HRA</v>
      </c>
    </row>
    <row r="2773" spans="5:8" x14ac:dyDescent="0.25">
      <c r="E2773" t="str">
        <f>"HRF201904308908"</f>
        <v>HRF201904308908</v>
      </c>
      <c r="F2773" t="str">
        <f>"TASC - HRA FEES"</f>
        <v>TASC - HRA FEES</v>
      </c>
      <c r="G2773" s="2">
        <v>763.2</v>
      </c>
      <c r="H2773" t="str">
        <f t="shared" ref="H2773:H2804" si="46">"TASC - HRA FEES"</f>
        <v>TASC - HRA FEES</v>
      </c>
    </row>
    <row r="2774" spans="5:8" x14ac:dyDescent="0.25">
      <c r="E2774" t="str">
        <f>""</f>
        <v/>
      </c>
      <c r="F2774" t="str">
        <f>""</f>
        <v/>
      </c>
      <c r="H2774" t="str">
        <f t="shared" si="46"/>
        <v>TASC - HRA FEES</v>
      </c>
    </row>
    <row r="2775" spans="5:8" x14ac:dyDescent="0.25">
      <c r="E2775" t="str">
        <f>""</f>
        <v/>
      </c>
      <c r="F2775" t="str">
        <f>""</f>
        <v/>
      </c>
      <c r="H2775" t="str">
        <f t="shared" si="46"/>
        <v>TASC - HRA FEES</v>
      </c>
    </row>
    <row r="2776" spans="5:8" x14ac:dyDescent="0.25">
      <c r="E2776" t="str">
        <f>""</f>
        <v/>
      </c>
      <c r="F2776" t="str">
        <f>""</f>
        <v/>
      </c>
      <c r="H2776" t="str">
        <f t="shared" si="46"/>
        <v>TASC - HRA FEES</v>
      </c>
    </row>
    <row r="2777" spans="5:8" x14ac:dyDescent="0.25">
      <c r="E2777" t="str">
        <f>""</f>
        <v/>
      </c>
      <c r="F2777" t="str">
        <f>""</f>
        <v/>
      </c>
      <c r="H2777" t="str">
        <f t="shared" si="46"/>
        <v>TASC - HRA FEES</v>
      </c>
    </row>
    <row r="2778" spans="5:8" x14ac:dyDescent="0.25">
      <c r="E2778" t="str">
        <f>""</f>
        <v/>
      </c>
      <c r="F2778" t="str">
        <f>""</f>
        <v/>
      </c>
      <c r="H2778" t="str">
        <f t="shared" si="46"/>
        <v>TASC - HRA FEES</v>
      </c>
    </row>
    <row r="2779" spans="5:8" x14ac:dyDescent="0.25">
      <c r="E2779" t="str">
        <f>""</f>
        <v/>
      </c>
      <c r="F2779" t="str">
        <f>""</f>
        <v/>
      </c>
      <c r="H2779" t="str">
        <f t="shared" si="46"/>
        <v>TASC - HRA FEES</v>
      </c>
    </row>
    <row r="2780" spans="5:8" x14ac:dyDescent="0.25">
      <c r="E2780" t="str">
        <f>""</f>
        <v/>
      </c>
      <c r="F2780" t="str">
        <f>""</f>
        <v/>
      </c>
      <c r="H2780" t="str">
        <f t="shared" si="46"/>
        <v>TASC - HRA FEES</v>
      </c>
    </row>
    <row r="2781" spans="5:8" x14ac:dyDescent="0.25">
      <c r="E2781" t="str">
        <f>""</f>
        <v/>
      </c>
      <c r="F2781" t="str">
        <f>""</f>
        <v/>
      </c>
      <c r="H2781" t="str">
        <f t="shared" si="46"/>
        <v>TASC - HRA FEES</v>
      </c>
    </row>
    <row r="2782" spans="5:8" x14ac:dyDescent="0.25">
      <c r="E2782" t="str">
        <f>""</f>
        <v/>
      </c>
      <c r="F2782" t="str">
        <f>""</f>
        <v/>
      </c>
      <c r="H2782" t="str">
        <f t="shared" si="46"/>
        <v>TASC - HRA FEES</v>
      </c>
    </row>
    <row r="2783" spans="5:8" x14ac:dyDescent="0.25">
      <c r="E2783" t="str">
        <f>""</f>
        <v/>
      </c>
      <c r="F2783" t="str">
        <f>""</f>
        <v/>
      </c>
      <c r="H2783" t="str">
        <f t="shared" si="46"/>
        <v>TASC - HRA FEES</v>
      </c>
    </row>
    <row r="2784" spans="5:8" x14ac:dyDescent="0.25">
      <c r="E2784" t="str">
        <f>""</f>
        <v/>
      </c>
      <c r="F2784" t="str">
        <f>""</f>
        <v/>
      </c>
      <c r="H2784" t="str">
        <f t="shared" si="46"/>
        <v>TASC - HRA FEES</v>
      </c>
    </row>
    <row r="2785" spans="5:8" x14ac:dyDescent="0.25">
      <c r="E2785" t="str">
        <f>""</f>
        <v/>
      </c>
      <c r="F2785" t="str">
        <f>""</f>
        <v/>
      </c>
      <c r="H2785" t="str">
        <f t="shared" si="46"/>
        <v>TASC - HRA FEES</v>
      </c>
    </row>
    <row r="2786" spans="5:8" x14ac:dyDescent="0.25">
      <c r="E2786" t="str">
        <f>""</f>
        <v/>
      </c>
      <c r="F2786" t="str">
        <f>""</f>
        <v/>
      </c>
      <c r="H2786" t="str">
        <f t="shared" si="46"/>
        <v>TASC - HRA FEES</v>
      </c>
    </row>
    <row r="2787" spans="5:8" x14ac:dyDescent="0.25">
      <c r="E2787" t="str">
        <f>""</f>
        <v/>
      </c>
      <c r="F2787" t="str">
        <f>""</f>
        <v/>
      </c>
      <c r="H2787" t="str">
        <f t="shared" si="46"/>
        <v>TASC - HRA FEES</v>
      </c>
    </row>
    <row r="2788" spans="5:8" x14ac:dyDescent="0.25">
      <c r="E2788" t="str">
        <f>""</f>
        <v/>
      </c>
      <c r="F2788" t="str">
        <f>""</f>
        <v/>
      </c>
      <c r="H2788" t="str">
        <f t="shared" si="46"/>
        <v>TASC - HRA FEES</v>
      </c>
    </row>
    <row r="2789" spans="5:8" x14ac:dyDescent="0.25">
      <c r="E2789" t="str">
        <f>""</f>
        <v/>
      </c>
      <c r="F2789" t="str">
        <f>""</f>
        <v/>
      </c>
      <c r="H2789" t="str">
        <f t="shared" si="46"/>
        <v>TASC - HRA FEES</v>
      </c>
    </row>
    <row r="2790" spans="5:8" x14ac:dyDescent="0.25">
      <c r="E2790" t="str">
        <f>""</f>
        <v/>
      </c>
      <c r="F2790" t="str">
        <f>""</f>
        <v/>
      </c>
      <c r="H2790" t="str">
        <f t="shared" si="46"/>
        <v>TASC - HRA FEES</v>
      </c>
    </row>
    <row r="2791" spans="5:8" x14ac:dyDescent="0.25">
      <c r="E2791" t="str">
        <f>""</f>
        <v/>
      </c>
      <c r="F2791" t="str">
        <f>""</f>
        <v/>
      </c>
      <c r="H2791" t="str">
        <f t="shared" si="46"/>
        <v>TASC - HRA FEES</v>
      </c>
    </row>
    <row r="2792" spans="5:8" x14ac:dyDescent="0.25">
      <c r="E2792" t="str">
        <f>""</f>
        <v/>
      </c>
      <c r="F2792" t="str">
        <f>""</f>
        <v/>
      </c>
      <c r="H2792" t="str">
        <f t="shared" si="46"/>
        <v>TASC - HRA FEES</v>
      </c>
    </row>
    <row r="2793" spans="5:8" x14ac:dyDescent="0.25">
      <c r="E2793" t="str">
        <f>""</f>
        <v/>
      </c>
      <c r="F2793" t="str">
        <f>""</f>
        <v/>
      </c>
      <c r="H2793" t="str">
        <f t="shared" si="46"/>
        <v>TASC - HRA FEES</v>
      </c>
    </row>
    <row r="2794" spans="5:8" x14ac:dyDescent="0.25">
      <c r="E2794" t="str">
        <f>""</f>
        <v/>
      </c>
      <c r="F2794" t="str">
        <f>""</f>
        <v/>
      </c>
      <c r="H2794" t="str">
        <f t="shared" si="46"/>
        <v>TASC - HRA FEES</v>
      </c>
    </row>
    <row r="2795" spans="5:8" x14ac:dyDescent="0.25">
      <c r="E2795" t="str">
        <f>""</f>
        <v/>
      </c>
      <c r="F2795" t="str">
        <f>""</f>
        <v/>
      </c>
      <c r="H2795" t="str">
        <f t="shared" si="46"/>
        <v>TASC - HRA FEES</v>
      </c>
    </row>
    <row r="2796" spans="5:8" x14ac:dyDescent="0.25">
      <c r="E2796" t="str">
        <f>""</f>
        <v/>
      </c>
      <c r="F2796" t="str">
        <f>""</f>
        <v/>
      </c>
      <c r="H2796" t="str">
        <f t="shared" si="46"/>
        <v>TASC - HRA FEES</v>
      </c>
    </row>
    <row r="2797" spans="5:8" x14ac:dyDescent="0.25">
      <c r="E2797" t="str">
        <f>""</f>
        <v/>
      </c>
      <c r="F2797" t="str">
        <f>""</f>
        <v/>
      </c>
      <c r="H2797" t="str">
        <f t="shared" si="46"/>
        <v>TASC - HRA FEES</v>
      </c>
    </row>
    <row r="2798" spans="5:8" x14ac:dyDescent="0.25">
      <c r="E2798" t="str">
        <f>""</f>
        <v/>
      </c>
      <c r="F2798" t="str">
        <f>""</f>
        <v/>
      </c>
      <c r="H2798" t="str">
        <f t="shared" si="46"/>
        <v>TASC - HRA FEES</v>
      </c>
    </row>
    <row r="2799" spans="5:8" x14ac:dyDescent="0.25">
      <c r="E2799" t="str">
        <f>""</f>
        <v/>
      </c>
      <c r="F2799" t="str">
        <f>""</f>
        <v/>
      </c>
      <c r="H2799" t="str">
        <f t="shared" si="46"/>
        <v>TASC - HRA FEES</v>
      </c>
    </row>
    <row r="2800" spans="5:8" x14ac:dyDescent="0.25">
      <c r="E2800" t="str">
        <f>""</f>
        <v/>
      </c>
      <c r="F2800" t="str">
        <f>""</f>
        <v/>
      </c>
      <c r="H2800" t="str">
        <f t="shared" si="46"/>
        <v>TASC - HRA FEES</v>
      </c>
    </row>
    <row r="2801" spans="5:8" x14ac:dyDescent="0.25">
      <c r="E2801" t="str">
        <f>""</f>
        <v/>
      </c>
      <c r="F2801" t="str">
        <f>""</f>
        <v/>
      </c>
      <c r="H2801" t="str">
        <f t="shared" si="46"/>
        <v>TASC - HRA FEES</v>
      </c>
    </row>
    <row r="2802" spans="5:8" x14ac:dyDescent="0.25">
      <c r="E2802" t="str">
        <f>""</f>
        <v/>
      </c>
      <c r="F2802" t="str">
        <f>""</f>
        <v/>
      </c>
      <c r="H2802" t="str">
        <f t="shared" si="46"/>
        <v>TASC - HRA FEES</v>
      </c>
    </row>
    <row r="2803" spans="5:8" x14ac:dyDescent="0.25">
      <c r="E2803" t="str">
        <f>""</f>
        <v/>
      </c>
      <c r="F2803" t="str">
        <f>""</f>
        <v/>
      </c>
      <c r="H2803" t="str">
        <f t="shared" si="46"/>
        <v>TASC - HRA FEES</v>
      </c>
    </row>
    <row r="2804" spans="5:8" x14ac:dyDescent="0.25">
      <c r="E2804" t="str">
        <f>""</f>
        <v/>
      </c>
      <c r="F2804" t="str">
        <f>""</f>
        <v/>
      </c>
      <c r="H2804" t="str">
        <f t="shared" si="46"/>
        <v>TASC - HRA FEES</v>
      </c>
    </row>
    <row r="2805" spans="5:8" x14ac:dyDescent="0.25">
      <c r="E2805" t="str">
        <f>""</f>
        <v/>
      </c>
      <c r="F2805" t="str">
        <f>""</f>
        <v/>
      </c>
      <c r="H2805" t="str">
        <f t="shared" ref="H2805:H2822" si="47">"TASC - HRA FEES"</f>
        <v>TASC - HRA FEES</v>
      </c>
    </row>
    <row r="2806" spans="5:8" x14ac:dyDescent="0.25">
      <c r="E2806" t="str">
        <f>""</f>
        <v/>
      </c>
      <c r="F2806" t="str">
        <f>""</f>
        <v/>
      </c>
      <c r="H2806" t="str">
        <f t="shared" si="47"/>
        <v>TASC - HRA FEES</v>
      </c>
    </row>
    <row r="2807" spans="5:8" x14ac:dyDescent="0.25">
      <c r="E2807" t="str">
        <f>""</f>
        <v/>
      </c>
      <c r="F2807" t="str">
        <f>""</f>
        <v/>
      </c>
      <c r="H2807" t="str">
        <f t="shared" si="47"/>
        <v>TASC - HRA FEES</v>
      </c>
    </row>
    <row r="2808" spans="5:8" x14ac:dyDescent="0.25">
      <c r="E2808" t="str">
        <f>""</f>
        <v/>
      </c>
      <c r="F2808" t="str">
        <f>""</f>
        <v/>
      </c>
      <c r="H2808" t="str">
        <f t="shared" si="47"/>
        <v>TASC - HRA FEES</v>
      </c>
    </row>
    <row r="2809" spans="5:8" x14ac:dyDescent="0.25">
      <c r="E2809" t="str">
        <f>""</f>
        <v/>
      </c>
      <c r="F2809" t="str">
        <f>""</f>
        <v/>
      </c>
      <c r="H2809" t="str">
        <f t="shared" si="47"/>
        <v>TASC - HRA FEES</v>
      </c>
    </row>
    <row r="2810" spans="5:8" x14ac:dyDescent="0.25">
      <c r="E2810" t="str">
        <f>""</f>
        <v/>
      </c>
      <c r="F2810" t="str">
        <f>""</f>
        <v/>
      </c>
      <c r="H2810" t="str">
        <f t="shared" si="47"/>
        <v>TASC - HRA FEES</v>
      </c>
    </row>
    <row r="2811" spans="5:8" x14ac:dyDescent="0.25">
      <c r="E2811" t="str">
        <f>""</f>
        <v/>
      </c>
      <c r="F2811" t="str">
        <f>""</f>
        <v/>
      </c>
      <c r="H2811" t="str">
        <f t="shared" si="47"/>
        <v>TASC - HRA FEES</v>
      </c>
    </row>
    <row r="2812" spans="5:8" x14ac:dyDescent="0.25">
      <c r="E2812" t="str">
        <f>""</f>
        <v/>
      </c>
      <c r="F2812" t="str">
        <f>""</f>
        <v/>
      </c>
      <c r="H2812" t="str">
        <f t="shared" si="47"/>
        <v>TASC - HRA FEES</v>
      </c>
    </row>
    <row r="2813" spans="5:8" x14ac:dyDescent="0.25">
      <c r="E2813" t="str">
        <f>""</f>
        <v/>
      </c>
      <c r="F2813" t="str">
        <f>""</f>
        <v/>
      </c>
      <c r="H2813" t="str">
        <f t="shared" si="47"/>
        <v>TASC - HRA FEES</v>
      </c>
    </row>
    <row r="2814" spans="5:8" x14ac:dyDescent="0.25">
      <c r="E2814" t="str">
        <f>""</f>
        <v/>
      </c>
      <c r="F2814" t="str">
        <f>""</f>
        <v/>
      </c>
      <c r="H2814" t="str">
        <f t="shared" si="47"/>
        <v>TASC - HRA FEES</v>
      </c>
    </row>
    <row r="2815" spans="5:8" x14ac:dyDescent="0.25">
      <c r="E2815" t="str">
        <f>""</f>
        <v/>
      </c>
      <c r="F2815" t="str">
        <f>""</f>
        <v/>
      </c>
      <c r="H2815" t="str">
        <f t="shared" si="47"/>
        <v>TASC - HRA FEES</v>
      </c>
    </row>
    <row r="2816" spans="5:8" x14ac:dyDescent="0.25">
      <c r="E2816" t="str">
        <f>""</f>
        <v/>
      </c>
      <c r="F2816" t="str">
        <f>""</f>
        <v/>
      </c>
      <c r="H2816" t="str">
        <f t="shared" si="47"/>
        <v>TASC - HRA FEES</v>
      </c>
    </row>
    <row r="2817" spans="1:8" x14ac:dyDescent="0.25">
      <c r="E2817" t="str">
        <f>""</f>
        <v/>
      </c>
      <c r="F2817" t="str">
        <f>""</f>
        <v/>
      </c>
      <c r="H2817" t="str">
        <f t="shared" si="47"/>
        <v>TASC - HRA FEES</v>
      </c>
    </row>
    <row r="2818" spans="1:8" x14ac:dyDescent="0.25">
      <c r="E2818" t="str">
        <f>""</f>
        <v/>
      </c>
      <c r="F2818" t="str">
        <f>""</f>
        <v/>
      </c>
      <c r="H2818" t="str">
        <f t="shared" si="47"/>
        <v>TASC - HRA FEES</v>
      </c>
    </row>
    <row r="2819" spans="1:8" x14ac:dyDescent="0.25">
      <c r="E2819" t="str">
        <f>""</f>
        <v/>
      </c>
      <c r="F2819" t="str">
        <f>""</f>
        <v/>
      </c>
      <c r="H2819" t="str">
        <f t="shared" si="47"/>
        <v>TASC - HRA FEES</v>
      </c>
    </row>
    <row r="2820" spans="1:8" x14ac:dyDescent="0.25">
      <c r="E2820" t="str">
        <f>""</f>
        <v/>
      </c>
      <c r="F2820" t="str">
        <f>""</f>
        <v/>
      </c>
      <c r="H2820" t="str">
        <f t="shared" si="47"/>
        <v>TASC - HRA FEES</v>
      </c>
    </row>
    <row r="2821" spans="1:8" x14ac:dyDescent="0.25">
      <c r="E2821" t="str">
        <f>""</f>
        <v/>
      </c>
      <c r="F2821" t="str">
        <f>""</f>
        <v/>
      </c>
      <c r="H2821" t="str">
        <f t="shared" si="47"/>
        <v>TASC - HRA FEES</v>
      </c>
    </row>
    <row r="2822" spans="1:8" x14ac:dyDescent="0.25">
      <c r="E2822" t="str">
        <f>"HRF201904308909"</f>
        <v>HRF201904308909</v>
      </c>
      <c r="F2822" t="str">
        <f>"TASC - HRA FEES"</f>
        <v>TASC - HRA FEES</v>
      </c>
      <c r="G2822" s="2">
        <v>28.8</v>
      </c>
      <c r="H2822" t="str">
        <f t="shared" si="47"/>
        <v>TASC - HRA FEES</v>
      </c>
    </row>
    <row r="2823" spans="1:8" x14ac:dyDescent="0.25">
      <c r="A2823" t="s">
        <v>464</v>
      </c>
      <c r="B2823">
        <v>133</v>
      </c>
      <c r="C2823" s="2">
        <v>9526.2800000000007</v>
      </c>
      <c r="D2823" s="1">
        <v>43602</v>
      </c>
      <c r="E2823" t="str">
        <f>"FSA201905159265"</f>
        <v>FSA201905159265</v>
      </c>
      <c r="F2823" t="str">
        <f>"TASC FSA"</f>
        <v>TASC FSA</v>
      </c>
      <c r="G2823" s="2">
        <v>7400.26</v>
      </c>
      <c r="H2823" t="str">
        <f>"TASC FSA"</f>
        <v>TASC FSA</v>
      </c>
    </row>
    <row r="2824" spans="1:8" x14ac:dyDescent="0.25">
      <c r="E2824" t="str">
        <f>"FSA201905159266"</f>
        <v>FSA201905159266</v>
      </c>
      <c r="F2824" t="str">
        <f>"TASC FSA"</f>
        <v>TASC FSA</v>
      </c>
      <c r="G2824" s="2">
        <v>550.05999999999995</v>
      </c>
      <c r="H2824" t="str">
        <f>"TASC FSA"</f>
        <v>TASC FSA</v>
      </c>
    </row>
    <row r="2825" spans="1:8" x14ac:dyDescent="0.25">
      <c r="E2825" t="str">
        <f>"FSC201905159265"</f>
        <v>FSC201905159265</v>
      </c>
      <c r="F2825" t="str">
        <f>"TASC DEPENDENT CARE"</f>
        <v>TASC DEPENDENT CARE</v>
      </c>
      <c r="G2825" s="2">
        <v>513.96</v>
      </c>
      <c r="H2825" t="str">
        <f>"TASC DEPENDENT CARE"</f>
        <v>TASC DEPENDENT CARE</v>
      </c>
    </row>
    <row r="2826" spans="1:8" x14ac:dyDescent="0.25">
      <c r="E2826" t="str">
        <f>"FSF201905159265"</f>
        <v>FSF201905159265</v>
      </c>
      <c r="F2826" t="str">
        <f>"TASC - FSA  FEES"</f>
        <v>TASC - FSA  FEES</v>
      </c>
      <c r="G2826" s="2">
        <v>255.6</v>
      </c>
      <c r="H2826" t="str">
        <f t="shared" ref="H2826:H2864" si="48">"TASC - FSA  FEES"</f>
        <v>TASC - FSA  FEES</v>
      </c>
    </row>
    <row r="2827" spans="1:8" x14ac:dyDescent="0.25">
      <c r="E2827" t="str">
        <f>""</f>
        <v/>
      </c>
      <c r="F2827" t="str">
        <f>""</f>
        <v/>
      </c>
      <c r="H2827" t="str">
        <f t="shared" si="48"/>
        <v>TASC - FSA  FEES</v>
      </c>
    </row>
    <row r="2828" spans="1:8" x14ac:dyDescent="0.25">
      <c r="E2828" t="str">
        <f>""</f>
        <v/>
      </c>
      <c r="F2828" t="str">
        <f>""</f>
        <v/>
      </c>
      <c r="H2828" t="str">
        <f t="shared" si="48"/>
        <v>TASC - FSA  FEES</v>
      </c>
    </row>
    <row r="2829" spans="1:8" x14ac:dyDescent="0.25">
      <c r="E2829" t="str">
        <f>""</f>
        <v/>
      </c>
      <c r="F2829" t="str">
        <f>""</f>
        <v/>
      </c>
      <c r="H2829" t="str">
        <f t="shared" si="48"/>
        <v>TASC - FSA  FEES</v>
      </c>
    </row>
    <row r="2830" spans="1:8" x14ac:dyDescent="0.25">
      <c r="E2830" t="str">
        <f>""</f>
        <v/>
      </c>
      <c r="F2830" t="str">
        <f>""</f>
        <v/>
      </c>
      <c r="H2830" t="str">
        <f t="shared" si="48"/>
        <v>TASC - FSA  FEES</v>
      </c>
    </row>
    <row r="2831" spans="1:8" x14ac:dyDescent="0.25">
      <c r="E2831" t="str">
        <f>""</f>
        <v/>
      </c>
      <c r="F2831" t="str">
        <f>""</f>
        <v/>
      </c>
      <c r="H2831" t="str">
        <f t="shared" si="48"/>
        <v>TASC - FSA  FEES</v>
      </c>
    </row>
    <row r="2832" spans="1:8" x14ac:dyDescent="0.25">
      <c r="E2832" t="str">
        <f>""</f>
        <v/>
      </c>
      <c r="F2832" t="str">
        <f>""</f>
        <v/>
      </c>
      <c r="H2832" t="str">
        <f t="shared" si="48"/>
        <v>TASC - FSA  FEES</v>
      </c>
    </row>
    <row r="2833" spans="5:8" x14ac:dyDescent="0.25">
      <c r="E2833" t="str">
        <f>""</f>
        <v/>
      </c>
      <c r="F2833" t="str">
        <f>""</f>
        <v/>
      </c>
      <c r="H2833" t="str">
        <f t="shared" si="48"/>
        <v>TASC - FSA  FEES</v>
      </c>
    </row>
    <row r="2834" spans="5:8" x14ac:dyDescent="0.25">
      <c r="E2834" t="str">
        <f>""</f>
        <v/>
      </c>
      <c r="F2834" t="str">
        <f>""</f>
        <v/>
      </c>
      <c r="H2834" t="str">
        <f t="shared" si="48"/>
        <v>TASC - FSA  FEES</v>
      </c>
    </row>
    <row r="2835" spans="5:8" x14ac:dyDescent="0.25">
      <c r="E2835" t="str">
        <f>""</f>
        <v/>
      </c>
      <c r="F2835" t="str">
        <f>""</f>
        <v/>
      </c>
      <c r="H2835" t="str">
        <f t="shared" si="48"/>
        <v>TASC - FSA  FEES</v>
      </c>
    </row>
    <row r="2836" spans="5:8" x14ac:dyDescent="0.25">
      <c r="E2836" t="str">
        <f>""</f>
        <v/>
      </c>
      <c r="F2836" t="str">
        <f>""</f>
        <v/>
      </c>
      <c r="H2836" t="str">
        <f t="shared" si="48"/>
        <v>TASC - FSA  FEES</v>
      </c>
    </row>
    <row r="2837" spans="5:8" x14ac:dyDescent="0.25">
      <c r="E2837" t="str">
        <f>""</f>
        <v/>
      </c>
      <c r="F2837" t="str">
        <f>""</f>
        <v/>
      </c>
      <c r="H2837" t="str">
        <f t="shared" si="48"/>
        <v>TASC - FSA  FEES</v>
      </c>
    </row>
    <row r="2838" spans="5:8" x14ac:dyDescent="0.25">
      <c r="E2838" t="str">
        <f>""</f>
        <v/>
      </c>
      <c r="F2838" t="str">
        <f>""</f>
        <v/>
      </c>
      <c r="H2838" t="str">
        <f t="shared" si="48"/>
        <v>TASC - FSA  FEES</v>
      </c>
    </row>
    <row r="2839" spans="5:8" x14ac:dyDescent="0.25">
      <c r="E2839" t="str">
        <f>""</f>
        <v/>
      </c>
      <c r="F2839" t="str">
        <f>""</f>
        <v/>
      </c>
      <c r="H2839" t="str">
        <f t="shared" si="48"/>
        <v>TASC - FSA  FEES</v>
      </c>
    </row>
    <row r="2840" spans="5:8" x14ac:dyDescent="0.25">
      <c r="E2840" t="str">
        <f>""</f>
        <v/>
      </c>
      <c r="F2840" t="str">
        <f>""</f>
        <v/>
      </c>
      <c r="H2840" t="str">
        <f t="shared" si="48"/>
        <v>TASC - FSA  FEES</v>
      </c>
    </row>
    <row r="2841" spans="5:8" x14ac:dyDescent="0.25">
      <c r="E2841" t="str">
        <f>""</f>
        <v/>
      </c>
      <c r="F2841" t="str">
        <f>""</f>
        <v/>
      </c>
      <c r="H2841" t="str">
        <f t="shared" si="48"/>
        <v>TASC - FSA  FEES</v>
      </c>
    </row>
    <row r="2842" spans="5:8" x14ac:dyDescent="0.25">
      <c r="E2842" t="str">
        <f>""</f>
        <v/>
      </c>
      <c r="F2842" t="str">
        <f>""</f>
        <v/>
      </c>
      <c r="H2842" t="str">
        <f t="shared" si="48"/>
        <v>TASC - FSA  FEES</v>
      </c>
    </row>
    <row r="2843" spans="5:8" x14ac:dyDescent="0.25">
      <c r="E2843" t="str">
        <f>""</f>
        <v/>
      </c>
      <c r="F2843" t="str">
        <f>""</f>
        <v/>
      </c>
      <c r="H2843" t="str">
        <f t="shared" si="48"/>
        <v>TASC - FSA  FEES</v>
      </c>
    </row>
    <row r="2844" spans="5:8" x14ac:dyDescent="0.25">
      <c r="E2844" t="str">
        <f>""</f>
        <v/>
      </c>
      <c r="F2844" t="str">
        <f>""</f>
        <v/>
      </c>
      <c r="H2844" t="str">
        <f t="shared" si="48"/>
        <v>TASC - FSA  FEES</v>
      </c>
    </row>
    <row r="2845" spans="5:8" x14ac:dyDescent="0.25">
      <c r="E2845" t="str">
        <f>""</f>
        <v/>
      </c>
      <c r="F2845" t="str">
        <f>""</f>
        <v/>
      </c>
      <c r="H2845" t="str">
        <f t="shared" si="48"/>
        <v>TASC - FSA  FEES</v>
      </c>
    </row>
    <row r="2846" spans="5:8" x14ac:dyDescent="0.25">
      <c r="E2846" t="str">
        <f>""</f>
        <v/>
      </c>
      <c r="F2846" t="str">
        <f>""</f>
        <v/>
      </c>
      <c r="H2846" t="str">
        <f t="shared" si="48"/>
        <v>TASC - FSA  FEES</v>
      </c>
    </row>
    <row r="2847" spans="5:8" x14ac:dyDescent="0.25">
      <c r="E2847" t="str">
        <f>""</f>
        <v/>
      </c>
      <c r="F2847" t="str">
        <f>""</f>
        <v/>
      </c>
      <c r="H2847" t="str">
        <f t="shared" si="48"/>
        <v>TASC - FSA  FEES</v>
      </c>
    </row>
    <row r="2848" spans="5:8" x14ac:dyDescent="0.25">
      <c r="E2848" t="str">
        <f>""</f>
        <v/>
      </c>
      <c r="F2848" t="str">
        <f>""</f>
        <v/>
      </c>
      <c r="H2848" t="str">
        <f t="shared" si="48"/>
        <v>TASC - FSA  FEES</v>
      </c>
    </row>
    <row r="2849" spans="5:8" x14ac:dyDescent="0.25">
      <c r="E2849" t="str">
        <f>""</f>
        <v/>
      </c>
      <c r="F2849" t="str">
        <f>""</f>
        <v/>
      </c>
      <c r="H2849" t="str">
        <f t="shared" si="48"/>
        <v>TASC - FSA  FEES</v>
      </c>
    </row>
    <row r="2850" spans="5:8" x14ac:dyDescent="0.25">
      <c r="E2850" t="str">
        <f>""</f>
        <v/>
      </c>
      <c r="F2850" t="str">
        <f>""</f>
        <v/>
      </c>
      <c r="H2850" t="str">
        <f t="shared" si="48"/>
        <v>TASC - FSA  FEES</v>
      </c>
    </row>
    <row r="2851" spans="5:8" x14ac:dyDescent="0.25">
      <c r="E2851" t="str">
        <f>""</f>
        <v/>
      </c>
      <c r="F2851" t="str">
        <f>""</f>
        <v/>
      </c>
      <c r="H2851" t="str">
        <f t="shared" si="48"/>
        <v>TASC - FSA  FEES</v>
      </c>
    </row>
    <row r="2852" spans="5:8" x14ac:dyDescent="0.25">
      <c r="E2852" t="str">
        <f>""</f>
        <v/>
      </c>
      <c r="F2852" t="str">
        <f>""</f>
        <v/>
      </c>
      <c r="H2852" t="str">
        <f t="shared" si="48"/>
        <v>TASC - FSA  FEES</v>
      </c>
    </row>
    <row r="2853" spans="5:8" x14ac:dyDescent="0.25">
      <c r="E2853" t="str">
        <f>""</f>
        <v/>
      </c>
      <c r="F2853" t="str">
        <f>""</f>
        <v/>
      </c>
      <c r="H2853" t="str">
        <f t="shared" si="48"/>
        <v>TASC - FSA  FEES</v>
      </c>
    </row>
    <row r="2854" spans="5:8" x14ac:dyDescent="0.25">
      <c r="E2854" t="str">
        <f>""</f>
        <v/>
      </c>
      <c r="F2854" t="str">
        <f>""</f>
        <v/>
      </c>
      <c r="H2854" t="str">
        <f t="shared" si="48"/>
        <v>TASC - FSA  FEES</v>
      </c>
    </row>
    <row r="2855" spans="5:8" x14ac:dyDescent="0.25">
      <c r="E2855" t="str">
        <f>""</f>
        <v/>
      </c>
      <c r="F2855" t="str">
        <f>""</f>
        <v/>
      </c>
      <c r="H2855" t="str">
        <f t="shared" si="48"/>
        <v>TASC - FSA  FEES</v>
      </c>
    </row>
    <row r="2856" spans="5:8" x14ac:dyDescent="0.25">
      <c r="E2856" t="str">
        <f>""</f>
        <v/>
      </c>
      <c r="F2856" t="str">
        <f>""</f>
        <v/>
      </c>
      <c r="H2856" t="str">
        <f t="shared" si="48"/>
        <v>TASC - FSA  FEES</v>
      </c>
    </row>
    <row r="2857" spans="5:8" x14ac:dyDescent="0.25">
      <c r="E2857" t="str">
        <f>""</f>
        <v/>
      </c>
      <c r="F2857" t="str">
        <f>""</f>
        <v/>
      </c>
      <c r="H2857" t="str">
        <f t="shared" si="48"/>
        <v>TASC - FSA  FEES</v>
      </c>
    </row>
    <row r="2858" spans="5:8" x14ac:dyDescent="0.25">
      <c r="E2858" t="str">
        <f>""</f>
        <v/>
      </c>
      <c r="F2858" t="str">
        <f>""</f>
        <v/>
      </c>
      <c r="H2858" t="str">
        <f t="shared" si="48"/>
        <v>TASC - FSA  FEES</v>
      </c>
    </row>
    <row r="2859" spans="5:8" x14ac:dyDescent="0.25">
      <c r="E2859" t="str">
        <f>""</f>
        <v/>
      </c>
      <c r="F2859" t="str">
        <f>""</f>
        <v/>
      </c>
      <c r="H2859" t="str">
        <f t="shared" si="48"/>
        <v>TASC - FSA  FEES</v>
      </c>
    </row>
    <row r="2860" spans="5:8" x14ac:dyDescent="0.25">
      <c r="E2860" t="str">
        <f>""</f>
        <v/>
      </c>
      <c r="F2860" t="str">
        <f>""</f>
        <v/>
      </c>
      <c r="H2860" t="str">
        <f t="shared" si="48"/>
        <v>TASC - FSA  FEES</v>
      </c>
    </row>
    <row r="2861" spans="5:8" x14ac:dyDescent="0.25">
      <c r="E2861" t="str">
        <f>""</f>
        <v/>
      </c>
      <c r="F2861" t="str">
        <f>""</f>
        <v/>
      </c>
      <c r="H2861" t="str">
        <f t="shared" si="48"/>
        <v>TASC - FSA  FEES</v>
      </c>
    </row>
    <row r="2862" spans="5:8" x14ac:dyDescent="0.25">
      <c r="E2862" t="str">
        <f>""</f>
        <v/>
      </c>
      <c r="F2862" t="str">
        <f>""</f>
        <v/>
      </c>
      <c r="H2862" t="str">
        <f t="shared" si="48"/>
        <v>TASC - FSA  FEES</v>
      </c>
    </row>
    <row r="2863" spans="5:8" x14ac:dyDescent="0.25">
      <c r="E2863" t="str">
        <f>""</f>
        <v/>
      </c>
      <c r="F2863" t="str">
        <f>""</f>
        <v/>
      </c>
      <c r="H2863" t="str">
        <f t="shared" si="48"/>
        <v>TASC - FSA  FEES</v>
      </c>
    </row>
    <row r="2864" spans="5:8" x14ac:dyDescent="0.25">
      <c r="E2864" t="str">
        <f>"FSF201905159266"</f>
        <v>FSF201905159266</v>
      </c>
      <c r="F2864" t="str">
        <f>"TASC - FSA  FEES"</f>
        <v>TASC - FSA  FEES</v>
      </c>
      <c r="G2864" s="2">
        <v>12.6</v>
      </c>
      <c r="H2864" t="str">
        <f t="shared" si="48"/>
        <v>TASC - FSA  FEES</v>
      </c>
    </row>
    <row r="2865" spans="5:8" x14ac:dyDescent="0.25">
      <c r="E2865" t="str">
        <f>"HRF201905159265"</f>
        <v>HRF201905159265</v>
      </c>
      <c r="F2865" t="str">
        <f>"TASC - HRA FEES"</f>
        <v>TASC - HRA FEES</v>
      </c>
      <c r="G2865" s="2">
        <v>765</v>
      </c>
      <c r="H2865" t="str">
        <f t="shared" ref="H2865:H2896" si="49">"TASC - HRA FEES"</f>
        <v>TASC - HRA FEES</v>
      </c>
    </row>
    <row r="2866" spans="5:8" x14ac:dyDescent="0.25">
      <c r="E2866" t="str">
        <f>""</f>
        <v/>
      </c>
      <c r="F2866" t="str">
        <f>""</f>
        <v/>
      </c>
      <c r="H2866" t="str">
        <f t="shared" si="49"/>
        <v>TASC - HRA FEES</v>
      </c>
    </row>
    <row r="2867" spans="5:8" x14ac:dyDescent="0.25">
      <c r="E2867" t="str">
        <f>""</f>
        <v/>
      </c>
      <c r="F2867" t="str">
        <f>""</f>
        <v/>
      </c>
      <c r="H2867" t="str">
        <f t="shared" si="49"/>
        <v>TASC - HRA FEES</v>
      </c>
    </row>
    <row r="2868" spans="5:8" x14ac:dyDescent="0.25">
      <c r="E2868" t="str">
        <f>""</f>
        <v/>
      </c>
      <c r="F2868" t="str">
        <f>""</f>
        <v/>
      </c>
      <c r="H2868" t="str">
        <f t="shared" si="49"/>
        <v>TASC - HRA FEES</v>
      </c>
    </row>
    <row r="2869" spans="5:8" x14ac:dyDescent="0.25">
      <c r="E2869" t="str">
        <f>""</f>
        <v/>
      </c>
      <c r="F2869" t="str">
        <f>""</f>
        <v/>
      </c>
      <c r="H2869" t="str">
        <f t="shared" si="49"/>
        <v>TASC - HRA FEES</v>
      </c>
    </row>
    <row r="2870" spans="5:8" x14ac:dyDescent="0.25">
      <c r="E2870" t="str">
        <f>""</f>
        <v/>
      </c>
      <c r="F2870" t="str">
        <f>""</f>
        <v/>
      </c>
      <c r="H2870" t="str">
        <f t="shared" si="49"/>
        <v>TASC - HRA FEES</v>
      </c>
    </row>
    <row r="2871" spans="5:8" x14ac:dyDescent="0.25">
      <c r="E2871" t="str">
        <f>""</f>
        <v/>
      </c>
      <c r="F2871" t="str">
        <f>""</f>
        <v/>
      </c>
      <c r="H2871" t="str">
        <f t="shared" si="49"/>
        <v>TASC - HRA FEES</v>
      </c>
    </row>
    <row r="2872" spans="5:8" x14ac:dyDescent="0.25">
      <c r="E2872" t="str">
        <f>""</f>
        <v/>
      </c>
      <c r="F2872" t="str">
        <f>""</f>
        <v/>
      </c>
      <c r="H2872" t="str">
        <f t="shared" si="49"/>
        <v>TASC - HRA FEES</v>
      </c>
    </row>
    <row r="2873" spans="5:8" x14ac:dyDescent="0.25">
      <c r="E2873" t="str">
        <f>""</f>
        <v/>
      </c>
      <c r="F2873" t="str">
        <f>""</f>
        <v/>
      </c>
      <c r="H2873" t="str">
        <f t="shared" si="49"/>
        <v>TASC - HRA FEES</v>
      </c>
    </row>
    <row r="2874" spans="5:8" x14ac:dyDescent="0.25">
      <c r="E2874" t="str">
        <f>""</f>
        <v/>
      </c>
      <c r="F2874" t="str">
        <f>""</f>
        <v/>
      </c>
      <c r="H2874" t="str">
        <f t="shared" si="49"/>
        <v>TASC - HRA FEES</v>
      </c>
    </row>
    <row r="2875" spans="5:8" x14ac:dyDescent="0.25">
      <c r="E2875" t="str">
        <f>""</f>
        <v/>
      </c>
      <c r="F2875" t="str">
        <f>""</f>
        <v/>
      </c>
      <c r="H2875" t="str">
        <f t="shared" si="49"/>
        <v>TASC - HRA FEES</v>
      </c>
    </row>
    <row r="2876" spans="5:8" x14ac:dyDescent="0.25">
      <c r="E2876" t="str">
        <f>""</f>
        <v/>
      </c>
      <c r="F2876" t="str">
        <f>""</f>
        <v/>
      </c>
      <c r="H2876" t="str">
        <f t="shared" si="49"/>
        <v>TASC - HRA FEES</v>
      </c>
    </row>
    <row r="2877" spans="5:8" x14ac:dyDescent="0.25">
      <c r="E2877" t="str">
        <f>""</f>
        <v/>
      </c>
      <c r="F2877" t="str">
        <f>""</f>
        <v/>
      </c>
      <c r="H2877" t="str">
        <f t="shared" si="49"/>
        <v>TASC - HRA FEES</v>
      </c>
    </row>
    <row r="2878" spans="5:8" x14ac:dyDescent="0.25">
      <c r="E2878" t="str">
        <f>""</f>
        <v/>
      </c>
      <c r="F2878" t="str">
        <f>""</f>
        <v/>
      </c>
      <c r="H2878" t="str">
        <f t="shared" si="49"/>
        <v>TASC - HRA FEES</v>
      </c>
    </row>
    <row r="2879" spans="5:8" x14ac:dyDescent="0.25">
      <c r="E2879" t="str">
        <f>""</f>
        <v/>
      </c>
      <c r="F2879" t="str">
        <f>""</f>
        <v/>
      </c>
      <c r="H2879" t="str">
        <f t="shared" si="49"/>
        <v>TASC - HRA FEES</v>
      </c>
    </row>
    <row r="2880" spans="5:8" x14ac:dyDescent="0.25">
      <c r="E2880" t="str">
        <f>""</f>
        <v/>
      </c>
      <c r="F2880" t="str">
        <f>""</f>
        <v/>
      </c>
      <c r="H2880" t="str">
        <f t="shared" si="49"/>
        <v>TASC - HRA FEES</v>
      </c>
    </row>
    <row r="2881" spans="5:8" x14ac:dyDescent="0.25">
      <c r="E2881" t="str">
        <f>""</f>
        <v/>
      </c>
      <c r="F2881" t="str">
        <f>""</f>
        <v/>
      </c>
      <c r="H2881" t="str">
        <f t="shared" si="49"/>
        <v>TASC - HRA FEES</v>
      </c>
    </row>
    <row r="2882" spans="5:8" x14ac:dyDescent="0.25">
      <c r="E2882" t="str">
        <f>""</f>
        <v/>
      </c>
      <c r="F2882" t="str">
        <f>""</f>
        <v/>
      </c>
      <c r="H2882" t="str">
        <f t="shared" si="49"/>
        <v>TASC - HRA FEES</v>
      </c>
    </row>
    <row r="2883" spans="5:8" x14ac:dyDescent="0.25">
      <c r="E2883" t="str">
        <f>""</f>
        <v/>
      </c>
      <c r="F2883" t="str">
        <f>""</f>
        <v/>
      </c>
      <c r="H2883" t="str">
        <f t="shared" si="49"/>
        <v>TASC - HRA FEES</v>
      </c>
    </row>
    <row r="2884" spans="5:8" x14ac:dyDescent="0.25">
      <c r="E2884" t="str">
        <f>""</f>
        <v/>
      </c>
      <c r="F2884" t="str">
        <f>""</f>
        <v/>
      </c>
      <c r="H2884" t="str">
        <f t="shared" si="49"/>
        <v>TASC - HRA FEES</v>
      </c>
    </row>
    <row r="2885" spans="5:8" x14ac:dyDescent="0.25">
      <c r="E2885" t="str">
        <f>""</f>
        <v/>
      </c>
      <c r="F2885" t="str">
        <f>""</f>
        <v/>
      </c>
      <c r="H2885" t="str">
        <f t="shared" si="49"/>
        <v>TASC - HRA FEES</v>
      </c>
    </row>
    <row r="2886" spans="5:8" x14ac:dyDescent="0.25">
      <c r="E2886" t="str">
        <f>""</f>
        <v/>
      </c>
      <c r="F2886" t="str">
        <f>""</f>
        <v/>
      </c>
      <c r="H2886" t="str">
        <f t="shared" si="49"/>
        <v>TASC - HRA FEES</v>
      </c>
    </row>
    <row r="2887" spans="5:8" x14ac:dyDescent="0.25">
      <c r="E2887" t="str">
        <f>""</f>
        <v/>
      </c>
      <c r="F2887" t="str">
        <f>""</f>
        <v/>
      </c>
      <c r="H2887" t="str">
        <f t="shared" si="49"/>
        <v>TASC - HRA FEES</v>
      </c>
    </row>
    <row r="2888" spans="5:8" x14ac:dyDescent="0.25">
      <c r="E2888" t="str">
        <f>""</f>
        <v/>
      </c>
      <c r="F2888" t="str">
        <f>""</f>
        <v/>
      </c>
      <c r="H2888" t="str">
        <f t="shared" si="49"/>
        <v>TASC - HRA FEES</v>
      </c>
    </row>
    <row r="2889" spans="5:8" x14ac:dyDescent="0.25">
      <c r="E2889" t="str">
        <f>""</f>
        <v/>
      </c>
      <c r="F2889" t="str">
        <f>""</f>
        <v/>
      </c>
      <c r="H2889" t="str">
        <f t="shared" si="49"/>
        <v>TASC - HRA FEES</v>
      </c>
    </row>
    <row r="2890" spans="5:8" x14ac:dyDescent="0.25">
      <c r="E2890" t="str">
        <f>""</f>
        <v/>
      </c>
      <c r="F2890" t="str">
        <f>""</f>
        <v/>
      </c>
      <c r="H2890" t="str">
        <f t="shared" si="49"/>
        <v>TASC - HRA FEES</v>
      </c>
    </row>
    <row r="2891" spans="5:8" x14ac:dyDescent="0.25">
      <c r="E2891" t="str">
        <f>""</f>
        <v/>
      </c>
      <c r="F2891" t="str">
        <f>""</f>
        <v/>
      </c>
      <c r="H2891" t="str">
        <f t="shared" si="49"/>
        <v>TASC - HRA FEES</v>
      </c>
    </row>
    <row r="2892" spans="5:8" x14ac:dyDescent="0.25">
      <c r="E2892" t="str">
        <f>""</f>
        <v/>
      </c>
      <c r="F2892" t="str">
        <f>""</f>
        <v/>
      </c>
      <c r="H2892" t="str">
        <f t="shared" si="49"/>
        <v>TASC - HRA FEES</v>
      </c>
    </row>
    <row r="2893" spans="5:8" x14ac:dyDescent="0.25">
      <c r="E2893" t="str">
        <f>""</f>
        <v/>
      </c>
      <c r="F2893" t="str">
        <f>""</f>
        <v/>
      </c>
      <c r="H2893" t="str">
        <f t="shared" si="49"/>
        <v>TASC - HRA FEES</v>
      </c>
    </row>
    <row r="2894" spans="5:8" x14ac:dyDescent="0.25">
      <c r="E2894" t="str">
        <f>""</f>
        <v/>
      </c>
      <c r="F2894" t="str">
        <f>""</f>
        <v/>
      </c>
      <c r="H2894" t="str">
        <f t="shared" si="49"/>
        <v>TASC - HRA FEES</v>
      </c>
    </row>
    <row r="2895" spans="5:8" x14ac:dyDescent="0.25">
      <c r="E2895" t="str">
        <f>""</f>
        <v/>
      </c>
      <c r="F2895" t="str">
        <f>""</f>
        <v/>
      </c>
      <c r="H2895" t="str">
        <f t="shared" si="49"/>
        <v>TASC - HRA FEES</v>
      </c>
    </row>
    <row r="2896" spans="5:8" x14ac:dyDescent="0.25">
      <c r="E2896" t="str">
        <f>""</f>
        <v/>
      </c>
      <c r="F2896" t="str">
        <f>""</f>
        <v/>
      </c>
      <c r="H2896" t="str">
        <f t="shared" si="49"/>
        <v>TASC - HRA FEES</v>
      </c>
    </row>
    <row r="2897" spans="5:8" x14ac:dyDescent="0.25">
      <c r="E2897" t="str">
        <f>""</f>
        <v/>
      </c>
      <c r="F2897" t="str">
        <f>""</f>
        <v/>
      </c>
      <c r="H2897" t="str">
        <f t="shared" ref="H2897:H2914" si="50">"TASC - HRA FEES"</f>
        <v>TASC - HRA FEES</v>
      </c>
    </row>
    <row r="2898" spans="5:8" x14ac:dyDescent="0.25">
      <c r="E2898" t="str">
        <f>""</f>
        <v/>
      </c>
      <c r="F2898" t="str">
        <f>""</f>
        <v/>
      </c>
      <c r="H2898" t="str">
        <f t="shared" si="50"/>
        <v>TASC - HRA FEES</v>
      </c>
    </row>
    <row r="2899" spans="5:8" x14ac:dyDescent="0.25">
      <c r="E2899" t="str">
        <f>""</f>
        <v/>
      </c>
      <c r="F2899" t="str">
        <f>""</f>
        <v/>
      </c>
      <c r="H2899" t="str">
        <f t="shared" si="50"/>
        <v>TASC - HRA FEES</v>
      </c>
    </row>
    <row r="2900" spans="5:8" x14ac:dyDescent="0.25">
      <c r="E2900" t="str">
        <f>""</f>
        <v/>
      </c>
      <c r="F2900" t="str">
        <f>""</f>
        <v/>
      </c>
      <c r="H2900" t="str">
        <f t="shared" si="50"/>
        <v>TASC - HRA FEES</v>
      </c>
    </row>
    <row r="2901" spans="5:8" x14ac:dyDescent="0.25">
      <c r="E2901" t="str">
        <f>""</f>
        <v/>
      </c>
      <c r="F2901" t="str">
        <f>""</f>
        <v/>
      </c>
      <c r="H2901" t="str">
        <f t="shared" si="50"/>
        <v>TASC - HRA FEES</v>
      </c>
    </row>
    <row r="2902" spans="5:8" x14ac:dyDescent="0.25">
      <c r="E2902" t="str">
        <f>""</f>
        <v/>
      </c>
      <c r="F2902" t="str">
        <f>""</f>
        <v/>
      </c>
      <c r="H2902" t="str">
        <f t="shared" si="50"/>
        <v>TASC - HRA FEES</v>
      </c>
    </row>
    <row r="2903" spans="5:8" x14ac:dyDescent="0.25">
      <c r="E2903" t="str">
        <f>""</f>
        <v/>
      </c>
      <c r="F2903" t="str">
        <f>""</f>
        <v/>
      </c>
      <c r="H2903" t="str">
        <f t="shared" si="50"/>
        <v>TASC - HRA FEES</v>
      </c>
    </row>
    <row r="2904" spans="5:8" x14ac:dyDescent="0.25">
      <c r="E2904" t="str">
        <f>""</f>
        <v/>
      </c>
      <c r="F2904" t="str">
        <f>""</f>
        <v/>
      </c>
      <c r="H2904" t="str">
        <f t="shared" si="50"/>
        <v>TASC - HRA FEES</v>
      </c>
    </row>
    <row r="2905" spans="5:8" x14ac:dyDescent="0.25">
      <c r="E2905" t="str">
        <f>""</f>
        <v/>
      </c>
      <c r="F2905" t="str">
        <f>""</f>
        <v/>
      </c>
      <c r="H2905" t="str">
        <f t="shared" si="50"/>
        <v>TASC - HRA FEES</v>
      </c>
    </row>
    <row r="2906" spans="5:8" x14ac:dyDescent="0.25">
      <c r="E2906" t="str">
        <f>""</f>
        <v/>
      </c>
      <c r="F2906" t="str">
        <f>""</f>
        <v/>
      </c>
      <c r="H2906" t="str">
        <f t="shared" si="50"/>
        <v>TASC - HRA FEES</v>
      </c>
    </row>
    <row r="2907" spans="5:8" x14ac:dyDescent="0.25">
      <c r="E2907" t="str">
        <f>""</f>
        <v/>
      </c>
      <c r="F2907" t="str">
        <f>""</f>
        <v/>
      </c>
      <c r="H2907" t="str">
        <f t="shared" si="50"/>
        <v>TASC - HRA FEES</v>
      </c>
    </row>
    <row r="2908" spans="5:8" x14ac:dyDescent="0.25">
      <c r="E2908" t="str">
        <f>""</f>
        <v/>
      </c>
      <c r="F2908" t="str">
        <f>""</f>
        <v/>
      </c>
      <c r="H2908" t="str">
        <f t="shared" si="50"/>
        <v>TASC - HRA FEES</v>
      </c>
    </row>
    <row r="2909" spans="5:8" x14ac:dyDescent="0.25">
      <c r="E2909" t="str">
        <f>""</f>
        <v/>
      </c>
      <c r="F2909" t="str">
        <f>""</f>
        <v/>
      </c>
      <c r="H2909" t="str">
        <f t="shared" si="50"/>
        <v>TASC - HRA FEES</v>
      </c>
    </row>
    <row r="2910" spans="5:8" x14ac:dyDescent="0.25">
      <c r="E2910" t="str">
        <f>""</f>
        <v/>
      </c>
      <c r="F2910" t="str">
        <f>""</f>
        <v/>
      </c>
      <c r="H2910" t="str">
        <f t="shared" si="50"/>
        <v>TASC - HRA FEES</v>
      </c>
    </row>
    <row r="2911" spans="5:8" x14ac:dyDescent="0.25">
      <c r="E2911" t="str">
        <f>""</f>
        <v/>
      </c>
      <c r="F2911" t="str">
        <f>""</f>
        <v/>
      </c>
      <c r="H2911" t="str">
        <f t="shared" si="50"/>
        <v>TASC - HRA FEES</v>
      </c>
    </row>
    <row r="2912" spans="5:8" x14ac:dyDescent="0.25">
      <c r="E2912" t="str">
        <f>""</f>
        <v/>
      </c>
      <c r="F2912" t="str">
        <f>""</f>
        <v/>
      </c>
      <c r="H2912" t="str">
        <f t="shared" si="50"/>
        <v>TASC - HRA FEES</v>
      </c>
    </row>
    <row r="2913" spans="1:8" x14ac:dyDescent="0.25">
      <c r="E2913" t="str">
        <f>""</f>
        <v/>
      </c>
      <c r="F2913" t="str">
        <f>""</f>
        <v/>
      </c>
      <c r="H2913" t="str">
        <f t="shared" si="50"/>
        <v>TASC - HRA FEES</v>
      </c>
    </row>
    <row r="2914" spans="1:8" x14ac:dyDescent="0.25">
      <c r="E2914" t="str">
        <f>"HRF201905159266"</f>
        <v>HRF201905159266</v>
      </c>
      <c r="F2914" t="str">
        <f>"TASC - HRA FEES"</f>
        <v>TASC - HRA FEES</v>
      </c>
      <c r="G2914" s="2">
        <v>28.8</v>
      </c>
      <c r="H2914" t="str">
        <f t="shared" si="50"/>
        <v>TASC - HRA FEES</v>
      </c>
    </row>
    <row r="2915" spans="1:8" x14ac:dyDescent="0.25">
      <c r="A2915" t="s">
        <v>465</v>
      </c>
      <c r="B2915">
        <v>124</v>
      </c>
      <c r="C2915" s="2">
        <v>4731.82</v>
      </c>
      <c r="D2915" s="1">
        <v>43588</v>
      </c>
      <c r="E2915" t="str">
        <f>"C18201904308909"</f>
        <v>C18201904308909</v>
      </c>
      <c r="F2915" t="str">
        <f>"CAUSE# 0011635329"</f>
        <v>CAUSE# 0011635329</v>
      </c>
      <c r="G2915" s="2">
        <v>603.23</v>
      </c>
      <c r="H2915" t="str">
        <f>"CAUSE# 0011635329"</f>
        <v>CAUSE# 0011635329</v>
      </c>
    </row>
    <row r="2916" spans="1:8" x14ac:dyDescent="0.25">
      <c r="E2916" t="str">
        <f>"C2 201904308909"</f>
        <v>C2 201904308909</v>
      </c>
      <c r="F2916" t="str">
        <f>"0012982132CCL7445"</f>
        <v>0012982132CCL7445</v>
      </c>
      <c r="G2916" s="2">
        <v>692.31</v>
      </c>
      <c r="H2916" t="str">
        <f>"0012982132CCL7445"</f>
        <v>0012982132CCL7445</v>
      </c>
    </row>
    <row r="2917" spans="1:8" x14ac:dyDescent="0.25">
      <c r="E2917" t="str">
        <f>"C20201904308908"</f>
        <v>C20201904308908</v>
      </c>
      <c r="F2917" t="str">
        <f>"001003981107-12252"</f>
        <v>001003981107-12252</v>
      </c>
      <c r="G2917" s="2">
        <v>115.39</v>
      </c>
      <c r="H2917" t="str">
        <f>"001003981107-12252"</f>
        <v>001003981107-12252</v>
      </c>
    </row>
    <row r="2918" spans="1:8" x14ac:dyDescent="0.25">
      <c r="E2918" t="str">
        <f>"C42201904308908"</f>
        <v>C42201904308908</v>
      </c>
      <c r="F2918" t="str">
        <f>"001236769211-14410"</f>
        <v>001236769211-14410</v>
      </c>
      <c r="G2918" s="2">
        <v>230.31</v>
      </c>
      <c r="H2918" t="str">
        <f>"001236769211-14410"</f>
        <v>001236769211-14410</v>
      </c>
    </row>
    <row r="2919" spans="1:8" x14ac:dyDescent="0.25">
      <c r="E2919" t="str">
        <f>"C46201904308908"</f>
        <v>C46201904308908</v>
      </c>
      <c r="F2919" t="str">
        <f>"CAUSE# 11-14911"</f>
        <v>CAUSE# 11-14911</v>
      </c>
      <c r="G2919" s="2">
        <v>238.62</v>
      </c>
      <c r="H2919" t="str">
        <f>"CAUSE# 11-14911"</f>
        <v>CAUSE# 11-14911</v>
      </c>
    </row>
    <row r="2920" spans="1:8" x14ac:dyDescent="0.25">
      <c r="E2920" t="str">
        <f>"C53201904308908"</f>
        <v>C53201904308908</v>
      </c>
      <c r="F2920" t="str">
        <f>"0012453366"</f>
        <v>0012453366</v>
      </c>
      <c r="G2920" s="2">
        <v>138.46</v>
      </c>
      <c r="H2920" t="str">
        <f>"0012453366"</f>
        <v>0012453366</v>
      </c>
    </row>
    <row r="2921" spans="1:8" x14ac:dyDescent="0.25">
      <c r="E2921" t="str">
        <f>"C60201904308908"</f>
        <v>C60201904308908</v>
      </c>
      <c r="F2921" t="str">
        <f>"00130730762012V300"</f>
        <v>00130730762012V300</v>
      </c>
      <c r="G2921" s="2">
        <v>399.32</v>
      </c>
      <c r="H2921" t="str">
        <f>"00130730762012V300"</f>
        <v>00130730762012V300</v>
      </c>
    </row>
    <row r="2922" spans="1:8" x14ac:dyDescent="0.25">
      <c r="E2922" t="str">
        <f>"C62201904308908"</f>
        <v>C62201904308908</v>
      </c>
      <c r="F2922" t="str">
        <f>"# 0012128865"</f>
        <v># 0012128865</v>
      </c>
      <c r="G2922" s="2">
        <v>243.23</v>
      </c>
      <c r="H2922" t="str">
        <f>"# 0012128865"</f>
        <v># 0012128865</v>
      </c>
    </row>
    <row r="2923" spans="1:8" x14ac:dyDescent="0.25">
      <c r="E2923" t="str">
        <f>"C66201904308908"</f>
        <v>C66201904308908</v>
      </c>
      <c r="F2923" t="str">
        <f>"# 0012871801"</f>
        <v># 0012871801</v>
      </c>
      <c r="G2923" s="2">
        <v>90</v>
      </c>
      <c r="H2923" t="str">
        <f>"# 0012871801"</f>
        <v># 0012871801</v>
      </c>
    </row>
    <row r="2924" spans="1:8" x14ac:dyDescent="0.25">
      <c r="E2924" t="str">
        <f>"C69201904308908"</f>
        <v>C69201904308908</v>
      </c>
      <c r="F2924" t="str">
        <f>"0012046911423672"</f>
        <v>0012046911423672</v>
      </c>
      <c r="G2924" s="2">
        <v>187.38</v>
      </c>
      <c r="H2924" t="str">
        <f>"0012046911423672"</f>
        <v>0012046911423672</v>
      </c>
    </row>
    <row r="2925" spans="1:8" x14ac:dyDescent="0.25">
      <c r="E2925" t="str">
        <f>"C70201904308908"</f>
        <v>C70201904308908</v>
      </c>
      <c r="F2925" t="str">
        <f>"00136881334235026"</f>
        <v>00136881334235026</v>
      </c>
      <c r="G2925" s="2">
        <v>257.45999999999998</v>
      </c>
      <c r="H2925" t="str">
        <f>"00136881334235026"</f>
        <v>00136881334235026</v>
      </c>
    </row>
    <row r="2926" spans="1:8" x14ac:dyDescent="0.25">
      <c r="E2926" t="str">
        <f>"C71201904308908"</f>
        <v>C71201904308908</v>
      </c>
      <c r="F2926" t="str">
        <f>"00137390532018V215"</f>
        <v>00137390532018V215</v>
      </c>
      <c r="G2926" s="2">
        <v>276.92</v>
      </c>
      <c r="H2926" t="str">
        <f>"00137390532018V215"</f>
        <v>00137390532018V215</v>
      </c>
    </row>
    <row r="2927" spans="1:8" x14ac:dyDescent="0.25">
      <c r="E2927" t="str">
        <f>"C72201904308908"</f>
        <v>C72201904308908</v>
      </c>
      <c r="F2927" t="str">
        <f>"0012797601C20130529B"</f>
        <v>0012797601C20130529B</v>
      </c>
      <c r="G2927" s="2">
        <v>241.85</v>
      </c>
      <c r="H2927" t="str">
        <f>"0012797601C20130529B"</f>
        <v>0012797601C20130529B</v>
      </c>
    </row>
    <row r="2928" spans="1:8" x14ac:dyDescent="0.25">
      <c r="E2928" t="str">
        <f>"C75201904308908"</f>
        <v>C75201904308908</v>
      </c>
      <c r="F2928" t="str">
        <f>"0011203766D1AG060016"</f>
        <v>0011203766D1AG060016</v>
      </c>
      <c r="G2928" s="2">
        <v>6.92</v>
      </c>
      <c r="H2928" t="str">
        <f>"0011203766D1AG060016"</f>
        <v>0011203766D1AG060016</v>
      </c>
    </row>
    <row r="2929" spans="1:8" x14ac:dyDescent="0.25">
      <c r="E2929" t="str">
        <f>"C76201904308908"</f>
        <v>C76201904308908</v>
      </c>
      <c r="F2929" t="str">
        <f>"00126801111316135"</f>
        <v>00126801111316135</v>
      </c>
      <c r="G2929" s="2">
        <v>103.85</v>
      </c>
      <c r="H2929" t="str">
        <f>"00126801111316135"</f>
        <v>00126801111316135</v>
      </c>
    </row>
    <row r="2930" spans="1:8" x14ac:dyDescent="0.25">
      <c r="E2930" t="str">
        <f>"C77201904308908"</f>
        <v>C77201904308908</v>
      </c>
      <c r="F2930" t="str">
        <f>"001360089516184"</f>
        <v>001360089516184</v>
      </c>
      <c r="G2930" s="2">
        <v>122.33</v>
      </c>
      <c r="H2930" t="str">
        <f>"001360089516184"</f>
        <v>001360089516184</v>
      </c>
    </row>
    <row r="2931" spans="1:8" x14ac:dyDescent="0.25">
      <c r="E2931" t="str">
        <f>"C78201904308908"</f>
        <v>C78201904308908</v>
      </c>
      <c r="F2931" t="str">
        <f>"00105115972005106221"</f>
        <v>00105115972005106221</v>
      </c>
      <c r="G2931" s="2">
        <v>144.68</v>
      </c>
      <c r="H2931" t="str">
        <f>"00105115972005106221"</f>
        <v>00105115972005106221</v>
      </c>
    </row>
    <row r="2932" spans="1:8" x14ac:dyDescent="0.25">
      <c r="E2932" t="str">
        <f>"C79201904308908"</f>
        <v>C79201904308908</v>
      </c>
      <c r="F2932" t="str">
        <f>"0013045733S146091FLB"</f>
        <v>0013045733S146091FLB</v>
      </c>
      <c r="G2932" s="2">
        <v>197.08</v>
      </c>
      <c r="H2932" t="str">
        <f>"0013045733S146091FLB"</f>
        <v>0013045733S146091FLB</v>
      </c>
    </row>
    <row r="2933" spans="1:8" x14ac:dyDescent="0.25">
      <c r="E2933" t="str">
        <f>"C80201904308908"</f>
        <v>C80201904308908</v>
      </c>
      <c r="F2933" t="str">
        <f>"00129123441316239"</f>
        <v>00129123441316239</v>
      </c>
      <c r="G2933" s="2">
        <v>442.48</v>
      </c>
      <c r="H2933" t="str">
        <f>"00129123441316239"</f>
        <v>00129123441316239</v>
      </c>
    </row>
    <row r="2934" spans="1:8" x14ac:dyDescent="0.25">
      <c r="A2934" t="s">
        <v>465</v>
      </c>
      <c r="B2934">
        <v>132</v>
      </c>
      <c r="C2934" s="2">
        <v>4833.8100000000004</v>
      </c>
      <c r="D2934" s="1">
        <v>43602</v>
      </c>
      <c r="E2934" t="str">
        <f>"C18201905159266"</f>
        <v>C18201905159266</v>
      </c>
      <c r="F2934" t="str">
        <f>"CAUSE# 0011635329"</f>
        <v>CAUSE# 0011635329</v>
      </c>
      <c r="G2934" s="2">
        <v>603.23</v>
      </c>
      <c r="H2934" t="str">
        <f>"CAUSE# 0011635329"</f>
        <v>CAUSE# 0011635329</v>
      </c>
    </row>
    <row r="2935" spans="1:8" x14ac:dyDescent="0.25">
      <c r="E2935" t="str">
        <f>"C2 201905159266"</f>
        <v>C2 201905159266</v>
      </c>
      <c r="F2935" t="str">
        <f>"0012982132CCL7445"</f>
        <v>0012982132CCL7445</v>
      </c>
      <c r="G2935" s="2">
        <v>692.31</v>
      </c>
      <c r="H2935" t="str">
        <f>"0012982132CCL7445"</f>
        <v>0012982132CCL7445</v>
      </c>
    </row>
    <row r="2936" spans="1:8" x14ac:dyDescent="0.25">
      <c r="E2936" t="str">
        <f>"C20201905159265"</f>
        <v>C20201905159265</v>
      </c>
      <c r="F2936" t="str">
        <f>"001003981107-12252"</f>
        <v>001003981107-12252</v>
      </c>
      <c r="G2936" s="2">
        <v>115.39</v>
      </c>
      <c r="H2936" t="str">
        <f>"001003981107-12252"</f>
        <v>001003981107-12252</v>
      </c>
    </row>
    <row r="2937" spans="1:8" x14ac:dyDescent="0.25">
      <c r="E2937" t="str">
        <f>"C42201905159265"</f>
        <v>C42201905159265</v>
      </c>
      <c r="F2937" t="str">
        <f>"001236769211-14410"</f>
        <v>001236769211-14410</v>
      </c>
      <c r="G2937" s="2">
        <v>230.31</v>
      </c>
      <c r="H2937" t="str">
        <f>"001236769211-14410"</f>
        <v>001236769211-14410</v>
      </c>
    </row>
    <row r="2938" spans="1:8" x14ac:dyDescent="0.25">
      <c r="E2938" t="str">
        <f>"C46201905159265"</f>
        <v>C46201905159265</v>
      </c>
      <c r="F2938" t="str">
        <f>"CAUSE# 11-14911"</f>
        <v>CAUSE# 11-14911</v>
      </c>
      <c r="G2938" s="2">
        <v>238.62</v>
      </c>
      <c r="H2938" t="str">
        <f>"CAUSE# 11-14911"</f>
        <v>CAUSE# 11-14911</v>
      </c>
    </row>
    <row r="2939" spans="1:8" x14ac:dyDescent="0.25">
      <c r="E2939" t="str">
        <f>"C53201905159265"</f>
        <v>C53201905159265</v>
      </c>
      <c r="F2939" t="str">
        <f>"0012453366"</f>
        <v>0012453366</v>
      </c>
      <c r="G2939" s="2">
        <v>138.46</v>
      </c>
      <c r="H2939" t="str">
        <f>"0012453366"</f>
        <v>0012453366</v>
      </c>
    </row>
    <row r="2940" spans="1:8" x14ac:dyDescent="0.25">
      <c r="E2940" t="str">
        <f>"C60201905159265"</f>
        <v>C60201905159265</v>
      </c>
      <c r="F2940" t="str">
        <f>"00130730762012V300"</f>
        <v>00130730762012V300</v>
      </c>
      <c r="G2940" s="2">
        <v>399.32</v>
      </c>
      <c r="H2940" t="str">
        <f>"00130730762012V300"</f>
        <v>00130730762012V300</v>
      </c>
    </row>
    <row r="2941" spans="1:8" x14ac:dyDescent="0.25">
      <c r="E2941" t="str">
        <f>"C62201905159265"</f>
        <v>C62201905159265</v>
      </c>
      <c r="F2941" t="str">
        <f>"# 0012128865"</f>
        <v># 0012128865</v>
      </c>
      <c r="G2941" s="2">
        <v>243.23</v>
      </c>
      <c r="H2941" t="str">
        <f>"# 0012128865"</f>
        <v># 0012128865</v>
      </c>
    </row>
    <row r="2942" spans="1:8" x14ac:dyDescent="0.25">
      <c r="E2942" t="str">
        <f>"C66201905159265"</f>
        <v>C66201905159265</v>
      </c>
      <c r="F2942" t="str">
        <f>"# 0012871801"</f>
        <v># 0012871801</v>
      </c>
      <c r="G2942" s="2">
        <v>90</v>
      </c>
      <c r="H2942" t="str">
        <f>"# 0012871801"</f>
        <v># 0012871801</v>
      </c>
    </row>
    <row r="2943" spans="1:8" x14ac:dyDescent="0.25">
      <c r="E2943" t="str">
        <f>"C67201905159265"</f>
        <v>C67201905159265</v>
      </c>
      <c r="F2943" t="str">
        <f>"13154657"</f>
        <v>13154657</v>
      </c>
      <c r="G2943" s="2">
        <v>101.99</v>
      </c>
      <c r="H2943" t="str">
        <f>"13154657"</f>
        <v>13154657</v>
      </c>
    </row>
    <row r="2944" spans="1:8" x14ac:dyDescent="0.25">
      <c r="E2944" t="str">
        <f>"C69201905159265"</f>
        <v>C69201905159265</v>
      </c>
      <c r="F2944" t="str">
        <f>"0012046911423672"</f>
        <v>0012046911423672</v>
      </c>
      <c r="G2944" s="2">
        <v>187.38</v>
      </c>
      <c r="H2944" t="str">
        <f>"0012046911423672"</f>
        <v>0012046911423672</v>
      </c>
    </row>
    <row r="2945" spans="1:8" x14ac:dyDescent="0.25">
      <c r="E2945" t="str">
        <f>"C70201905159265"</f>
        <v>C70201905159265</v>
      </c>
      <c r="F2945" t="str">
        <f>"00136881334235026"</f>
        <v>00136881334235026</v>
      </c>
      <c r="G2945" s="2">
        <v>257.45999999999998</v>
      </c>
      <c r="H2945" t="str">
        <f>"00136881334235026"</f>
        <v>00136881334235026</v>
      </c>
    </row>
    <row r="2946" spans="1:8" x14ac:dyDescent="0.25">
      <c r="E2946" t="str">
        <f>"C71201905159265"</f>
        <v>C71201905159265</v>
      </c>
      <c r="F2946" t="str">
        <f>"00137390532018V215"</f>
        <v>00137390532018V215</v>
      </c>
      <c r="G2946" s="2">
        <v>276.92</v>
      </c>
      <c r="H2946" t="str">
        <f>"00137390532018V215"</f>
        <v>00137390532018V215</v>
      </c>
    </row>
    <row r="2947" spans="1:8" x14ac:dyDescent="0.25">
      <c r="E2947" t="str">
        <f>"C72201905159265"</f>
        <v>C72201905159265</v>
      </c>
      <c r="F2947" t="str">
        <f>"0012797601C20130529B"</f>
        <v>0012797601C20130529B</v>
      </c>
      <c r="G2947" s="2">
        <v>241.85</v>
      </c>
      <c r="H2947" t="str">
        <f>"0012797601C20130529B"</f>
        <v>0012797601C20130529B</v>
      </c>
    </row>
    <row r="2948" spans="1:8" x14ac:dyDescent="0.25">
      <c r="E2948" t="str">
        <f>"C75201905159265"</f>
        <v>C75201905159265</v>
      </c>
      <c r="F2948" t="str">
        <f>"0011203766D1AG060016"</f>
        <v>0011203766D1AG060016</v>
      </c>
      <c r="G2948" s="2">
        <v>6.92</v>
      </c>
      <c r="H2948" t="str">
        <f>"0011203766D1AG060016"</f>
        <v>0011203766D1AG060016</v>
      </c>
    </row>
    <row r="2949" spans="1:8" x14ac:dyDescent="0.25">
      <c r="E2949" t="str">
        <f>"C76201905159265"</f>
        <v>C76201905159265</v>
      </c>
      <c r="F2949" t="str">
        <f>"00126801111316135"</f>
        <v>00126801111316135</v>
      </c>
      <c r="G2949" s="2">
        <v>103.85</v>
      </c>
      <c r="H2949" t="str">
        <f>"00126801111316135"</f>
        <v>00126801111316135</v>
      </c>
    </row>
    <row r="2950" spans="1:8" x14ac:dyDescent="0.25">
      <c r="E2950" t="str">
        <f>"C77201905159265"</f>
        <v>C77201905159265</v>
      </c>
      <c r="F2950" t="str">
        <f>"001360089516184"</f>
        <v>001360089516184</v>
      </c>
      <c r="G2950" s="2">
        <v>122.33</v>
      </c>
      <c r="H2950" t="str">
        <f>"001360089516184"</f>
        <v>001360089516184</v>
      </c>
    </row>
    <row r="2951" spans="1:8" x14ac:dyDescent="0.25">
      <c r="E2951" t="str">
        <f>"C78201905159265"</f>
        <v>C78201905159265</v>
      </c>
      <c r="F2951" t="str">
        <f>"00105115972005106221"</f>
        <v>00105115972005106221</v>
      </c>
      <c r="G2951" s="2">
        <v>144.68</v>
      </c>
      <c r="H2951" t="str">
        <f>"00105115972005106221"</f>
        <v>00105115972005106221</v>
      </c>
    </row>
    <row r="2952" spans="1:8" x14ac:dyDescent="0.25">
      <c r="E2952" t="str">
        <f>"C79201905159265"</f>
        <v>C79201905159265</v>
      </c>
      <c r="F2952" t="str">
        <f>"0013045733S146091FLB"</f>
        <v>0013045733S146091FLB</v>
      </c>
      <c r="G2952" s="2">
        <v>197.08</v>
      </c>
      <c r="H2952" t="str">
        <f>"0013045733S146091FLB"</f>
        <v>0013045733S146091FLB</v>
      </c>
    </row>
    <row r="2953" spans="1:8" x14ac:dyDescent="0.25">
      <c r="E2953" t="str">
        <f>"C80201905159265"</f>
        <v>C80201905159265</v>
      </c>
      <c r="F2953" t="str">
        <f>"00129123441316239"</f>
        <v>00129123441316239</v>
      </c>
      <c r="G2953" s="2">
        <v>442.48</v>
      </c>
      <c r="H2953" t="str">
        <f>"00129123441316239"</f>
        <v>00129123441316239</v>
      </c>
    </row>
    <row r="2954" spans="1:8" x14ac:dyDescent="0.25">
      <c r="A2954" t="s">
        <v>465</v>
      </c>
      <c r="B2954">
        <v>137</v>
      </c>
      <c r="C2954" s="2">
        <v>4812.05</v>
      </c>
      <c r="D2954" s="1">
        <v>43616</v>
      </c>
      <c r="E2954" t="str">
        <f>"C18201905299494"</f>
        <v>C18201905299494</v>
      </c>
      <c r="F2954" t="str">
        <f>"CAUSE# 0011635329"</f>
        <v>CAUSE# 0011635329</v>
      </c>
      <c r="G2954" s="2">
        <v>603.23</v>
      </c>
      <c r="H2954" t="str">
        <f>"CAUSE# 0011635329"</f>
        <v>CAUSE# 0011635329</v>
      </c>
    </row>
    <row r="2955" spans="1:8" x14ac:dyDescent="0.25">
      <c r="E2955" t="str">
        <f>"C2 201905299494"</f>
        <v>C2 201905299494</v>
      </c>
      <c r="F2955" t="str">
        <f>"0012982132CCL7445"</f>
        <v>0012982132CCL7445</v>
      </c>
      <c r="G2955" s="2">
        <v>692.31</v>
      </c>
      <c r="H2955" t="str">
        <f>"0012982132CCL7445"</f>
        <v>0012982132CCL7445</v>
      </c>
    </row>
    <row r="2956" spans="1:8" x14ac:dyDescent="0.25">
      <c r="E2956" t="str">
        <f>"C20201905299491"</f>
        <v>C20201905299491</v>
      </c>
      <c r="F2956" t="str">
        <f>"001003981107-12252"</f>
        <v>001003981107-12252</v>
      </c>
      <c r="G2956" s="2">
        <v>115.39</v>
      </c>
      <c r="H2956" t="str">
        <f>"001003981107-12252"</f>
        <v>001003981107-12252</v>
      </c>
    </row>
    <row r="2957" spans="1:8" x14ac:dyDescent="0.25">
      <c r="E2957" t="str">
        <f>"C42201905299491"</f>
        <v>C42201905299491</v>
      </c>
      <c r="F2957" t="str">
        <f>"001236769211-14410"</f>
        <v>001236769211-14410</v>
      </c>
      <c r="G2957" s="2">
        <v>230.31</v>
      </c>
      <c r="H2957" t="str">
        <f>"001236769211-14410"</f>
        <v>001236769211-14410</v>
      </c>
    </row>
    <row r="2958" spans="1:8" x14ac:dyDescent="0.25">
      <c r="E2958" t="str">
        <f>"C46201905299491"</f>
        <v>C46201905299491</v>
      </c>
      <c r="F2958" t="str">
        <f>"CAUSE# 11-14911"</f>
        <v>CAUSE# 11-14911</v>
      </c>
      <c r="G2958" s="2">
        <v>238.62</v>
      </c>
      <c r="H2958" t="str">
        <f>"CAUSE# 11-14911"</f>
        <v>CAUSE# 11-14911</v>
      </c>
    </row>
    <row r="2959" spans="1:8" x14ac:dyDescent="0.25">
      <c r="E2959" t="str">
        <f>"C53201905299491"</f>
        <v>C53201905299491</v>
      </c>
      <c r="F2959" t="str">
        <f>"0012453366"</f>
        <v>0012453366</v>
      </c>
      <c r="G2959" s="2">
        <v>138.46</v>
      </c>
      <c r="H2959" t="str">
        <f>"0012453366"</f>
        <v>0012453366</v>
      </c>
    </row>
    <row r="2960" spans="1:8" x14ac:dyDescent="0.25">
      <c r="E2960" t="str">
        <f>"C60201905299491"</f>
        <v>C60201905299491</v>
      </c>
      <c r="F2960" t="str">
        <f>"00130730762012V300"</f>
        <v>00130730762012V300</v>
      </c>
      <c r="G2960" s="2">
        <v>399.32</v>
      </c>
      <c r="H2960" t="str">
        <f>"00130730762012V300"</f>
        <v>00130730762012V300</v>
      </c>
    </row>
    <row r="2961" spans="1:8" x14ac:dyDescent="0.25">
      <c r="E2961" t="str">
        <f>"C62201905299491"</f>
        <v>C62201905299491</v>
      </c>
      <c r="F2961" t="str">
        <f>"# 0012128865"</f>
        <v># 0012128865</v>
      </c>
      <c r="G2961" s="2">
        <v>243.23</v>
      </c>
      <c r="H2961" t="str">
        <f>"# 0012128865"</f>
        <v># 0012128865</v>
      </c>
    </row>
    <row r="2962" spans="1:8" x14ac:dyDescent="0.25">
      <c r="E2962" t="str">
        <f>"C66201905299491"</f>
        <v>C66201905299491</v>
      </c>
      <c r="F2962" t="str">
        <f>"# 0012871801"</f>
        <v># 0012871801</v>
      </c>
      <c r="G2962" s="2">
        <v>90</v>
      </c>
      <c r="H2962" t="str">
        <f>"# 0012871801"</f>
        <v># 0012871801</v>
      </c>
    </row>
    <row r="2963" spans="1:8" x14ac:dyDescent="0.25">
      <c r="E2963" t="str">
        <f>"C67201905299491"</f>
        <v>C67201905299491</v>
      </c>
      <c r="F2963" t="str">
        <f>"13154657"</f>
        <v>13154657</v>
      </c>
      <c r="G2963" s="2">
        <v>101.99</v>
      </c>
      <c r="H2963" t="str">
        <f>"13154657"</f>
        <v>13154657</v>
      </c>
    </row>
    <row r="2964" spans="1:8" x14ac:dyDescent="0.25">
      <c r="E2964" t="str">
        <f>"C69201905299491"</f>
        <v>C69201905299491</v>
      </c>
      <c r="F2964" t="str">
        <f>"0012046911423672"</f>
        <v>0012046911423672</v>
      </c>
      <c r="G2964" s="2">
        <v>187.38</v>
      </c>
      <c r="H2964" t="str">
        <f>"0012046911423672"</f>
        <v>0012046911423672</v>
      </c>
    </row>
    <row r="2965" spans="1:8" x14ac:dyDescent="0.25">
      <c r="E2965" t="str">
        <f>"C70201905299491"</f>
        <v>C70201905299491</v>
      </c>
      <c r="F2965" t="str">
        <f>"00136881334235026"</f>
        <v>00136881334235026</v>
      </c>
      <c r="G2965" s="2">
        <v>257.45999999999998</v>
      </c>
      <c r="H2965" t="str">
        <f>"00136881334235026"</f>
        <v>00136881334235026</v>
      </c>
    </row>
    <row r="2966" spans="1:8" x14ac:dyDescent="0.25">
      <c r="E2966" t="str">
        <f>"C71201905299491"</f>
        <v>C71201905299491</v>
      </c>
      <c r="F2966" t="str">
        <f>"00137390532018V215"</f>
        <v>00137390532018V215</v>
      </c>
      <c r="G2966" s="2">
        <v>276.92</v>
      </c>
      <c r="H2966" t="str">
        <f>"00137390532018V215"</f>
        <v>00137390532018V215</v>
      </c>
    </row>
    <row r="2967" spans="1:8" x14ac:dyDescent="0.25">
      <c r="E2967" t="str">
        <f>"C72201905299491"</f>
        <v>C72201905299491</v>
      </c>
      <c r="F2967" t="str">
        <f>"0012797601C20130529B"</f>
        <v>0012797601C20130529B</v>
      </c>
      <c r="G2967" s="2">
        <v>241.85</v>
      </c>
      <c r="H2967" t="str">
        <f>"0012797601C20130529B"</f>
        <v>0012797601C20130529B</v>
      </c>
    </row>
    <row r="2968" spans="1:8" x14ac:dyDescent="0.25">
      <c r="E2968" t="str">
        <f>"C75201905299491"</f>
        <v>C75201905299491</v>
      </c>
      <c r="F2968" t="str">
        <f>"0011203766D1AG060016"</f>
        <v>0011203766D1AG060016</v>
      </c>
      <c r="G2968" s="2">
        <v>6.92</v>
      </c>
      <c r="H2968" t="str">
        <f>"0011203766D1AG060016"</f>
        <v>0011203766D1AG060016</v>
      </c>
    </row>
    <row r="2969" spans="1:8" x14ac:dyDescent="0.25">
      <c r="E2969" t="str">
        <f>"C76201905299491"</f>
        <v>C76201905299491</v>
      </c>
      <c r="F2969" t="str">
        <f>"00126801111316135"</f>
        <v>00126801111316135</v>
      </c>
      <c r="G2969" s="2">
        <v>103.85</v>
      </c>
      <c r="H2969" t="str">
        <f>"00126801111316135"</f>
        <v>00126801111316135</v>
      </c>
    </row>
    <row r="2970" spans="1:8" x14ac:dyDescent="0.25">
      <c r="E2970" t="str">
        <f>"C78201905299491"</f>
        <v>C78201905299491</v>
      </c>
      <c r="F2970" t="str">
        <f>"00105115972005106221"</f>
        <v>00105115972005106221</v>
      </c>
      <c r="G2970" s="2">
        <v>144.68</v>
      </c>
      <c r="H2970" t="str">
        <f>"00105115972005106221"</f>
        <v>00105115972005106221</v>
      </c>
    </row>
    <row r="2971" spans="1:8" x14ac:dyDescent="0.25">
      <c r="E2971" t="str">
        <f>"C79201905299491"</f>
        <v>C79201905299491</v>
      </c>
      <c r="F2971" t="str">
        <f>"0013045733S146091FLB"</f>
        <v>0013045733S146091FLB</v>
      </c>
      <c r="G2971" s="2">
        <v>197.08</v>
      </c>
      <c r="H2971" t="str">
        <f>"0013045733S146091FLB"</f>
        <v>0013045733S146091FLB</v>
      </c>
    </row>
    <row r="2972" spans="1:8" x14ac:dyDescent="0.25">
      <c r="E2972" t="str">
        <f>"C80201905299491"</f>
        <v>C80201905299491</v>
      </c>
      <c r="F2972" t="str">
        <f>"00129123441316239"</f>
        <v>00129123441316239</v>
      </c>
      <c r="G2972" s="2">
        <v>433.2</v>
      </c>
      <c r="H2972" t="str">
        <f>"00129123441316239"</f>
        <v>00129123441316239</v>
      </c>
    </row>
    <row r="2973" spans="1:8" x14ac:dyDescent="0.25">
      <c r="E2973" t="str">
        <f>"C81201905299491"</f>
        <v>C81201905299491</v>
      </c>
      <c r="F2973" t="str">
        <f>"00123916889200232472"</f>
        <v>00123916889200232472</v>
      </c>
      <c r="G2973" s="2">
        <v>109.85</v>
      </c>
      <c r="H2973" t="str">
        <f>"00123916889200232472"</f>
        <v>00123916889200232472</v>
      </c>
    </row>
    <row r="2974" spans="1:8" x14ac:dyDescent="0.25">
      <c r="A2974" t="s">
        <v>466</v>
      </c>
      <c r="B2974">
        <v>138</v>
      </c>
      <c r="C2974" s="2">
        <v>499900.76</v>
      </c>
      <c r="D2974" s="1">
        <v>43616</v>
      </c>
      <c r="E2974" t="str">
        <f>"RET201904308908"</f>
        <v>RET201904308908</v>
      </c>
      <c r="F2974" t="str">
        <f>"TEXAS COUNTY &amp; DISTRICT RET"</f>
        <v>TEXAS COUNTY &amp; DISTRICT RET</v>
      </c>
      <c r="G2974" s="2">
        <v>153033.62</v>
      </c>
      <c r="H2974" t="str">
        <f t="shared" ref="H2974:H3005" si="51">"TEXAS COUNTY &amp; DISTRICT RET"</f>
        <v>TEXAS COUNTY &amp; DISTRICT RET</v>
      </c>
    </row>
    <row r="2975" spans="1:8" x14ac:dyDescent="0.25">
      <c r="E2975" t="str">
        <f>""</f>
        <v/>
      </c>
      <c r="F2975" t="str">
        <f>""</f>
        <v/>
      </c>
      <c r="H2975" t="str">
        <f t="shared" si="51"/>
        <v>TEXAS COUNTY &amp; DISTRICT RET</v>
      </c>
    </row>
    <row r="2976" spans="1:8" x14ac:dyDescent="0.25">
      <c r="E2976" t="str">
        <f>""</f>
        <v/>
      </c>
      <c r="F2976" t="str">
        <f>""</f>
        <v/>
      </c>
      <c r="H2976" t="str">
        <f t="shared" si="51"/>
        <v>TEXAS COUNTY &amp; DISTRICT RET</v>
      </c>
    </row>
    <row r="2977" spans="5:8" x14ac:dyDescent="0.25">
      <c r="E2977" t="str">
        <f>""</f>
        <v/>
      </c>
      <c r="F2977" t="str">
        <f>""</f>
        <v/>
      </c>
      <c r="H2977" t="str">
        <f t="shared" si="51"/>
        <v>TEXAS COUNTY &amp; DISTRICT RET</v>
      </c>
    </row>
    <row r="2978" spans="5:8" x14ac:dyDescent="0.25">
      <c r="E2978" t="str">
        <f>""</f>
        <v/>
      </c>
      <c r="F2978" t="str">
        <f>""</f>
        <v/>
      </c>
      <c r="H2978" t="str">
        <f t="shared" si="51"/>
        <v>TEXAS COUNTY &amp; DISTRICT RET</v>
      </c>
    </row>
    <row r="2979" spans="5:8" x14ac:dyDescent="0.25">
      <c r="E2979" t="str">
        <f>""</f>
        <v/>
      </c>
      <c r="F2979" t="str">
        <f>""</f>
        <v/>
      </c>
      <c r="H2979" t="str">
        <f t="shared" si="51"/>
        <v>TEXAS COUNTY &amp; DISTRICT RET</v>
      </c>
    </row>
    <row r="2980" spans="5:8" x14ac:dyDescent="0.25">
      <c r="E2980" t="str">
        <f>""</f>
        <v/>
      </c>
      <c r="F2980" t="str">
        <f>""</f>
        <v/>
      </c>
      <c r="H2980" t="str">
        <f t="shared" si="51"/>
        <v>TEXAS COUNTY &amp; DISTRICT RET</v>
      </c>
    </row>
    <row r="2981" spans="5:8" x14ac:dyDescent="0.25">
      <c r="E2981" t="str">
        <f>""</f>
        <v/>
      </c>
      <c r="F2981" t="str">
        <f>""</f>
        <v/>
      </c>
      <c r="H2981" t="str">
        <f t="shared" si="51"/>
        <v>TEXAS COUNTY &amp; DISTRICT RET</v>
      </c>
    </row>
    <row r="2982" spans="5:8" x14ac:dyDescent="0.25">
      <c r="E2982" t="str">
        <f>""</f>
        <v/>
      </c>
      <c r="F2982" t="str">
        <f>""</f>
        <v/>
      </c>
      <c r="H2982" t="str">
        <f t="shared" si="51"/>
        <v>TEXAS COUNTY &amp; DISTRICT RET</v>
      </c>
    </row>
    <row r="2983" spans="5:8" x14ac:dyDescent="0.25">
      <c r="E2983" t="str">
        <f>""</f>
        <v/>
      </c>
      <c r="F2983" t="str">
        <f>""</f>
        <v/>
      </c>
      <c r="H2983" t="str">
        <f t="shared" si="51"/>
        <v>TEXAS COUNTY &amp; DISTRICT RET</v>
      </c>
    </row>
    <row r="2984" spans="5:8" x14ac:dyDescent="0.25">
      <c r="E2984" t="str">
        <f>""</f>
        <v/>
      </c>
      <c r="F2984" t="str">
        <f>""</f>
        <v/>
      </c>
      <c r="H2984" t="str">
        <f t="shared" si="51"/>
        <v>TEXAS COUNTY &amp; DISTRICT RET</v>
      </c>
    </row>
    <row r="2985" spans="5:8" x14ac:dyDescent="0.25">
      <c r="E2985" t="str">
        <f>""</f>
        <v/>
      </c>
      <c r="F2985" t="str">
        <f>""</f>
        <v/>
      </c>
      <c r="H2985" t="str">
        <f t="shared" si="51"/>
        <v>TEXAS COUNTY &amp; DISTRICT RET</v>
      </c>
    </row>
    <row r="2986" spans="5:8" x14ac:dyDescent="0.25">
      <c r="E2986" t="str">
        <f>""</f>
        <v/>
      </c>
      <c r="F2986" t="str">
        <f>""</f>
        <v/>
      </c>
      <c r="H2986" t="str">
        <f t="shared" si="51"/>
        <v>TEXAS COUNTY &amp; DISTRICT RET</v>
      </c>
    </row>
    <row r="2987" spans="5:8" x14ac:dyDescent="0.25">
      <c r="E2987" t="str">
        <f>""</f>
        <v/>
      </c>
      <c r="F2987" t="str">
        <f>""</f>
        <v/>
      </c>
      <c r="H2987" t="str">
        <f t="shared" si="51"/>
        <v>TEXAS COUNTY &amp; DISTRICT RET</v>
      </c>
    </row>
    <row r="2988" spans="5:8" x14ac:dyDescent="0.25">
      <c r="E2988" t="str">
        <f>""</f>
        <v/>
      </c>
      <c r="F2988" t="str">
        <f>""</f>
        <v/>
      </c>
      <c r="H2988" t="str">
        <f t="shared" si="51"/>
        <v>TEXAS COUNTY &amp; DISTRICT RET</v>
      </c>
    </row>
    <row r="2989" spans="5:8" x14ac:dyDescent="0.25">
      <c r="E2989" t="str">
        <f>""</f>
        <v/>
      </c>
      <c r="F2989" t="str">
        <f>""</f>
        <v/>
      </c>
      <c r="H2989" t="str">
        <f t="shared" si="51"/>
        <v>TEXAS COUNTY &amp; DISTRICT RET</v>
      </c>
    </row>
    <row r="2990" spans="5:8" x14ac:dyDescent="0.25">
      <c r="E2990" t="str">
        <f>""</f>
        <v/>
      </c>
      <c r="F2990" t="str">
        <f>""</f>
        <v/>
      </c>
      <c r="H2990" t="str">
        <f t="shared" si="51"/>
        <v>TEXAS COUNTY &amp; DISTRICT RET</v>
      </c>
    </row>
    <row r="2991" spans="5:8" x14ac:dyDescent="0.25">
      <c r="E2991" t="str">
        <f>""</f>
        <v/>
      </c>
      <c r="F2991" t="str">
        <f>""</f>
        <v/>
      </c>
      <c r="H2991" t="str">
        <f t="shared" si="51"/>
        <v>TEXAS COUNTY &amp; DISTRICT RET</v>
      </c>
    </row>
    <row r="2992" spans="5:8" x14ac:dyDescent="0.25">
      <c r="E2992" t="str">
        <f>""</f>
        <v/>
      </c>
      <c r="F2992" t="str">
        <f>""</f>
        <v/>
      </c>
      <c r="H2992" t="str">
        <f t="shared" si="51"/>
        <v>TEXAS COUNTY &amp; DISTRICT RET</v>
      </c>
    </row>
    <row r="2993" spans="5:8" x14ac:dyDescent="0.25">
      <c r="E2993" t="str">
        <f>""</f>
        <v/>
      </c>
      <c r="F2993" t="str">
        <f>""</f>
        <v/>
      </c>
      <c r="H2993" t="str">
        <f t="shared" si="51"/>
        <v>TEXAS COUNTY &amp; DISTRICT RET</v>
      </c>
    </row>
    <row r="2994" spans="5:8" x14ac:dyDescent="0.25">
      <c r="E2994" t="str">
        <f>""</f>
        <v/>
      </c>
      <c r="F2994" t="str">
        <f>""</f>
        <v/>
      </c>
      <c r="H2994" t="str">
        <f t="shared" si="51"/>
        <v>TEXAS COUNTY &amp; DISTRICT RET</v>
      </c>
    </row>
    <row r="2995" spans="5:8" x14ac:dyDescent="0.25">
      <c r="E2995" t="str">
        <f>""</f>
        <v/>
      </c>
      <c r="F2995" t="str">
        <f>""</f>
        <v/>
      </c>
      <c r="H2995" t="str">
        <f t="shared" si="51"/>
        <v>TEXAS COUNTY &amp; DISTRICT RET</v>
      </c>
    </row>
    <row r="2996" spans="5:8" x14ac:dyDescent="0.25">
      <c r="E2996" t="str">
        <f>""</f>
        <v/>
      </c>
      <c r="F2996" t="str">
        <f>""</f>
        <v/>
      </c>
      <c r="H2996" t="str">
        <f t="shared" si="51"/>
        <v>TEXAS COUNTY &amp; DISTRICT RET</v>
      </c>
    </row>
    <row r="2997" spans="5:8" x14ac:dyDescent="0.25">
      <c r="E2997" t="str">
        <f>""</f>
        <v/>
      </c>
      <c r="F2997" t="str">
        <f>""</f>
        <v/>
      </c>
      <c r="H2997" t="str">
        <f t="shared" si="51"/>
        <v>TEXAS COUNTY &amp; DISTRICT RET</v>
      </c>
    </row>
    <row r="2998" spans="5:8" x14ac:dyDescent="0.25">
      <c r="E2998" t="str">
        <f>""</f>
        <v/>
      </c>
      <c r="F2998" t="str">
        <f>""</f>
        <v/>
      </c>
      <c r="H2998" t="str">
        <f t="shared" si="51"/>
        <v>TEXAS COUNTY &amp; DISTRICT RET</v>
      </c>
    </row>
    <row r="2999" spans="5:8" x14ac:dyDescent="0.25">
      <c r="E2999" t="str">
        <f>""</f>
        <v/>
      </c>
      <c r="F2999" t="str">
        <f>""</f>
        <v/>
      </c>
      <c r="H2999" t="str">
        <f t="shared" si="51"/>
        <v>TEXAS COUNTY &amp; DISTRICT RET</v>
      </c>
    </row>
    <row r="3000" spans="5:8" x14ac:dyDescent="0.25">
      <c r="E3000" t="str">
        <f>""</f>
        <v/>
      </c>
      <c r="F3000" t="str">
        <f>""</f>
        <v/>
      </c>
      <c r="H3000" t="str">
        <f t="shared" si="51"/>
        <v>TEXAS COUNTY &amp; DISTRICT RET</v>
      </c>
    </row>
    <row r="3001" spans="5:8" x14ac:dyDescent="0.25">
      <c r="E3001" t="str">
        <f>""</f>
        <v/>
      </c>
      <c r="F3001" t="str">
        <f>""</f>
        <v/>
      </c>
      <c r="H3001" t="str">
        <f t="shared" si="51"/>
        <v>TEXAS COUNTY &amp; DISTRICT RET</v>
      </c>
    </row>
    <row r="3002" spans="5:8" x14ac:dyDescent="0.25">
      <c r="E3002" t="str">
        <f>""</f>
        <v/>
      </c>
      <c r="F3002" t="str">
        <f>""</f>
        <v/>
      </c>
      <c r="H3002" t="str">
        <f t="shared" si="51"/>
        <v>TEXAS COUNTY &amp; DISTRICT RET</v>
      </c>
    </row>
    <row r="3003" spans="5:8" x14ac:dyDescent="0.25">
      <c r="E3003" t="str">
        <f>""</f>
        <v/>
      </c>
      <c r="F3003" t="str">
        <f>""</f>
        <v/>
      </c>
      <c r="H3003" t="str">
        <f t="shared" si="51"/>
        <v>TEXAS COUNTY &amp; DISTRICT RET</v>
      </c>
    </row>
    <row r="3004" spans="5:8" x14ac:dyDescent="0.25">
      <c r="E3004" t="str">
        <f>""</f>
        <v/>
      </c>
      <c r="F3004" t="str">
        <f>""</f>
        <v/>
      </c>
      <c r="H3004" t="str">
        <f t="shared" si="51"/>
        <v>TEXAS COUNTY &amp; DISTRICT RET</v>
      </c>
    </row>
    <row r="3005" spans="5:8" x14ac:dyDescent="0.25">
      <c r="E3005" t="str">
        <f>""</f>
        <v/>
      </c>
      <c r="F3005" t="str">
        <f>""</f>
        <v/>
      </c>
      <c r="H3005" t="str">
        <f t="shared" si="51"/>
        <v>TEXAS COUNTY &amp; DISTRICT RET</v>
      </c>
    </row>
    <row r="3006" spans="5:8" x14ac:dyDescent="0.25">
      <c r="E3006" t="str">
        <f>""</f>
        <v/>
      </c>
      <c r="F3006" t="str">
        <f>""</f>
        <v/>
      </c>
      <c r="H3006" t="str">
        <f t="shared" ref="H3006:H3023" si="52">"TEXAS COUNTY &amp; DISTRICT RET"</f>
        <v>TEXAS COUNTY &amp; DISTRICT RET</v>
      </c>
    </row>
    <row r="3007" spans="5:8" x14ac:dyDescent="0.25">
      <c r="E3007" t="str">
        <f>""</f>
        <v/>
      </c>
      <c r="F3007" t="str">
        <f>""</f>
        <v/>
      </c>
      <c r="H3007" t="str">
        <f t="shared" si="52"/>
        <v>TEXAS COUNTY &amp; DISTRICT RET</v>
      </c>
    </row>
    <row r="3008" spans="5:8" x14ac:dyDescent="0.25">
      <c r="E3008" t="str">
        <f>""</f>
        <v/>
      </c>
      <c r="F3008" t="str">
        <f>""</f>
        <v/>
      </c>
      <c r="H3008" t="str">
        <f t="shared" si="52"/>
        <v>TEXAS COUNTY &amp; DISTRICT RET</v>
      </c>
    </row>
    <row r="3009" spans="5:8" x14ac:dyDescent="0.25">
      <c r="E3009" t="str">
        <f>""</f>
        <v/>
      </c>
      <c r="F3009" t="str">
        <f>""</f>
        <v/>
      </c>
      <c r="H3009" t="str">
        <f t="shared" si="52"/>
        <v>TEXAS COUNTY &amp; DISTRICT RET</v>
      </c>
    </row>
    <row r="3010" spans="5:8" x14ac:dyDescent="0.25">
      <c r="E3010" t="str">
        <f>""</f>
        <v/>
      </c>
      <c r="F3010" t="str">
        <f>""</f>
        <v/>
      </c>
      <c r="H3010" t="str">
        <f t="shared" si="52"/>
        <v>TEXAS COUNTY &amp; DISTRICT RET</v>
      </c>
    </row>
    <row r="3011" spans="5:8" x14ac:dyDescent="0.25">
      <c r="E3011" t="str">
        <f>""</f>
        <v/>
      </c>
      <c r="F3011" t="str">
        <f>""</f>
        <v/>
      </c>
      <c r="H3011" t="str">
        <f t="shared" si="52"/>
        <v>TEXAS COUNTY &amp; DISTRICT RET</v>
      </c>
    </row>
    <row r="3012" spans="5:8" x14ac:dyDescent="0.25">
      <c r="E3012" t="str">
        <f>""</f>
        <v/>
      </c>
      <c r="F3012" t="str">
        <f>""</f>
        <v/>
      </c>
      <c r="H3012" t="str">
        <f t="shared" si="52"/>
        <v>TEXAS COUNTY &amp; DISTRICT RET</v>
      </c>
    </row>
    <row r="3013" spans="5:8" x14ac:dyDescent="0.25">
      <c r="E3013" t="str">
        <f>""</f>
        <v/>
      </c>
      <c r="F3013" t="str">
        <f>""</f>
        <v/>
      </c>
      <c r="H3013" t="str">
        <f t="shared" si="52"/>
        <v>TEXAS COUNTY &amp; DISTRICT RET</v>
      </c>
    </row>
    <row r="3014" spans="5:8" x14ac:dyDescent="0.25">
      <c r="E3014" t="str">
        <f>""</f>
        <v/>
      </c>
      <c r="F3014" t="str">
        <f>""</f>
        <v/>
      </c>
      <c r="H3014" t="str">
        <f t="shared" si="52"/>
        <v>TEXAS COUNTY &amp; DISTRICT RET</v>
      </c>
    </row>
    <row r="3015" spans="5:8" x14ac:dyDescent="0.25">
      <c r="E3015" t="str">
        <f>""</f>
        <v/>
      </c>
      <c r="F3015" t="str">
        <f>""</f>
        <v/>
      </c>
      <c r="H3015" t="str">
        <f t="shared" si="52"/>
        <v>TEXAS COUNTY &amp; DISTRICT RET</v>
      </c>
    </row>
    <row r="3016" spans="5:8" x14ac:dyDescent="0.25">
      <c r="E3016" t="str">
        <f>""</f>
        <v/>
      </c>
      <c r="F3016" t="str">
        <f>""</f>
        <v/>
      </c>
      <c r="H3016" t="str">
        <f t="shared" si="52"/>
        <v>TEXAS COUNTY &amp; DISTRICT RET</v>
      </c>
    </row>
    <row r="3017" spans="5:8" x14ac:dyDescent="0.25">
      <c r="E3017" t="str">
        <f>""</f>
        <v/>
      </c>
      <c r="F3017" t="str">
        <f>""</f>
        <v/>
      </c>
      <c r="H3017" t="str">
        <f t="shared" si="52"/>
        <v>TEXAS COUNTY &amp; DISTRICT RET</v>
      </c>
    </row>
    <row r="3018" spans="5:8" x14ac:dyDescent="0.25">
      <c r="E3018" t="str">
        <f>""</f>
        <v/>
      </c>
      <c r="F3018" t="str">
        <f>""</f>
        <v/>
      </c>
      <c r="H3018" t="str">
        <f t="shared" si="52"/>
        <v>TEXAS COUNTY &amp; DISTRICT RET</v>
      </c>
    </row>
    <row r="3019" spans="5:8" x14ac:dyDescent="0.25">
      <c r="E3019" t="str">
        <f>""</f>
        <v/>
      </c>
      <c r="F3019" t="str">
        <f>""</f>
        <v/>
      </c>
      <c r="H3019" t="str">
        <f t="shared" si="52"/>
        <v>TEXAS COUNTY &amp; DISTRICT RET</v>
      </c>
    </row>
    <row r="3020" spans="5:8" x14ac:dyDescent="0.25">
      <c r="E3020" t="str">
        <f>""</f>
        <v/>
      </c>
      <c r="F3020" t="str">
        <f>""</f>
        <v/>
      </c>
      <c r="H3020" t="str">
        <f t="shared" si="52"/>
        <v>TEXAS COUNTY &amp; DISTRICT RET</v>
      </c>
    </row>
    <row r="3021" spans="5:8" x14ac:dyDescent="0.25">
      <c r="E3021" t="str">
        <f>""</f>
        <v/>
      </c>
      <c r="F3021" t="str">
        <f>""</f>
        <v/>
      </c>
      <c r="H3021" t="str">
        <f t="shared" si="52"/>
        <v>TEXAS COUNTY &amp; DISTRICT RET</v>
      </c>
    </row>
    <row r="3022" spans="5:8" x14ac:dyDescent="0.25">
      <c r="E3022" t="str">
        <f>""</f>
        <v/>
      </c>
      <c r="F3022" t="str">
        <f>""</f>
        <v/>
      </c>
      <c r="H3022" t="str">
        <f t="shared" si="52"/>
        <v>TEXAS COUNTY &amp; DISTRICT RET</v>
      </c>
    </row>
    <row r="3023" spans="5:8" x14ac:dyDescent="0.25">
      <c r="E3023" t="str">
        <f>""</f>
        <v/>
      </c>
      <c r="F3023" t="str">
        <f>""</f>
        <v/>
      </c>
      <c r="H3023" t="str">
        <f t="shared" si="52"/>
        <v>TEXAS COUNTY &amp; DISTRICT RET</v>
      </c>
    </row>
    <row r="3024" spans="5:8" x14ac:dyDescent="0.25">
      <c r="E3024" t="str">
        <f>"RET201904308909"</f>
        <v>RET201904308909</v>
      </c>
      <c r="F3024" t="str">
        <f>"TEXAS COUNTY  DISTRICT RET"</f>
        <v>TEXAS COUNTY  DISTRICT RET</v>
      </c>
      <c r="G3024" s="2">
        <v>5855.86</v>
      </c>
      <c r="H3024" t="str">
        <f>"TEXAS COUNTY  DISTRICT RET"</f>
        <v>TEXAS COUNTY  DISTRICT RET</v>
      </c>
    </row>
    <row r="3025" spans="5:8" x14ac:dyDescent="0.25">
      <c r="E3025" t="str">
        <f>""</f>
        <v/>
      </c>
      <c r="F3025" t="str">
        <f>""</f>
        <v/>
      </c>
      <c r="H3025" t="str">
        <f>"TEXAS COUNTY  DISTRICT RET"</f>
        <v>TEXAS COUNTY  DISTRICT RET</v>
      </c>
    </row>
    <row r="3026" spans="5:8" x14ac:dyDescent="0.25">
      <c r="E3026" t="str">
        <f>"RET201904308910"</f>
        <v>RET201904308910</v>
      </c>
      <c r="F3026" t="str">
        <f>"TEXAS COUNTY &amp; DISTRICT RET"</f>
        <v>TEXAS COUNTY &amp; DISTRICT RET</v>
      </c>
      <c r="G3026" s="2">
        <v>7506.74</v>
      </c>
      <c r="H3026" t="str">
        <f t="shared" ref="H3026:H3057" si="53">"TEXAS COUNTY &amp; DISTRICT RET"</f>
        <v>TEXAS COUNTY &amp; DISTRICT RET</v>
      </c>
    </row>
    <row r="3027" spans="5:8" x14ac:dyDescent="0.25">
      <c r="E3027" t="str">
        <f>""</f>
        <v/>
      </c>
      <c r="F3027" t="str">
        <f>""</f>
        <v/>
      </c>
      <c r="H3027" t="str">
        <f t="shared" si="53"/>
        <v>TEXAS COUNTY &amp; DISTRICT RET</v>
      </c>
    </row>
    <row r="3028" spans="5:8" x14ac:dyDescent="0.25">
      <c r="E3028" t="str">
        <f>"RET201905159265"</f>
        <v>RET201905159265</v>
      </c>
      <c r="F3028" t="str">
        <f>"TEXAS COUNTY &amp; DISTRICT RET"</f>
        <v>TEXAS COUNTY &amp; DISTRICT RET</v>
      </c>
      <c r="G3028" s="2">
        <v>157037.85</v>
      </c>
      <c r="H3028" t="str">
        <f t="shared" si="53"/>
        <v>TEXAS COUNTY &amp; DISTRICT RET</v>
      </c>
    </row>
    <row r="3029" spans="5:8" x14ac:dyDescent="0.25">
      <c r="E3029" t="str">
        <f>""</f>
        <v/>
      </c>
      <c r="F3029" t="str">
        <f>""</f>
        <v/>
      </c>
      <c r="H3029" t="str">
        <f t="shared" si="53"/>
        <v>TEXAS COUNTY &amp; DISTRICT RET</v>
      </c>
    </row>
    <row r="3030" spans="5:8" x14ac:dyDescent="0.25">
      <c r="E3030" t="str">
        <f>""</f>
        <v/>
      </c>
      <c r="F3030" t="str">
        <f>""</f>
        <v/>
      </c>
      <c r="H3030" t="str">
        <f t="shared" si="53"/>
        <v>TEXAS COUNTY &amp; DISTRICT RET</v>
      </c>
    </row>
    <row r="3031" spans="5:8" x14ac:dyDescent="0.25">
      <c r="E3031" t="str">
        <f>""</f>
        <v/>
      </c>
      <c r="F3031" t="str">
        <f>""</f>
        <v/>
      </c>
      <c r="H3031" t="str">
        <f t="shared" si="53"/>
        <v>TEXAS COUNTY &amp; DISTRICT RET</v>
      </c>
    </row>
    <row r="3032" spans="5:8" x14ac:dyDescent="0.25">
      <c r="E3032" t="str">
        <f>""</f>
        <v/>
      </c>
      <c r="F3032" t="str">
        <f>""</f>
        <v/>
      </c>
      <c r="H3032" t="str">
        <f t="shared" si="53"/>
        <v>TEXAS COUNTY &amp; DISTRICT RET</v>
      </c>
    </row>
    <row r="3033" spans="5:8" x14ac:dyDescent="0.25">
      <c r="E3033" t="str">
        <f>""</f>
        <v/>
      </c>
      <c r="F3033" t="str">
        <f>""</f>
        <v/>
      </c>
      <c r="H3033" t="str">
        <f t="shared" si="53"/>
        <v>TEXAS COUNTY &amp; DISTRICT RET</v>
      </c>
    </row>
    <row r="3034" spans="5:8" x14ac:dyDescent="0.25">
      <c r="E3034" t="str">
        <f>""</f>
        <v/>
      </c>
      <c r="F3034" t="str">
        <f>""</f>
        <v/>
      </c>
      <c r="H3034" t="str">
        <f t="shared" si="53"/>
        <v>TEXAS COUNTY &amp; DISTRICT RET</v>
      </c>
    </row>
    <row r="3035" spans="5:8" x14ac:dyDescent="0.25">
      <c r="E3035" t="str">
        <f>""</f>
        <v/>
      </c>
      <c r="F3035" t="str">
        <f>""</f>
        <v/>
      </c>
      <c r="H3035" t="str">
        <f t="shared" si="53"/>
        <v>TEXAS COUNTY &amp; DISTRICT RET</v>
      </c>
    </row>
    <row r="3036" spans="5:8" x14ac:dyDescent="0.25">
      <c r="E3036" t="str">
        <f>""</f>
        <v/>
      </c>
      <c r="F3036" t="str">
        <f>""</f>
        <v/>
      </c>
      <c r="H3036" t="str">
        <f t="shared" si="53"/>
        <v>TEXAS COUNTY &amp; DISTRICT RET</v>
      </c>
    </row>
    <row r="3037" spans="5:8" x14ac:dyDescent="0.25">
      <c r="E3037" t="str">
        <f>""</f>
        <v/>
      </c>
      <c r="F3037" t="str">
        <f>""</f>
        <v/>
      </c>
      <c r="H3037" t="str">
        <f t="shared" si="53"/>
        <v>TEXAS COUNTY &amp; DISTRICT RET</v>
      </c>
    </row>
    <row r="3038" spans="5:8" x14ac:dyDescent="0.25">
      <c r="E3038" t="str">
        <f>""</f>
        <v/>
      </c>
      <c r="F3038" t="str">
        <f>""</f>
        <v/>
      </c>
      <c r="H3038" t="str">
        <f t="shared" si="53"/>
        <v>TEXAS COUNTY &amp; DISTRICT RET</v>
      </c>
    </row>
    <row r="3039" spans="5:8" x14ac:dyDescent="0.25">
      <c r="E3039" t="str">
        <f>""</f>
        <v/>
      </c>
      <c r="F3039" t="str">
        <f>""</f>
        <v/>
      </c>
      <c r="H3039" t="str">
        <f t="shared" si="53"/>
        <v>TEXAS COUNTY &amp; DISTRICT RET</v>
      </c>
    </row>
    <row r="3040" spans="5:8" x14ac:dyDescent="0.25">
      <c r="E3040" t="str">
        <f>""</f>
        <v/>
      </c>
      <c r="F3040" t="str">
        <f>""</f>
        <v/>
      </c>
      <c r="H3040" t="str">
        <f t="shared" si="53"/>
        <v>TEXAS COUNTY &amp; DISTRICT RET</v>
      </c>
    </row>
    <row r="3041" spans="5:8" x14ac:dyDescent="0.25">
      <c r="E3041" t="str">
        <f>""</f>
        <v/>
      </c>
      <c r="F3041" t="str">
        <f>""</f>
        <v/>
      </c>
      <c r="H3041" t="str">
        <f t="shared" si="53"/>
        <v>TEXAS COUNTY &amp; DISTRICT RET</v>
      </c>
    </row>
    <row r="3042" spans="5:8" x14ac:dyDescent="0.25">
      <c r="E3042" t="str">
        <f>""</f>
        <v/>
      </c>
      <c r="F3042" t="str">
        <f>""</f>
        <v/>
      </c>
      <c r="H3042" t="str">
        <f t="shared" si="53"/>
        <v>TEXAS COUNTY &amp; DISTRICT RET</v>
      </c>
    </row>
    <row r="3043" spans="5:8" x14ac:dyDescent="0.25">
      <c r="E3043" t="str">
        <f>""</f>
        <v/>
      </c>
      <c r="F3043" t="str">
        <f>""</f>
        <v/>
      </c>
      <c r="H3043" t="str">
        <f t="shared" si="53"/>
        <v>TEXAS COUNTY &amp; DISTRICT RET</v>
      </c>
    </row>
    <row r="3044" spans="5:8" x14ac:dyDescent="0.25">
      <c r="E3044" t="str">
        <f>""</f>
        <v/>
      </c>
      <c r="F3044" t="str">
        <f>""</f>
        <v/>
      </c>
      <c r="H3044" t="str">
        <f t="shared" si="53"/>
        <v>TEXAS COUNTY &amp; DISTRICT RET</v>
      </c>
    </row>
    <row r="3045" spans="5:8" x14ac:dyDescent="0.25">
      <c r="E3045" t="str">
        <f>""</f>
        <v/>
      </c>
      <c r="F3045" t="str">
        <f>""</f>
        <v/>
      </c>
      <c r="H3045" t="str">
        <f t="shared" si="53"/>
        <v>TEXAS COUNTY &amp; DISTRICT RET</v>
      </c>
    </row>
    <row r="3046" spans="5:8" x14ac:dyDescent="0.25">
      <c r="E3046" t="str">
        <f>""</f>
        <v/>
      </c>
      <c r="F3046" t="str">
        <f>""</f>
        <v/>
      </c>
      <c r="H3046" t="str">
        <f t="shared" si="53"/>
        <v>TEXAS COUNTY &amp; DISTRICT RET</v>
      </c>
    </row>
    <row r="3047" spans="5:8" x14ac:dyDescent="0.25">
      <c r="E3047" t="str">
        <f>""</f>
        <v/>
      </c>
      <c r="F3047" t="str">
        <f>""</f>
        <v/>
      </c>
      <c r="H3047" t="str">
        <f t="shared" si="53"/>
        <v>TEXAS COUNTY &amp; DISTRICT RET</v>
      </c>
    </row>
    <row r="3048" spans="5:8" x14ac:dyDescent="0.25">
      <c r="E3048" t="str">
        <f>""</f>
        <v/>
      </c>
      <c r="F3048" t="str">
        <f>""</f>
        <v/>
      </c>
      <c r="H3048" t="str">
        <f t="shared" si="53"/>
        <v>TEXAS COUNTY &amp; DISTRICT RET</v>
      </c>
    </row>
    <row r="3049" spans="5:8" x14ac:dyDescent="0.25">
      <c r="E3049" t="str">
        <f>""</f>
        <v/>
      </c>
      <c r="F3049" t="str">
        <f>""</f>
        <v/>
      </c>
      <c r="H3049" t="str">
        <f t="shared" si="53"/>
        <v>TEXAS COUNTY &amp; DISTRICT RET</v>
      </c>
    </row>
    <row r="3050" spans="5:8" x14ac:dyDescent="0.25">
      <c r="E3050" t="str">
        <f>""</f>
        <v/>
      </c>
      <c r="F3050" t="str">
        <f>""</f>
        <v/>
      </c>
      <c r="H3050" t="str">
        <f t="shared" si="53"/>
        <v>TEXAS COUNTY &amp; DISTRICT RET</v>
      </c>
    </row>
    <row r="3051" spans="5:8" x14ac:dyDescent="0.25">
      <c r="E3051" t="str">
        <f>""</f>
        <v/>
      </c>
      <c r="F3051" t="str">
        <f>""</f>
        <v/>
      </c>
      <c r="H3051" t="str">
        <f t="shared" si="53"/>
        <v>TEXAS COUNTY &amp; DISTRICT RET</v>
      </c>
    </row>
    <row r="3052" spans="5:8" x14ac:dyDescent="0.25">
      <c r="E3052" t="str">
        <f>""</f>
        <v/>
      </c>
      <c r="F3052" t="str">
        <f>""</f>
        <v/>
      </c>
      <c r="H3052" t="str">
        <f t="shared" si="53"/>
        <v>TEXAS COUNTY &amp; DISTRICT RET</v>
      </c>
    </row>
    <row r="3053" spans="5:8" x14ac:dyDescent="0.25">
      <c r="E3053" t="str">
        <f>""</f>
        <v/>
      </c>
      <c r="F3053" t="str">
        <f>""</f>
        <v/>
      </c>
      <c r="H3053" t="str">
        <f t="shared" si="53"/>
        <v>TEXAS COUNTY &amp; DISTRICT RET</v>
      </c>
    </row>
    <row r="3054" spans="5:8" x14ac:dyDescent="0.25">
      <c r="E3054" t="str">
        <f>""</f>
        <v/>
      </c>
      <c r="F3054" t="str">
        <f>""</f>
        <v/>
      </c>
      <c r="H3054" t="str">
        <f t="shared" si="53"/>
        <v>TEXAS COUNTY &amp; DISTRICT RET</v>
      </c>
    </row>
    <row r="3055" spans="5:8" x14ac:dyDescent="0.25">
      <c r="E3055" t="str">
        <f>""</f>
        <v/>
      </c>
      <c r="F3055" t="str">
        <f>""</f>
        <v/>
      </c>
      <c r="H3055" t="str">
        <f t="shared" si="53"/>
        <v>TEXAS COUNTY &amp; DISTRICT RET</v>
      </c>
    </row>
    <row r="3056" spans="5:8" x14ac:dyDescent="0.25">
      <c r="E3056" t="str">
        <f>""</f>
        <v/>
      </c>
      <c r="F3056" t="str">
        <f>""</f>
        <v/>
      </c>
      <c r="H3056" t="str">
        <f t="shared" si="53"/>
        <v>TEXAS COUNTY &amp; DISTRICT RET</v>
      </c>
    </row>
    <row r="3057" spans="5:8" x14ac:dyDescent="0.25">
      <c r="E3057" t="str">
        <f>""</f>
        <v/>
      </c>
      <c r="F3057" t="str">
        <f>""</f>
        <v/>
      </c>
      <c r="H3057" t="str">
        <f t="shared" si="53"/>
        <v>TEXAS COUNTY &amp; DISTRICT RET</v>
      </c>
    </row>
    <row r="3058" spans="5:8" x14ac:dyDescent="0.25">
      <c r="E3058" t="str">
        <f>""</f>
        <v/>
      </c>
      <c r="F3058" t="str">
        <f>""</f>
        <v/>
      </c>
      <c r="H3058" t="str">
        <f t="shared" ref="H3058:H3077" si="54">"TEXAS COUNTY &amp; DISTRICT RET"</f>
        <v>TEXAS COUNTY &amp; DISTRICT RET</v>
      </c>
    </row>
    <row r="3059" spans="5:8" x14ac:dyDescent="0.25">
      <c r="E3059" t="str">
        <f>""</f>
        <v/>
      </c>
      <c r="F3059" t="str">
        <f>""</f>
        <v/>
      </c>
      <c r="H3059" t="str">
        <f t="shared" si="54"/>
        <v>TEXAS COUNTY &amp; DISTRICT RET</v>
      </c>
    </row>
    <row r="3060" spans="5:8" x14ac:dyDescent="0.25">
      <c r="E3060" t="str">
        <f>""</f>
        <v/>
      </c>
      <c r="F3060" t="str">
        <f>""</f>
        <v/>
      </c>
      <c r="H3060" t="str">
        <f t="shared" si="54"/>
        <v>TEXAS COUNTY &amp; DISTRICT RET</v>
      </c>
    </row>
    <row r="3061" spans="5:8" x14ac:dyDescent="0.25">
      <c r="E3061" t="str">
        <f>""</f>
        <v/>
      </c>
      <c r="F3061" t="str">
        <f>""</f>
        <v/>
      </c>
      <c r="H3061" t="str">
        <f t="shared" si="54"/>
        <v>TEXAS COUNTY &amp; DISTRICT RET</v>
      </c>
    </row>
    <row r="3062" spans="5:8" x14ac:dyDescent="0.25">
      <c r="E3062" t="str">
        <f>""</f>
        <v/>
      </c>
      <c r="F3062" t="str">
        <f>""</f>
        <v/>
      </c>
      <c r="H3062" t="str">
        <f t="shared" si="54"/>
        <v>TEXAS COUNTY &amp; DISTRICT RET</v>
      </c>
    </row>
    <row r="3063" spans="5:8" x14ac:dyDescent="0.25">
      <c r="E3063" t="str">
        <f>""</f>
        <v/>
      </c>
      <c r="F3063" t="str">
        <f>""</f>
        <v/>
      </c>
      <c r="H3063" t="str">
        <f t="shared" si="54"/>
        <v>TEXAS COUNTY &amp; DISTRICT RET</v>
      </c>
    </row>
    <row r="3064" spans="5:8" x14ac:dyDescent="0.25">
      <c r="E3064" t="str">
        <f>""</f>
        <v/>
      </c>
      <c r="F3064" t="str">
        <f>""</f>
        <v/>
      </c>
      <c r="H3064" t="str">
        <f t="shared" si="54"/>
        <v>TEXAS COUNTY &amp; DISTRICT RET</v>
      </c>
    </row>
    <row r="3065" spans="5:8" x14ac:dyDescent="0.25">
      <c r="E3065" t="str">
        <f>""</f>
        <v/>
      </c>
      <c r="F3065" t="str">
        <f>""</f>
        <v/>
      </c>
      <c r="H3065" t="str">
        <f t="shared" si="54"/>
        <v>TEXAS COUNTY &amp; DISTRICT RET</v>
      </c>
    </row>
    <row r="3066" spans="5:8" x14ac:dyDescent="0.25">
      <c r="E3066" t="str">
        <f>""</f>
        <v/>
      </c>
      <c r="F3066" t="str">
        <f>""</f>
        <v/>
      </c>
      <c r="H3066" t="str">
        <f t="shared" si="54"/>
        <v>TEXAS COUNTY &amp; DISTRICT RET</v>
      </c>
    </row>
    <row r="3067" spans="5:8" x14ac:dyDescent="0.25">
      <c r="E3067" t="str">
        <f>""</f>
        <v/>
      </c>
      <c r="F3067" t="str">
        <f>""</f>
        <v/>
      </c>
      <c r="H3067" t="str">
        <f t="shared" si="54"/>
        <v>TEXAS COUNTY &amp; DISTRICT RET</v>
      </c>
    </row>
    <row r="3068" spans="5:8" x14ac:dyDescent="0.25">
      <c r="E3068" t="str">
        <f>""</f>
        <v/>
      </c>
      <c r="F3068" t="str">
        <f>""</f>
        <v/>
      </c>
      <c r="H3068" t="str">
        <f t="shared" si="54"/>
        <v>TEXAS COUNTY &amp; DISTRICT RET</v>
      </c>
    </row>
    <row r="3069" spans="5:8" x14ac:dyDescent="0.25">
      <c r="E3069" t="str">
        <f>""</f>
        <v/>
      </c>
      <c r="F3069" t="str">
        <f>""</f>
        <v/>
      </c>
      <c r="H3069" t="str">
        <f t="shared" si="54"/>
        <v>TEXAS COUNTY &amp; DISTRICT RET</v>
      </c>
    </row>
    <row r="3070" spans="5:8" x14ac:dyDescent="0.25">
      <c r="E3070" t="str">
        <f>""</f>
        <v/>
      </c>
      <c r="F3070" t="str">
        <f>""</f>
        <v/>
      </c>
      <c r="H3070" t="str">
        <f t="shared" si="54"/>
        <v>TEXAS COUNTY &amp; DISTRICT RET</v>
      </c>
    </row>
    <row r="3071" spans="5:8" x14ac:dyDescent="0.25">
      <c r="E3071" t="str">
        <f>""</f>
        <v/>
      </c>
      <c r="F3071" t="str">
        <f>""</f>
        <v/>
      </c>
      <c r="H3071" t="str">
        <f t="shared" si="54"/>
        <v>TEXAS COUNTY &amp; DISTRICT RET</v>
      </c>
    </row>
    <row r="3072" spans="5:8" x14ac:dyDescent="0.25">
      <c r="E3072" t="str">
        <f>""</f>
        <v/>
      </c>
      <c r="F3072" t="str">
        <f>""</f>
        <v/>
      </c>
      <c r="H3072" t="str">
        <f t="shared" si="54"/>
        <v>TEXAS COUNTY &amp; DISTRICT RET</v>
      </c>
    </row>
    <row r="3073" spans="5:8" x14ac:dyDescent="0.25">
      <c r="E3073" t="str">
        <f>""</f>
        <v/>
      </c>
      <c r="F3073" t="str">
        <f>""</f>
        <v/>
      </c>
      <c r="H3073" t="str">
        <f t="shared" si="54"/>
        <v>TEXAS COUNTY &amp; DISTRICT RET</v>
      </c>
    </row>
    <row r="3074" spans="5:8" x14ac:dyDescent="0.25">
      <c r="E3074" t="str">
        <f>""</f>
        <v/>
      </c>
      <c r="F3074" t="str">
        <f>""</f>
        <v/>
      </c>
      <c r="H3074" t="str">
        <f t="shared" si="54"/>
        <v>TEXAS COUNTY &amp; DISTRICT RET</v>
      </c>
    </row>
    <row r="3075" spans="5:8" x14ac:dyDescent="0.25">
      <c r="E3075" t="str">
        <f>""</f>
        <v/>
      </c>
      <c r="F3075" t="str">
        <f>""</f>
        <v/>
      </c>
      <c r="H3075" t="str">
        <f t="shared" si="54"/>
        <v>TEXAS COUNTY &amp; DISTRICT RET</v>
      </c>
    </row>
    <row r="3076" spans="5:8" x14ac:dyDescent="0.25">
      <c r="E3076" t="str">
        <f>""</f>
        <v/>
      </c>
      <c r="F3076" t="str">
        <f>""</f>
        <v/>
      </c>
      <c r="H3076" t="str">
        <f t="shared" si="54"/>
        <v>TEXAS COUNTY &amp; DISTRICT RET</v>
      </c>
    </row>
    <row r="3077" spans="5:8" x14ac:dyDescent="0.25">
      <c r="E3077" t="str">
        <f>""</f>
        <v/>
      </c>
      <c r="F3077" t="str">
        <f>""</f>
        <v/>
      </c>
      <c r="H3077" t="str">
        <f t="shared" si="54"/>
        <v>TEXAS COUNTY &amp; DISTRICT RET</v>
      </c>
    </row>
    <row r="3078" spans="5:8" x14ac:dyDescent="0.25">
      <c r="E3078" t="str">
        <f>"RET201905159266"</f>
        <v>RET201905159266</v>
      </c>
      <c r="F3078" t="str">
        <f>"TEXAS COUNTY  DISTRICT RET"</f>
        <v>TEXAS COUNTY  DISTRICT RET</v>
      </c>
      <c r="G3078" s="2">
        <v>5845.3</v>
      </c>
      <c r="H3078" t="str">
        <f>"TEXAS COUNTY  DISTRICT RET"</f>
        <v>TEXAS COUNTY  DISTRICT RET</v>
      </c>
    </row>
    <row r="3079" spans="5:8" x14ac:dyDescent="0.25">
      <c r="E3079" t="str">
        <f>""</f>
        <v/>
      </c>
      <c r="F3079" t="str">
        <f>""</f>
        <v/>
      </c>
      <c r="H3079" t="str">
        <f>"TEXAS COUNTY  DISTRICT RET"</f>
        <v>TEXAS COUNTY  DISTRICT RET</v>
      </c>
    </row>
    <row r="3080" spans="5:8" x14ac:dyDescent="0.25">
      <c r="E3080" t="str">
        <f>"RET201905159267"</f>
        <v>RET201905159267</v>
      </c>
      <c r="F3080" t="str">
        <f>"TEXAS COUNTY &amp; DISTRICT RET"</f>
        <v>TEXAS COUNTY &amp; DISTRICT RET</v>
      </c>
      <c r="G3080" s="2">
        <v>7491.15</v>
      </c>
      <c r="H3080" t="str">
        <f t="shared" ref="H3080:H3111" si="55">"TEXAS COUNTY &amp; DISTRICT RET"</f>
        <v>TEXAS COUNTY &amp; DISTRICT RET</v>
      </c>
    </row>
    <row r="3081" spans="5:8" x14ac:dyDescent="0.25">
      <c r="E3081" t="str">
        <f>""</f>
        <v/>
      </c>
      <c r="F3081" t="str">
        <f>""</f>
        <v/>
      </c>
      <c r="H3081" t="str">
        <f t="shared" si="55"/>
        <v>TEXAS COUNTY &amp; DISTRICT RET</v>
      </c>
    </row>
    <row r="3082" spans="5:8" x14ac:dyDescent="0.25">
      <c r="E3082" t="str">
        <f>"RET201905299491"</f>
        <v>RET201905299491</v>
      </c>
      <c r="F3082" t="str">
        <f>"TEXAS COUNTY &amp; DISTRICT RET"</f>
        <v>TEXAS COUNTY &amp; DISTRICT RET</v>
      </c>
      <c r="G3082" s="2">
        <v>149395.45000000001</v>
      </c>
      <c r="H3082" t="str">
        <f t="shared" si="55"/>
        <v>TEXAS COUNTY &amp; DISTRICT RET</v>
      </c>
    </row>
    <row r="3083" spans="5:8" x14ac:dyDescent="0.25">
      <c r="E3083" t="str">
        <f>""</f>
        <v/>
      </c>
      <c r="F3083" t="str">
        <f>""</f>
        <v/>
      </c>
      <c r="H3083" t="str">
        <f t="shared" si="55"/>
        <v>TEXAS COUNTY &amp; DISTRICT RET</v>
      </c>
    </row>
    <row r="3084" spans="5:8" x14ac:dyDescent="0.25">
      <c r="E3084" t="str">
        <f>""</f>
        <v/>
      </c>
      <c r="F3084" t="str">
        <f>""</f>
        <v/>
      </c>
      <c r="H3084" t="str">
        <f t="shared" si="55"/>
        <v>TEXAS COUNTY &amp; DISTRICT RET</v>
      </c>
    </row>
    <row r="3085" spans="5:8" x14ac:dyDescent="0.25">
      <c r="E3085" t="str">
        <f>""</f>
        <v/>
      </c>
      <c r="F3085" t="str">
        <f>""</f>
        <v/>
      </c>
      <c r="H3085" t="str">
        <f t="shared" si="55"/>
        <v>TEXAS COUNTY &amp; DISTRICT RET</v>
      </c>
    </row>
    <row r="3086" spans="5:8" x14ac:dyDescent="0.25">
      <c r="E3086" t="str">
        <f>""</f>
        <v/>
      </c>
      <c r="F3086" t="str">
        <f>""</f>
        <v/>
      </c>
      <c r="H3086" t="str">
        <f t="shared" si="55"/>
        <v>TEXAS COUNTY &amp; DISTRICT RET</v>
      </c>
    </row>
    <row r="3087" spans="5:8" x14ac:dyDescent="0.25">
      <c r="E3087" t="str">
        <f>""</f>
        <v/>
      </c>
      <c r="F3087" t="str">
        <f>""</f>
        <v/>
      </c>
      <c r="H3087" t="str">
        <f t="shared" si="55"/>
        <v>TEXAS COUNTY &amp; DISTRICT RET</v>
      </c>
    </row>
    <row r="3088" spans="5:8" x14ac:dyDescent="0.25">
      <c r="E3088" t="str">
        <f>""</f>
        <v/>
      </c>
      <c r="F3088" t="str">
        <f>""</f>
        <v/>
      </c>
      <c r="H3088" t="str">
        <f t="shared" si="55"/>
        <v>TEXAS COUNTY &amp; DISTRICT RET</v>
      </c>
    </row>
    <row r="3089" spans="5:8" x14ac:dyDescent="0.25">
      <c r="E3089" t="str">
        <f>""</f>
        <v/>
      </c>
      <c r="F3089" t="str">
        <f>""</f>
        <v/>
      </c>
      <c r="H3089" t="str">
        <f t="shared" si="55"/>
        <v>TEXAS COUNTY &amp; DISTRICT RET</v>
      </c>
    </row>
    <row r="3090" spans="5:8" x14ac:dyDescent="0.25">
      <c r="E3090" t="str">
        <f>""</f>
        <v/>
      </c>
      <c r="F3090" t="str">
        <f>""</f>
        <v/>
      </c>
      <c r="H3090" t="str">
        <f t="shared" si="55"/>
        <v>TEXAS COUNTY &amp; DISTRICT RET</v>
      </c>
    </row>
    <row r="3091" spans="5:8" x14ac:dyDescent="0.25">
      <c r="E3091" t="str">
        <f>""</f>
        <v/>
      </c>
      <c r="F3091" t="str">
        <f>""</f>
        <v/>
      </c>
      <c r="H3091" t="str">
        <f t="shared" si="55"/>
        <v>TEXAS COUNTY &amp; DISTRICT RET</v>
      </c>
    </row>
    <row r="3092" spans="5:8" x14ac:dyDescent="0.25">
      <c r="E3092" t="str">
        <f>""</f>
        <v/>
      </c>
      <c r="F3092" t="str">
        <f>""</f>
        <v/>
      </c>
      <c r="H3092" t="str">
        <f t="shared" si="55"/>
        <v>TEXAS COUNTY &amp; DISTRICT RET</v>
      </c>
    </row>
    <row r="3093" spans="5:8" x14ac:dyDescent="0.25">
      <c r="E3093" t="str">
        <f>""</f>
        <v/>
      </c>
      <c r="F3093" t="str">
        <f>""</f>
        <v/>
      </c>
      <c r="H3093" t="str">
        <f t="shared" si="55"/>
        <v>TEXAS COUNTY &amp; DISTRICT RET</v>
      </c>
    </row>
    <row r="3094" spans="5:8" x14ac:dyDescent="0.25">
      <c r="E3094" t="str">
        <f>""</f>
        <v/>
      </c>
      <c r="F3094" t="str">
        <f>""</f>
        <v/>
      </c>
      <c r="H3094" t="str">
        <f t="shared" si="55"/>
        <v>TEXAS COUNTY &amp; DISTRICT RET</v>
      </c>
    </row>
    <row r="3095" spans="5:8" x14ac:dyDescent="0.25">
      <c r="E3095" t="str">
        <f>""</f>
        <v/>
      </c>
      <c r="F3095" t="str">
        <f>""</f>
        <v/>
      </c>
      <c r="H3095" t="str">
        <f t="shared" si="55"/>
        <v>TEXAS COUNTY &amp; DISTRICT RET</v>
      </c>
    </row>
    <row r="3096" spans="5:8" x14ac:dyDescent="0.25">
      <c r="E3096" t="str">
        <f>""</f>
        <v/>
      </c>
      <c r="F3096" t="str">
        <f>""</f>
        <v/>
      </c>
      <c r="H3096" t="str">
        <f t="shared" si="55"/>
        <v>TEXAS COUNTY &amp; DISTRICT RET</v>
      </c>
    </row>
    <row r="3097" spans="5:8" x14ac:dyDescent="0.25">
      <c r="E3097" t="str">
        <f>""</f>
        <v/>
      </c>
      <c r="F3097" t="str">
        <f>""</f>
        <v/>
      </c>
      <c r="H3097" t="str">
        <f t="shared" si="55"/>
        <v>TEXAS COUNTY &amp; DISTRICT RET</v>
      </c>
    </row>
    <row r="3098" spans="5:8" x14ac:dyDescent="0.25">
      <c r="E3098" t="str">
        <f>""</f>
        <v/>
      </c>
      <c r="F3098" t="str">
        <f>""</f>
        <v/>
      </c>
      <c r="H3098" t="str">
        <f t="shared" si="55"/>
        <v>TEXAS COUNTY &amp; DISTRICT RET</v>
      </c>
    </row>
    <row r="3099" spans="5:8" x14ac:dyDescent="0.25">
      <c r="E3099" t="str">
        <f>""</f>
        <v/>
      </c>
      <c r="F3099" t="str">
        <f>""</f>
        <v/>
      </c>
      <c r="H3099" t="str">
        <f t="shared" si="55"/>
        <v>TEXAS COUNTY &amp; DISTRICT RET</v>
      </c>
    </row>
    <row r="3100" spans="5:8" x14ac:dyDescent="0.25">
      <c r="E3100" t="str">
        <f>""</f>
        <v/>
      </c>
      <c r="F3100" t="str">
        <f>""</f>
        <v/>
      </c>
      <c r="H3100" t="str">
        <f t="shared" si="55"/>
        <v>TEXAS COUNTY &amp; DISTRICT RET</v>
      </c>
    </row>
    <row r="3101" spans="5:8" x14ac:dyDescent="0.25">
      <c r="E3101" t="str">
        <f>""</f>
        <v/>
      </c>
      <c r="F3101" t="str">
        <f>""</f>
        <v/>
      </c>
      <c r="H3101" t="str">
        <f t="shared" si="55"/>
        <v>TEXAS COUNTY &amp; DISTRICT RET</v>
      </c>
    </row>
    <row r="3102" spans="5:8" x14ac:dyDescent="0.25">
      <c r="E3102" t="str">
        <f>""</f>
        <v/>
      </c>
      <c r="F3102" t="str">
        <f>""</f>
        <v/>
      </c>
      <c r="H3102" t="str">
        <f t="shared" si="55"/>
        <v>TEXAS COUNTY &amp; DISTRICT RET</v>
      </c>
    </row>
    <row r="3103" spans="5:8" x14ac:dyDescent="0.25">
      <c r="E3103" t="str">
        <f>""</f>
        <v/>
      </c>
      <c r="F3103" t="str">
        <f>""</f>
        <v/>
      </c>
      <c r="H3103" t="str">
        <f t="shared" si="55"/>
        <v>TEXAS COUNTY &amp; DISTRICT RET</v>
      </c>
    </row>
    <row r="3104" spans="5:8" x14ac:dyDescent="0.25">
      <c r="E3104" t="str">
        <f>""</f>
        <v/>
      </c>
      <c r="F3104" t="str">
        <f>""</f>
        <v/>
      </c>
      <c r="H3104" t="str">
        <f t="shared" si="55"/>
        <v>TEXAS COUNTY &amp; DISTRICT RET</v>
      </c>
    </row>
    <row r="3105" spans="5:8" x14ac:dyDescent="0.25">
      <c r="E3105" t="str">
        <f>""</f>
        <v/>
      </c>
      <c r="F3105" t="str">
        <f>""</f>
        <v/>
      </c>
      <c r="H3105" t="str">
        <f t="shared" si="55"/>
        <v>TEXAS COUNTY &amp; DISTRICT RET</v>
      </c>
    </row>
    <row r="3106" spans="5:8" x14ac:dyDescent="0.25">
      <c r="E3106" t="str">
        <f>""</f>
        <v/>
      </c>
      <c r="F3106" t="str">
        <f>""</f>
        <v/>
      </c>
      <c r="H3106" t="str">
        <f t="shared" si="55"/>
        <v>TEXAS COUNTY &amp; DISTRICT RET</v>
      </c>
    </row>
    <row r="3107" spans="5:8" x14ac:dyDescent="0.25">
      <c r="E3107" t="str">
        <f>""</f>
        <v/>
      </c>
      <c r="F3107" t="str">
        <f>""</f>
        <v/>
      </c>
      <c r="H3107" t="str">
        <f t="shared" si="55"/>
        <v>TEXAS COUNTY &amp; DISTRICT RET</v>
      </c>
    </row>
    <row r="3108" spans="5:8" x14ac:dyDescent="0.25">
      <c r="E3108" t="str">
        <f>""</f>
        <v/>
      </c>
      <c r="F3108" t="str">
        <f>""</f>
        <v/>
      </c>
      <c r="H3108" t="str">
        <f t="shared" si="55"/>
        <v>TEXAS COUNTY &amp; DISTRICT RET</v>
      </c>
    </row>
    <row r="3109" spans="5:8" x14ac:dyDescent="0.25">
      <c r="E3109" t="str">
        <f>""</f>
        <v/>
      </c>
      <c r="F3109" t="str">
        <f>""</f>
        <v/>
      </c>
      <c r="H3109" t="str">
        <f t="shared" si="55"/>
        <v>TEXAS COUNTY &amp; DISTRICT RET</v>
      </c>
    </row>
    <row r="3110" spans="5:8" x14ac:dyDescent="0.25">
      <c r="E3110" t="str">
        <f>""</f>
        <v/>
      </c>
      <c r="F3110" t="str">
        <f>""</f>
        <v/>
      </c>
      <c r="H3110" t="str">
        <f t="shared" si="55"/>
        <v>TEXAS COUNTY &amp; DISTRICT RET</v>
      </c>
    </row>
    <row r="3111" spans="5:8" x14ac:dyDescent="0.25">
      <c r="E3111" t="str">
        <f>""</f>
        <v/>
      </c>
      <c r="F3111" t="str">
        <f>""</f>
        <v/>
      </c>
      <c r="H3111" t="str">
        <f t="shared" si="55"/>
        <v>TEXAS COUNTY &amp; DISTRICT RET</v>
      </c>
    </row>
    <row r="3112" spans="5:8" x14ac:dyDescent="0.25">
      <c r="E3112" t="str">
        <f>""</f>
        <v/>
      </c>
      <c r="F3112" t="str">
        <f>""</f>
        <v/>
      </c>
      <c r="H3112" t="str">
        <f t="shared" ref="H3112:H3132" si="56">"TEXAS COUNTY &amp; DISTRICT RET"</f>
        <v>TEXAS COUNTY &amp; DISTRICT RET</v>
      </c>
    </row>
    <row r="3113" spans="5:8" x14ac:dyDescent="0.25">
      <c r="E3113" t="str">
        <f>""</f>
        <v/>
      </c>
      <c r="F3113" t="str">
        <f>""</f>
        <v/>
      </c>
      <c r="H3113" t="str">
        <f t="shared" si="56"/>
        <v>TEXAS COUNTY &amp; DISTRICT RET</v>
      </c>
    </row>
    <row r="3114" spans="5:8" x14ac:dyDescent="0.25">
      <c r="E3114" t="str">
        <f>""</f>
        <v/>
      </c>
      <c r="F3114" t="str">
        <f>""</f>
        <v/>
      </c>
      <c r="H3114" t="str">
        <f t="shared" si="56"/>
        <v>TEXAS COUNTY &amp; DISTRICT RET</v>
      </c>
    </row>
    <row r="3115" spans="5:8" x14ac:dyDescent="0.25">
      <c r="E3115" t="str">
        <f>""</f>
        <v/>
      </c>
      <c r="F3115" t="str">
        <f>""</f>
        <v/>
      </c>
      <c r="H3115" t="str">
        <f t="shared" si="56"/>
        <v>TEXAS COUNTY &amp; DISTRICT RET</v>
      </c>
    </row>
    <row r="3116" spans="5:8" x14ac:dyDescent="0.25">
      <c r="E3116" t="str">
        <f>""</f>
        <v/>
      </c>
      <c r="F3116" t="str">
        <f>""</f>
        <v/>
      </c>
      <c r="H3116" t="str">
        <f t="shared" si="56"/>
        <v>TEXAS COUNTY &amp; DISTRICT RET</v>
      </c>
    </row>
    <row r="3117" spans="5:8" x14ac:dyDescent="0.25">
      <c r="E3117" t="str">
        <f>""</f>
        <v/>
      </c>
      <c r="F3117" t="str">
        <f>""</f>
        <v/>
      </c>
      <c r="H3117" t="str">
        <f t="shared" si="56"/>
        <v>TEXAS COUNTY &amp; DISTRICT RET</v>
      </c>
    </row>
    <row r="3118" spans="5:8" x14ac:dyDescent="0.25">
      <c r="E3118" t="str">
        <f>""</f>
        <v/>
      </c>
      <c r="F3118" t="str">
        <f>""</f>
        <v/>
      </c>
      <c r="H3118" t="str">
        <f t="shared" si="56"/>
        <v>TEXAS COUNTY &amp; DISTRICT RET</v>
      </c>
    </row>
    <row r="3119" spans="5:8" x14ac:dyDescent="0.25">
      <c r="E3119" t="str">
        <f>""</f>
        <v/>
      </c>
      <c r="F3119" t="str">
        <f>""</f>
        <v/>
      </c>
      <c r="H3119" t="str">
        <f t="shared" si="56"/>
        <v>TEXAS COUNTY &amp; DISTRICT RET</v>
      </c>
    </row>
    <row r="3120" spans="5:8" x14ac:dyDescent="0.25">
      <c r="E3120" t="str">
        <f>""</f>
        <v/>
      </c>
      <c r="F3120" t="str">
        <f>""</f>
        <v/>
      </c>
      <c r="H3120" t="str">
        <f t="shared" si="56"/>
        <v>TEXAS COUNTY &amp; DISTRICT RET</v>
      </c>
    </row>
    <row r="3121" spans="5:8" x14ac:dyDescent="0.25">
      <c r="E3121" t="str">
        <f>""</f>
        <v/>
      </c>
      <c r="F3121" t="str">
        <f>""</f>
        <v/>
      </c>
      <c r="H3121" t="str">
        <f t="shared" si="56"/>
        <v>TEXAS COUNTY &amp; DISTRICT RET</v>
      </c>
    </row>
    <row r="3122" spans="5:8" x14ac:dyDescent="0.25">
      <c r="E3122" t="str">
        <f>""</f>
        <v/>
      </c>
      <c r="F3122" t="str">
        <f>""</f>
        <v/>
      </c>
      <c r="H3122" t="str">
        <f t="shared" si="56"/>
        <v>TEXAS COUNTY &amp; DISTRICT RET</v>
      </c>
    </row>
    <row r="3123" spans="5:8" x14ac:dyDescent="0.25">
      <c r="E3123" t="str">
        <f>""</f>
        <v/>
      </c>
      <c r="F3123" t="str">
        <f>""</f>
        <v/>
      </c>
      <c r="H3123" t="str">
        <f t="shared" si="56"/>
        <v>TEXAS COUNTY &amp; DISTRICT RET</v>
      </c>
    </row>
    <row r="3124" spans="5:8" x14ac:dyDescent="0.25">
      <c r="E3124" t="str">
        <f>""</f>
        <v/>
      </c>
      <c r="F3124" t="str">
        <f>""</f>
        <v/>
      </c>
      <c r="H3124" t="str">
        <f t="shared" si="56"/>
        <v>TEXAS COUNTY &amp; DISTRICT RET</v>
      </c>
    </row>
    <row r="3125" spans="5:8" x14ac:dyDescent="0.25">
      <c r="E3125" t="str">
        <f>""</f>
        <v/>
      </c>
      <c r="F3125" t="str">
        <f>""</f>
        <v/>
      </c>
      <c r="H3125" t="str">
        <f t="shared" si="56"/>
        <v>TEXAS COUNTY &amp; DISTRICT RET</v>
      </c>
    </row>
    <row r="3126" spans="5:8" x14ac:dyDescent="0.25">
      <c r="E3126" t="str">
        <f>""</f>
        <v/>
      </c>
      <c r="F3126" t="str">
        <f>""</f>
        <v/>
      </c>
      <c r="H3126" t="str">
        <f t="shared" si="56"/>
        <v>TEXAS COUNTY &amp; DISTRICT RET</v>
      </c>
    </row>
    <row r="3127" spans="5:8" x14ac:dyDescent="0.25">
      <c r="E3127" t="str">
        <f>""</f>
        <v/>
      </c>
      <c r="F3127" t="str">
        <f>""</f>
        <v/>
      </c>
      <c r="H3127" t="str">
        <f t="shared" si="56"/>
        <v>TEXAS COUNTY &amp; DISTRICT RET</v>
      </c>
    </row>
    <row r="3128" spans="5:8" x14ac:dyDescent="0.25">
      <c r="E3128" t="str">
        <f>""</f>
        <v/>
      </c>
      <c r="F3128" t="str">
        <f>""</f>
        <v/>
      </c>
      <c r="H3128" t="str">
        <f t="shared" si="56"/>
        <v>TEXAS COUNTY &amp; DISTRICT RET</v>
      </c>
    </row>
    <row r="3129" spans="5:8" x14ac:dyDescent="0.25">
      <c r="E3129" t="str">
        <f>""</f>
        <v/>
      </c>
      <c r="F3129" t="str">
        <f>""</f>
        <v/>
      </c>
      <c r="H3129" t="str">
        <f t="shared" si="56"/>
        <v>TEXAS COUNTY &amp; DISTRICT RET</v>
      </c>
    </row>
    <row r="3130" spans="5:8" x14ac:dyDescent="0.25">
      <c r="E3130" t="str">
        <f>""</f>
        <v/>
      </c>
      <c r="F3130" t="str">
        <f>""</f>
        <v/>
      </c>
      <c r="H3130" t="str">
        <f t="shared" si="56"/>
        <v>TEXAS COUNTY &amp; DISTRICT RET</v>
      </c>
    </row>
    <row r="3131" spans="5:8" x14ac:dyDescent="0.25">
      <c r="E3131" t="str">
        <f>""</f>
        <v/>
      </c>
      <c r="F3131" t="str">
        <f>""</f>
        <v/>
      </c>
      <c r="H3131" t="str">
        <f t="shared" si="56"/>
        <v>TEXAS COUNTY &amp; DISTRICT RET</v>
      </c>
    </row>
    <row r="3132" spans="5:8" x14ac:dyDescent="0.25">
      <c r="E3132" t="str">
        <f>""</f>
        <v/>
      </c>
      <c r="F3132" t="str">
        <f>""</f>
        <v/>
      </c>
      <c r="H3132" t="str">
        <f t="shared" si="56"/>
        <v>TEXAS COUNTY &amp; DISTRICT RET</v>
      </c>
    </row>
    <row r="3133" spans="5:8" x14ac:dyDescent="0.25">
      <c r="E3133" t="str">
        <f>"RET201905299494"</f>
        <v>RET201905299494</v>
      </c>
      <c r="F3133" t="str">
        <f>"TEXAS COUNTY  DISTRICT RET"</f>
        <v>TEXAS COUNTY  DISTRICT RET</v>
      </c>
      <c r="G3133" s="2">
        <v>5739.79</v>
      </c>
      <c r="H3133" t="str">
        <f>"TEXAS COUNTY  DISTRICT RET"</f>
        <v>TEXAS COUNTY  DISTRICT RET</v>
      </c>
    </row>
    <row r="3134" spans="5:8" x14ac:dyDescent="0.25">
      <c r="E3134" t="str">
        <f>""</f>
        <v/>
      </c>
      <c r="F3134" t="str">
        <f>""</f>
        <v/>
      </c>
      <c r="H3134" t="str">
        <f>"TEXAS COUNTY  DISTRICT RET"</f>
        <v>TEXAS COUNTY  DISTRICT RET</v>
      </c>
    </row>
    <row r="3135" spans="5:8" x14ac:dyDescent="0.25">
      <c r="E3135" t="str">
        <f>"RET201905299495"</f>
        <v>RET201905299495</v>
      </c>
      <c r="F3135" t="str">
        <f>"TEXAS COUNTY &amp; DISTRICT RET"</f>
        <v>TEXAS COUNTY &amp; DISTRICT RET</v>
      </c>
      <c r="G3135" s="2">
        <v>7995</v>
      </c>
      <c r="H3135" t="str">
        <f>"TEXAS COUNTY &amp; DISTRICT RET"</f>
        <v>TEXAS COUNTY &amp; DISTRICT RET</v>
      </c>
    </row>
    <row r="3136" spans="5:8" x14ac:dyDescent="0.25">
      <c r="E3136" t="str">
        <f>""</f>
        <v/>
      </c>
      <c r="F3136" t="str">
        <f>""</f>
        <v/>
      </c>
      <c r="H3136" t="str">
        <f>"TEXAS COUNTY &amp; DISTRICT RET"</f>
        <v>TEXAS COUNTY &amp; DISTRICT RET</v>
      </c>
    </row>
    <row r="3137" spans="1:8" x14ac:dyDescent="0.25">
      <c r="A3137" t="s">
        <v>467</v>
      </c>
      <c r="B3137">
        <v>47489</v>
      </c>
      <c r="C3137" s="2">
        <v>1275</v>
      </c>
      <c r="D3137" s="1">
        <v>43615</v>
      </c>
      <c r="E3137" t="str">
        <f>"LEG201904308908"</f>
        <v>LEG201904308908</v>
      </c>
      <c r="F3137" t="str">
        <f>"TEXAS LEGAL PROTECTION PLAN"</f>
        <v>TEXAS LEGAL PROTECTION PLAN</v>
      </c>
      <c r="G3137" s="2">
        <v>637.5</v>
      </c>
      <c r="H3137" t="str">
        <f>"TEXAS LEGAL PROTECTION PLAN"</f>
        <v>TEXAS LEGAL PROTECTION PLAN</v>
      </c>
    </row>
    <row r="3138" spans="1:8" x14ac:dyDescent="0.25">
      <c r="E3138" t="str">
        <f>"LEG201905159265"</f>
        <v>LEG201905159265</v>
      </c>
      <c r="F3138" t="str">
        <f>"TEXAS LEGAL PROTECTION PLAN"</f>
        <v>TEXAS LEGAL PROTECTION PLAN</v>
      </c>
      <c r="G3138" s="2">
        <v>637.5</v>
      </c>
      <c r="H3138" t="str">
        <f>"TEXAS LEGAL PROTECTION PLAN"</f>
        <v>TEXAS LEGAL PROTECTION PLAN</v>
      </c>
    </row>
    <row r="3139" spans="1:8" x14ac:dyDescent="0.25">
      <c r="A3139" t="s">
        <v>468</v>
      </c>
      <c r="B3139">
        <v>47430</v>
      </c>
      <c r="C3139" s="2">
        <v>227.43</v>
      </c>
      <c r="D3139" s="1">
        <v>43588</v>
      </c>
      <c r="E3139" t="str">
        <f>"SL 201904308908"</f>
        <v>SL 201904308908</v>
      </c>
      <c r="F3139" t="str">
        <f t="shared" ref="F3139:F3144" si="57">"STUDENT LOAN"</f>
        <v>STUDENT LOAN</v>
      </c>
      <c r="G3139" s="2">
        <v>227.43</v>
      </c>
      <c r="H3139" t="str">
        <f t="shared" ref="H3139:H3144" si="58">"STUDENT LOAN"</f>
        <v>STUDENT LOAN</v>
      </c>
    </row>
    <row r="3140" spans="1:8" x14ac:dyDescent="0.25">
      <c r="A3140" t="s">
        <v>469</v>
      </c>
      <c r="B3140">
        <v>47432</v>
      </c>
      <c r="C3140" s="2">
        <v>212.65</v>
      </c>
      <c r="D3140" s="1">
        <v>43588</v>
      </c>
      <c r="E3140" t="str">
        <f>"SL9201904308908"</f>
        <v>SL9201904308908</v>
      </c>
      <c r="F3140" t="str">
        <f t="shared" si="57"/>
        <v>STUDENT LOAN</v>
      </c>
      <c r="G3140" s="2">
        <v>212.65</v>
      </c>
      <c r="H3140" t="str">
        <f t="shared" si="58"/>
        <v>STUDENT LOAN</v>
      </c>
    </row>
    <row r="3141" spans="1:8" x14ac:dyDescent="0.25">
      <c r="A3141" t="s">
        <v>468</v>
      </c>
      <c r="B3141">
        <v>47463</v>
      </c>
      <c r="C3141" s="2">
        <v>227.43</v>
      </c>
      <c r="D3141" s="1">
        <v>43602</v>
      </c>
      <c r="E3141" t="str">
        <f>"SL 201905159265"</f>
        <v>SL 201905159265</v>
      </c>
      <c r="F3141" t="str">
        <f t="shared" si="57"/>
        <v>STUDENT LOAN</v>
      </c>
      <c r="G3141" s="2">
        <v>227.43</v>
      </c>
      <c r="H3141" t="str">
        <f t="shared" si="58"/>
        <v>STUDENT LOAN</v>
      </c>
    </row>
    <row r="3142" spans="1:8" x14ac:dyDescent="0.25">
      <c r="A3142" t="s">
        <v>469</v>
      </c>
      <c r="B3142">
        <v>47465</v>
      </c>
      <c r="C3142" s="2">
        <v>212.65</v>
      </c>
      <c r="D3142" s="1">
        <v>43602</v>
      </c>
      <c r="E3142" t="str">
        <f>"SL9201905159265"</f>
        <v>SL9201905159265</v>
      </c>
      <c r="F3142" t="str">
        <f t="shared" si="57"/>
        <v>STUDENT LOAN</v>
      </c>
      <c r="G3142" s="2">
        <v>212.65</v>
      </c>
      <c r="H3142" t="str">
        <f t="shared" si="58"/>
        <v>STUDENT LOAN</v>
      </c>
    </row>
    <row r="3143" spans="1:8" x14ac:dyDescent="0.25">
      <c r="A3143" t="s">
        <v>468</v>
      </c>
      <c r="B3143">
        <v>47486</v>
      </c>
      <c r="C3143" s="2">
        <v>227.43</v>
      </c>
      <c r="D3143" s="1">
        <v>43616</v>
      </c>
      <c r="E3143" t="str">
        <f>"SL 201905299491"</f>
        <v>SL 201905299491</v>
      </c>
      <c r="F3143" t="str">
        <f t="shared" si="57"/>
        <v>STUDENT LOAN</v>
      </c>
      <c r="G3143" s="2">
        <v>227.43</v>
      </c>
      <c r="H3143" t="str">
        <f t="shared" si="58"/>
        <v>STUDENT LOAN</v>
      </c>
    </row>
    <row r="3144" spans="1:8" x14ac:dyDescent="0.25">
      <c r="A3144" t="s">
        <v>469</v>
      </c>
      <c r="B3144">
        <v>47488</v>
      </c>
      <c r="C3144" s="2">
        <v>212.65</v>
      </c>
      <c r="D3144" s="1">
        <v>43616</v>
      </c>
      <c r="E3144" t="str">
        <f>"SL9201905299491"</f>
        <v>SL9201905299491</v>
      </c>
      <c r="F3144" t="str">
        <f t="shared" si="57"/>
        <v>STUDENT LOAN</v>
      </c>
      <c r="G3144" s="2">
        <v>212.65</v>
      </c>
      <c r="H3144" t="str">
        <f t="shared" si="58"/>
        <v>STUDENT LOAN</v>
      </c>
    </row>
    <row r="3145" spans="1:8" x14ac:dyDescent="0.25">
      <c r="B3145" s="3" t="s">
        <v>470</v>
      </c>
      <c r="C3145" s="2">
        <f>SUM(C2:C3144)</f>
        <v>7020192.5099999988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AP-CHK-RPT-20190805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2019-08-05T19:32:25Z</dcterms:created>
  <dcterms:modified xsi:type="dcterms:W3CDTF">2019-08-05T19:32:25Z</dcterms:modified>
</cp:coreProperties>
</file>