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0805" sheetId="1" r:id="rId1"/>
  </sheets>
  <calcPr calcId="0"/>
</workbook>
</file>

<file path=xl/calcChain.xml><?xml version="1.0" encoding="utf-8"?>
<calcChain xmlns="http://schemas.openxmlformats.org/spreadsheetml/2006/main">
  <c r="C2922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G77" i="1"/>
  <c r="H77" i="1"/>
  <c r="I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G297" i="1"/>
  <c r="H297" i="1"/>
  <c r="I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G471" i="1"/>
  <c r="H471" i="1"/>
  <c r="I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G628" i="1"/>
  <c r="H628" i="1"/>
  <c r="I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G696" i="1"/>
  <c r="H696" i="1"/>
  <c r="I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G772" i="1"/>
  <c r="H772" i="1"/>
  <c r="I772" i="1"/>
  <c r="E773" i="1"/>
  <c r="F773" i="1"/>
  <c r="H773" i="1"/>
  <c r="E774" i="1"/>
  <c r="F774" i="1"/>
  <c r="H774" i="1"/>
  <c r="G775" i="1"/>
  <c r="H775" i="1"/>
  <c r="I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G797" i="1"/>
  <c r="H797" i="1"/>
  <c r="I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G821" i="1"/>
  <c r="H821" i="1"/>
  <c r="I821" i="1"/>
  <c r="E822" i="1"/>
  <c r="F822" i="1"/>
  <c r="H822" i="1"/>
  <c r="G823" i="1"/>
  <c r="H823" i="1"/>
  <c r="I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G869" i="1"/>
  <c r="H869" i="1"/>
  <c r="I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E894" i="1"/>
  <c r="F894" i="1"/>
  <c r="E895" i="1"/>
  <c r="F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G962" i="1"/>
  <c r="H962" i="1"/>
  <c r="I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G967" i="1"/>
  <c r="H967" i="1"/>
  <c r="I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G989" i="1"/>
  <c r="H989" i="1"/>
  <c r="I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G1240" i="1"/>
  <c r="H1240" i="1"/>
  <c r="I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G1412" i="1"/>
  <c r="H1412" i="1"/>
  <c r="I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G1550" i="1"/>
  <c r="H1550" i="1"/>
  <c r="I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G1580" i="1"/>
  <c r="H1580" i="1"/>
  <c r="I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E2387" i="1"/>
  <c r="F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  <c r="E2919" i="1"/>
  <c r="F2919" i="1"/>
  <c r="H2919" i="1"/>
  <c r="E2920" i="1"/>
  <c r="F2920" i="1"/>
  <c r="H2920" i="1"/>
  <c r="E2921" i="1"/>
  <c r="F2921" i="1"/>
  <c r="H2921" i="1"/>
</calcChain>
</file>

<file path=xl/sharedStrings.xml><?xml version="1.0" encoding="utf-8"?>
<sst xmlns="http://schemas.openxmlformats.org/spreadsheetml/2006/main" count="615" uniqueCount="458">
  <si>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</si>
  <si>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</si>
  <si>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</si>
  <si>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</si>
  <si>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</si>
  <si>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</si>
  <si>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</si>
  <si>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</si>
  <si>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973 MATERIALS  LLC</t>
  </si>
  <si>
    <t>A PLUS BAIL BONDS</t>
  </si>
  <si>
    <t>ARNOLD OIL COMPANY OF AUSTIN LP</t>
  </si>
  <si>
    <t>TIMOTHY HALL</t>
  </si>
  <si>
    <t>AAA FIRE &amp; SAFETY EQUIP CO.  INC.</t>
  </si>
  <si>
    <t>ABEL BENITEZ MONDRAGON</t>
  </si>
  <si>
    <t>ACE MART RESTAURANT SUPPLY</t>
  </si>
  <si>
    <t>ADAM DAKOTA ROWINS</t>
  </si>
  <si>
    <t>ADAM MUERY</t>
  </si>
  <si>
    <t>ADENA LEWIS</t>
  </si>
  <si>
    <t>ALBERT NEAL PFEIFFER</t>
  </si>
  <si>
    <t>ALBERT STERLING &amp; ASSOC.</t>
  </si>
  <si>
    <t>ALEJANDRO RODRIGUEZ</t>
  </si>
  <si>
    <t>ALLIED ELECTRONICS  INC.</t>
  </si>
  <si>
    <t>ALLIED INSURANCE</t>
  </si>
  <si>
    <t>="15</t>
  </si>
  <si>
    <t>835  05/01/19"</t>
  </si>
  <si>
    <t>S &amp; D PLUMBING-GIDDINGS LLC</t>
  </si>
  <si>
    <t>AMAZON CAPITAL SERVICES INC</t>
  </si>
  <si>
    <t>AMERICAN TIRE DISTRIBUTORS INC</t>
  </si>
  <si>
    <t>AMG PRINTING &amp; MAILING  LLC</t>
  </si>
  <si>
    <t>ANDERSON &amp; ANDERSON LAW FIRM PC</t>
  </si>
  <si>
    <t>ANDERSON MACHINERY AUSTIN INC</t>
  </si>
  <si>
    <t>ANIXTER INC</t>
  </si>
  <si>
    <t>C APPLEMAN ENT INC</t>
  </si>
  <si>
    <t>AQUA BEVERAGE COMPANY/OZARKA</t>
  </si>
  <si>
    <t>AQUA WATER SUPPLY CORPORATION</t>
  </si>
  <si>
    <t>ARCHITEXAS - ARCHITECTURE  PLANNING &amp; HISTORIC PRE</t>
  </si>
  <si>
    <t>AT &amp; T</t>
  </si>
  <si>
    <t>AT&amp;T</t>
  </si>
  <si>
    <t>AT&amp;T MOBILITY</t>
  </si>
  <si>
    <t>THE AUBAINE SUPPLY COMPANY  INC</t>
  </si>
  <si>
    <t>GATEHOUSE MEDIA TEXAS HOLDINGS II  INC.</t>
  </si>
  <si>
    <t>AUSTIN ANESTHESIOLOGY GROUP</t>
  </si>
  <si>
    <t>AUSTIN GASTROENTERLOGY</t>
  </si>
  <si>
    <t>AUSTIN KIDNEY ASSOCIATES  PA</t>
  </si>
  <si>
    <t>AUSTIN RADIOLOGICAL ASSOC</t>
  </si>
  <si>
    <t>AUSTIN SOUTHWEST ORTHOPAEDIC GROUP</t>
  </si>
  <si>
    <t>JIM ATTRA INC</t>
  </si>
  <si>
    <t>MICHAEL OLDHAM TIRE INC</t>
  </si>
  <si>
    <t>EDUARDO BARRIENTOS</t>
  </si>
  <si>
    <t>BASTROP BAIL BONDS</t>
  </si>
  <si>
    <t>BASTROP CENTRAL APPRAISAL DIST.</t>
  </si>
  <si>
    <t>BASTROP COUNTY SHERIFF'S DEPT</t>
  </si>
  <si>
    <t>DANIEL L HEPKER</t>
  </si>
  <si>
    <t>BASTROP COUNTY CARES</t>
  </si>
  <si>
    <t>BASTROP PROVIDENCE  LLC</t>
  </si>
  <si>
    <t>BASTROP TREE SERVICE  INC</t>
  </si>
  <si>
    <t>BAYER CORPORATION</t>
  </si>
  <si>
    <t>DAVID H OUTON</t>
  </si>
  <si>
    <t>BEN E KEITH CO.</t>
  </si>
  <si>
    <t>MULTI SERVICE TECHNOLOGY SOLUTIONS  INC.</t>
  </si>
  <si>
    <t>B C FOOD GROUP  LLC</t>
  </si>
  <si>
    <t>MAURINE MC LEAN</t>
  </si>
  <si>
    <t>BIMBO FOODS INC</t>
  </si>
  <si>
    <t>BLAS J. COY  JR.</t>
  </si>
  <si>
    <t>BLUEBONNET AREA CRIME STOPPERS PROGRAM</t>
  </si>
  <si>
    <t>BLUEBONNET ELECTRIC COOPERATIVE  INC.</t>
  </si>
  <si>
    <t>BLUEBONNET ELECTRIC</t>
  </si>
  <si>
    <t>="14</t>
  </si>
  <si>
    <t>649  05/21/19"</t>
  </si>
  <si>
    <t>BLUEBONNET TRAILS MHMR</t>
  </si>
  <si>
    <t>BOB BARKER COMPANY  INC.</t>
  </si>
  <si>
    <t>BOBBY BROWN</t>
  </si>
  <si>
    <t>BOEHM TRACTOR SALES INC</t>
  </si>
  <si>
    <t>BOTACH INC.</t>
  </si>
  <si>
    <t>BRAUNTEX MATERIALS INC</t>
  </si>
  <si>
    <t>BRIAN LANGSTON</t>
  </si>
  <si>
    <t>LAW OFFICE OF BRYAN W. MCDANIEL  P.C.</t>
  </si>
  <si>
    <t>BUREAU OF VITAL STATISTICS</t>
  </si>
  <si>
    <t>C M PESL</t>
  </si>
  <si>
    <t>CAPITAL AREA COUNCIL OF GOVERNMENTS</t>
  </si>
  <si>
    <t>CAPITOL BEARING SERVICE OF AUSTIN  INC.</t>
  </si>
  <si>
    <t>TIB-THE INDEPENDENT BANKERS BANK</t>
  </si>
  <si>
    <t>CARL STEINBACH</t>
  </si>
  <si>
    <t>CDW GOVERNMENT INC</t>
  </si>
  <si>
    <t>CECIL R REYNOLDS PHD</t>
  </si>
  <si>
    <t>CENTERPOINT ENERGY</t>
  </si>
  <si>
    <t>CENTRAL TEXAS AUTOPSY</t>
  </si>
  <si>
    <t>CHARLES W CARVER</t>
  </si>
  <si>
    <t>CHARM-TEX</t>
  </si>
  <si>
    <t>CHRIS MATT DILLON</t>
  </si>
  <si>
    <t>CHRISTINA LOY</t>
  </si>
  <si>
    <t>CINTAS</t>
  </si>
  <si>
    <t>CINTAS CORPORATION</t>
  </si>
  <si>
    <t>CINTAS CORPORATION #86</t>
  </si>
  <si>
    <t>CITY OF BASTROP</t>
  </si>
  <si>
    <t>CLARA BECKETT</t>
  </si>
  <si>
    <t>CLINICAL PATHOLOGY LABORATORIES INC</t>
  </si>
  <si>
    <t>CLINICAL PATHOLOGY ASSOC. OF AUSTIN</t>
  </si>
  <si>
    <t>CML SECURITY  LLC</t>
  </si>
  <si>
    <t>CNA SURETY</t>
  </si>
  <si>
    <t>COLORADO MATERIALS CO.</t>
  </si>
  <si>
    <t>HANCOCK  JAHN  LEE &amp; PUCKETT LLC</t>
  </si>
  <si>
    <t>COMMUNITY COFFEE COMPANY LLC</t>
  </si>
  <si>
    <t>COMMUNITY HEALTH CENTERS</t>
  </si>
  <si>
    <t>CONNIE SCHROEDER</t>
  </si>
  <si>
    <t>="13</t>
  </si>
  <si>
    <t>651  05/31/19"</t>
  </si>
  <si>
    <t>CONTECH ENGINEERED SOLUTIONS INC</t>
  </si>
  <si>
    <t>CONVERGENCE CABLING  INC.</t>
  </si>
  <si>
    <t>COOPER EQUIPMENT CO.</t>
  </si>
  <si>
    <t>COTHRON'S SAFE &amp; LOCK CO  INC</t>
  </si>
  <si>
    <t>COUNTY OF BEXAR - SHERIFF</t>
  </si>
  <si>
    <t>CRADLEPOINT INC</t>
  </si>
  <si>
    <t>CRESSIDA EVELYN KWOLEK  Ph.D.</t>
  </si>
  <si>
    <t>DALLAS COUNTY CONSTABLE PCT 1</t>
  </si>
  <si>
    <t>DARLA DAWN ABSHER</t>
  </si>
  <si>
    <t>DARRELL URBAN</t>
  </si>
  <si>
    <t>DAVID B BROOKS</t>
  </si>
  <si>
    <t>DAVID M COLLINS</t>
  </si>
  <si>
    <t>DAVIS &amp; STANTON  INC.</t>
  </si>
  <si>
    <t>DELL</t>
  </si>
  <si>
    <t>SETON FAMILY OF HOSPITALS</t>
  </si>
  <si>
    <t>DENTRUST DENTAL TX PC</t>
  </si>
  <si>
    <t>DESHONDA R WHITE</t>
  </si>
  <si>
    <t>DICKENS LOCKSMITH INC</t>
  </si>
  <si>
    <t>DIMORA HOMES</t>
  </si>
  <si>
    <t>DISCOUNT FEEDS &amp; SUPPLIES</t>
  </si>
  <si>
    <t>THE REINALT - THOMAS CORPORATION</t>
  </si>
  <si>
    <t>DONNA SNOWDEN</t>
  </si>
  <si>
    <t>DONNIE STARK</t>
  </si>
  <si>
    <t>DOUBLE D INTERNATIONAL FOOD CO.  INC.</t>
  </si>
  <si>
    <t>DUNNE &amp; JUAREZ L.L.C.</t>
  </si>
  <si>
    <t>EARL STEINBACH</t>
  </si>
  <si>
    <t>EARTH DAY TEXAS  INC</t>
  </si>
  <si>
    <t>ECOLAB INC</t>
  </si>
  <si>
    <t>ELECTION SYSTEMS &amp; SOFTWARE INC</t>
  </si>
  <si>
    <t>MILLER CONSULTATIONS &amp; ELECTIONS INC</t>
  </si>
  <si>
    <t>BLACKLANDS PUBLICATIONS INC</t>
  </si>
  <si>
    <t>RALPH DAVID GLASS</t>
  </si>
  <si>
    <t>ELGIN PUBLIC LIBRARY</t>
  </si>
  <si>
    <t>CITY OF ELGIN UTILITIES</t>
  </si>
  <si>
    <t>ELLIOTT ELECTRIC SUPPLY INC</t>
  </si>
  <si>
    <t>ELSWORTH SHERMAN</t>
  </si>
  <si>
    <t>ERGON ASPHALT &amp; EMULSIONS INC</t>
  </si>
  <si>
    <t>BASTROP COUNTY WOMEN'S SHELTER</t>
  </si>
  <si>
    <t>FAMILY HEALTH CENTER OF BASTROP PLLC</t>
  </si>
  <si>
    <t>FAYETTE COUNTY SHERIFF</t>
  </si>
  <si>
    <t>FEDERAL BUREAU OF PRISONS</t>
  </si>
  <si>
    <t>FEDERAL EXPRESS</t>
  </si>
  <si>
    <t>FERGUSON ENTERPRISES  INC.</t>
  </si>
  <si>
    <t>FLASHBACK DATA  LLC</t>
  </si>
  <si>
    <t>FLEETPRIDE</t>
  </si>
  <si>
    <t>FLORENCE BEHAVIN</t>
  </si>
  <si>
    <t>FOREMOST COUNTY MUTUAL INS CO</t>
  </si>
  <si>
    <t>347  05/29/19"</t>
  </si>
  <si>
    <t>FORREST L. SANDERSON</t>
  </si>
  <si>
    <t>AUSTIN TRUCK AND EQUIPMENT  LTD</t>
  </si>
  <si>
    <t>EUGENE W BRIGGS JR</t>
  </si>
  <si>
    <t>GALLS PARENT HOLDINGS LLC</t>
  </si>
  <si>
    <t>GALVESTON COUNTY SHERIFF</t>
  </si>
  <si>
    <t>GOVERNMENT FINANCE OFFICERS ASSN</t>
  </si>
  <si>
    <t>GRETCHEN SIMS SWEEN</t>
  </si>
  <si>
    <t>GT DISTRIBUTORS  INC.</t>
  </si>
  <si>
    <t>GULF COAST PAPER CO. INC.</t>
  </si>
  <si>
    <t>HALFF ASSOCIATES</t>
  </si>
  <si>
    <t>HAMILTON ELECTRIC WORKS  INC.</t>
  </si>
  <si>
    <t>DOUGLAS D. SPILLMAN</t>
  </si>
  <si>
    <t>HARRIS COUNTY CONSTABLE PCT 1</t>
  </si>
  <si>
    <t>HAYLEY STITELER</t>
  </si>
  <si>
    <t>HCI</t>
  </si>
  <si>
    <t>ITR AMERICA LLC</t>
  </si>
  <si>
    <t>HENDERSON COUNTY SHERIFF</t>
  </si>
  <si>
    <t>BUTLER ANIMAL HEALTH</t>
  </si>
  <si>
    <t>HERBERT J BARTSCH JR</t>
  </si>
  <si>
    <t>HERSHCAP BACKHOE &amp; DITCHING  INC.</t>
  </si>
  <si>
    <t>="10</t>
  </si>
  <si>
    <t>658  05/10/19"</t>
  </si>
  <si>
    <t>HI-LINE</t>
  </si>
  <si>
    <t>BASCOM L HODGES JR</t>
  </si>
  <si>
    <t>HODGSON G ECKEL</t>
  </si>
  <si>
    <t>BD HOLT CO</t>
  </si>
  <si>
    <t>CITIBANK (SOUTH DAKOTA)N.A./THE HOME DEPOT</t>
  </si>
  <si>
    <t>AMERICAS EQUINE WAREHOUSE  INC.</t>
  </si>
  <si>
    <t>GREGORY LUCAS</t>
  </si>
  <si>
    <t>ICS</t>
  </si>
  <si>
    <t>INDIGENT HEALTHCARE SOLUTIONS</t>
  </si>
  <si>
    <t>INTAB  LLC</t>
  </si>
  <si>
    <t>INTERVET INC</t>
  </si>
  <si>
    <t>IRON MOUNTAIN RECORDS MGMT INC</t>
  </si>
  <si>
    <t>IVANKA LILLIE</t>
  </si>
  <si>
    <t>="8</t>
  </si>
  <si>
    <t>941"</t>
  </si>
  <si>
    <t>JAIME SANTANA</t>
  </si>
  <si>
    <t>JAMES BATES</t>
  </si>
  <si>
    <t>JAMES DONNELLY</t>
  </si>
  <si>
    <t>="16</t>
  </si>
  <si>
    <t>070"</t>
  </si>
  <si>
    <t>JANET L. LYNN</t>
  </si>
  <si>
    <t>JENKINS &amp; JENKINS LLP</t>
  </si>
  <si>
    <t>JENNIFER TOMASZYCKI</t>
  </si>
  <si>
    <t>JERRY HOFROCK</t>
  </si>
  <si>
    <t>505  05/20/19"</t>
  </si>
  <si>
    <t>JOE HOLUB</t>
  </si>
  <si>
    <t>DEERE CREDIT SERVICES INC</t>
  </si>
  <si>
    <t>JOHN DEERE FINANCIAL f.s.b.</t>
  </si>
  <si>
    <t>JORDAN BATTERSBY  MCDONALD</t>
  </si>
  <si>
    <t>BILLY JOSHUA GILL</t>
  </si>
  <si>
    <t>JUSTIN MATTHEW FOHN</t>
  </si>
  <si>
    <t>KAREL ZALESKI</t>
  </si>
  <si>
    <t>KAREN STARKS</t>
  </si>
  <si>
    <t>898  05/01/19"</t>
  </si>
  <si>
    <t>KATHERINE BILOF</t>
  </si>
  <si>
    <t>KATHY G. REEVES</t>
  </si>
  <si>
    <t>393  05/10/19"</t>
  </si>
  <si>
    <t>KAYCI SCHULTZ WATSON</t>
  </si>
  <si>
    <t>KELLIE BAILEY</t>
  </si>
  <si>
    <t>KELLY-MOORE PAINT COMPANY  INC</t>
  </si>
  <si>
    <t>KENNETH LIMUEL</t>
  </si>
  <si>
    <t>KENT BROUSSARD TOWER RENTAL INC</t>
  </si>
  <si>
    <t>KING'S PORTABLE THRONES</t>
  </si>
  <si>
    <t>KNIGHT SECURITY SYSTEMS LLC</t>
  </si>
  <si>
    <t>KOETTER FIRE PROTECTION OF AUSTIN  LLC</t>
  </si>
  <si>
    <t>KYLE BEHRENS</t>
  </si>
  <si>
    <t>THE LA GRANGE PARTS HOUSE INC</t>
  </si>
  <si>
    <t>LA REINA GUADALUPE GARCIA BELAND</t>
  </si>
  <si>
    <t>LABATT INSTITUTIONAL SUPPLY CO</t>
  </si>
  <si>
    <t>LANGFORD COMMUNITY MGMT INC</t>
  </si>
  <si>
    <t>LAURA ROBERTSON</t>
  </si>
  <si>
    <t>LAURIE INGRAM</t>
  </si>
  <si>
    <t>LAVACA COUNTY SHERIFF</t>
  </si>
  <si>
    <t>LUCIO LEAL</t>
  </si>
  <si>
    <t>LES FOEHR</t>
  </si>
  <si>
    <t>LEXISNEXIS RISK DATA MGMT INC</t>
  </si>
  <si>
    <t>LIBERTY TIRE RECYCLING</t>
  </si>
  <si>
    <t>LINDA HARMON-TAX ASSESSOR</t>
  </si>
  <si>
    <t>LISA BARRIGA</t>
  </si>
  <si>
    <t>LISA K JACKSON</t>
  </si>
  <si>
    <t>LISA M. MIMS</t>
  </si>
  <si>
    <t>LISA SMITH</t>
  </si>
  <si>
    <t>LONE STAR CIRCLE OF CARE</t>
  </si>
  <si>
    <t>UNITED KWB COLLABORATIONS LLC</t>
  </si>
  <si>
    <t>LONNIE LAWRENCE DAVIS JR</t>
  </si>
  <si>
    <t>TRUBAR  LLC</t>
  </si>
  <si>
    <t>LOWE'S</t>
  </si>
  <si>
    <t>LYN TURNER</t>
  </si>
  <si>
    <t>MADISON ELLIS</t>
  </si>
  <si>
    <t>MAIREAD BURKE</t>
  </si>
  <si>
    <t>MARIA ANFOSSO</t>
  </si>
  <si>
    <t>MARK A. WHITING</t>
  </si>
  <si>
    <t>MARK MEUTH</t>
  </si>
  <si>
    <t>MARK WHITE</t>
  </si>
  <si>
    <t>JOHN W GASPARINI INC</t>
  </si>
  <si>
    <t>SCI TEXAS FUNERAL SERVICES INC</t>
  </si>
  <si>
    <t>MARY BETH SCOTT</t>
  </si>
  <si>
    <t>MATHESON TRI-GAS INC</t>
  </si>
  <si>
    <t>McCOY'S BUILDING SUPPLY CENTER</t>
  </si>
  <si>
    <t>McCREARY  VESELKA  BRAGG &amp; ALLEN P</t>
  </si>
  <si>
    <t>McKESSON MEDICAL-SURGIVAL GOVERNMENT SOLUTIONS LLC</t>
  </si>
  <si>
    <t>MEDIMPACT HEALTHCARE SYSTEMS INC</t>
  </si>
  <si>
    <t>MEGAN FAITH ANDERSON</t>
  </si>
  <si>
    <t>MELISSA A MEADOR</t>
  </si>
  <si>
    <t>MELLANIE MICKELSON</t>
  </si>
  <si>
    <t>MICHAEL D. WOOD</t>
  </si>
  <si>
    <t>MICHAEL LEE ALEWINE</t>
  </si>
  <si>
    <t>MIDTEX MATERIALS</t>
  </si>
  <si>
    <t>MIKE SCHROEDER</t>
  </si>
  <si>
    <t>ADREA LETRICE BRIDGEMAN</t>
  </si>
  <si>
    <t>JOSEPH EDWARD GRUNINGER</t>
  </si>
  <si>
    <t>JEFFREY RUSSELL KRITZ</t>
  </si>
  <si>
    <t>MICHELLE LYNN HARRIS</t>
  </si>
  <si>
    <t>JOHN MICHAEL COON</t>
  </si>
  <si>
    <t>ELIZABETH RICHVOLDSEN</t>
  </si>
  <si>
    <t>DAVID EARL MCMULLEN</t>
  </si>
  <si>
    <t>ARRION SAVINO ESPINOZA</t>
  </si>
  <si>
    <t>DIXIE ANN KING</t>
  </si>
  <si>
    <t>ROBYNE M TAYLOR</t>
  </si>
  <si>
    <t>MAIRA LORENA GORMAN</t>
  </si>
  <si>
    <t>MOISES OR CAROLINE GUERRERO</t>
  </si>
  <si>
    <t>="12</t>
  </si>
  <si>
    <t>851  05/03/19"</t>
  </si>
  <si>
    <t>MONARCH DISPOSAL  LLC</t>
  </si>
  <si>
    <t>MONIKA SPINDEL</t>
  </si>
  <si>
    <t>HAJOCA CORPORATION</t>
  </si>
  <si>
    <t>MOTOROLA INC</t>
  </si>
  <si>
    <t>NALCO COMPANY LLC</t>
  </si>
  <si>
    <t>NALLEY HVAC MECHANICAL LLC</t>
  </si>
  <si>
    <t>INTERNATIONAL IDENTIFICATION INC.</t>
  </si>
  <si>
    <t>NATIONAL FOOD GROUP INC</t>
  </si>
  <si>
    <t>NAVARRO COUNTY SHERIFF</t>
  </si>
  <si>
    <t>NICHOLAS GRAMES</t>
  </si>
  <si>
    <t>JOHN NIXON</t>
  </si>
  <si>
    <t>NUECES FARM CENTER</t>
  </si>
  <si>
    <t>O'REILLY AUTOMOTIVE  INC.</t>
  </si>
  <si>
    <t>SOUTHERN FOODS GROUP LP</t>
  </si>
  <si>
    <t>OFFICE DEPOT</t>
  </si>
  <si>
    <t>OMNI HOTEL MANAGEMENT CORPORATION</t>
  </si>
  <si>
    <t>ON SITE SERVICES</t>
  </si>
  <si>
    <t>OSKAR NISIMBLAT</t>
  </si>
  <si>
    <t>TACSERV LLC</t>
  </si>
  <si>
    <t>PAIGE TRACTORS INC</t>
  </si>
  <si>
    <t>SL PARKER PARTNERSHIP LLC</t>
  </si>
  <si>
    <t>PATHMARK TRAFFIC EQUIPMENT  LLC</t>
  </si>
  <si>
    <t>JACOB  COX</t>
  </si>
  <si>
    <t>PATTERSON  VETERINARY SUPPLY INC</t>
  </si>
  <si>
    <t>PERDUE  BRANDON  FIELDER  COLLINS &amp; MOTT LLP</t>
  </si>
  <si>
    <t>PHILIP L HALL</t>
  </si>
  <si>
    <t>PHILIP R DUCLOUX</t>
  </si>
  <si>
    <t>CLYDE HAYWOOD SR</t>
  </si>
  <si>
    <t>PM WILSON &amp; ASSOCIATES PLLC</t>
  </si>
  <si>
    <t>POST OAK HARDWARE  INC.</t>
  </si>
  <si>
    <t>POSTMASTER</t>
  </si>
  <si>
    <t>POPE PRO ENTERPRISES INC</t>
  </si>
  <si>
    <t>PRO SERVE ENTERPRISE INC</t>
  </si>
  <si>
    <t>PROFESSIONAL LAW ENFORCEMENT TRAINING</t>
  </si>
  <si>
    <t>ELGIN PROVIDENCE LLC</t>
  </si>
  <si>
    <t>FREEDMAN TRUCK SERVICE INC</t>
  </si>
  <si>
    <t>NESTLE WATERS N AMERICA INC</t>
  </si>
  <si>
    <t>RED WING BUSINESS ADVANTAGE ACCOUNT</t>
  </si>
  <si>
    <t>NRG ENERGY INC</t>
  </si>
  <si>
    <t>REPUBLIC TRUCK SALES   PARTS  &amp; REPAIRS LLC</t>
  </si>
  <si>
    <t>RESERVE ACCOUNT</t>
  </si>
  <si>
    <t>REYNOLDS &amp; KEINARTH</t>
  </si>
  <si>
    <t>RIATA FORD</t>
  </si>
  <si>
    <t>RICHARD ALLAN DICKMAN JR</t>
  </si>
  <si>
    <t>RICHARD M HUTCHINS</t>
  </si>
  <si>
    <t>RICHARD ORMSBY</t>
  </si>
  <si>
    <t>RICOH USA INC</t>
  </si>
  <si>
    <t>CIT TECHNOLOGY FINANCE</t>
  </si>
  <si>
    <t>ROADRUNNER RADIOLOGY EQUIP LLC</t>
  </si>
  <si>
    <t>ROBERT MADDEN INDUSTRIES LTD</t>
  </si>
  <si>
    <t>ROCIC</t>
  </si>
  <si>
    <t>ROCKY ROAD PRINTING</t>
  </si>
  <si>
    <t>ROSE PIETSCH COUNTY CLERK</t>
  </si>
  <si>
    <t>SAFELITE FULFILLMENT INC</t>
  </si>
  <si>
    <t>SAM HOUSTON STATE UNIVERSITY</t>
  </si>
  <si>
    <t>SAMMY LERMA III MD</t>
  </si>
  <si>
    <t>SCOTT &amp; WHITE - BRENHAM</t>
  </si>
  <si>
    <t>SCOTT &amp; WHITE CLINIC</t>
  </si>
  <si>
    <t>SCOTT &amp; WHITE HOSPITAL - TAYLOR</t>
  </si>
  <si>
    <t>SCOTT YOUNG</t>
  </si>
  <si>
    <t>SECURUS TECHNOLOGIES INC</t>
  </si>
  <si>
    <t>SETON HEALTHCARE SPONSORED PROJECTS</t>
  </si>
  <si>
    <t>SHARON HANCOCK</t>
  </si>
  <si>
    <t>962  05/10/19"</t>
  </si>
  <si>
    <t>SHI GOVERNMENT SOLUTIONS INC.</t>
  </si>
  <si>
    <t>SHRED-IT US HOLDCO  INC</t>
  </si>
  <si>
    <t>SIMPSON SEPTIC INCORPORATED</t>
  </si>
  <si>
    <t>SINGLETON ASSOCIATES  PA</t>
  </si>
  <si>
    <t>SIRCHIE FINGER PRINT LABORATORIES</t>
  </si>
  <si>
    <t>SMITH STORES  INC.</t>
  </si>
  <si>
    <t>SMITHVILLE AUTO PARTS  INC</t>
  </si>
  <si>
    <t>SOUTHERN TIRE MART LLC</t>
  </si>
  <si>
    <t>DS WATERS OF AMERICA INC</t>
  </si>
  <si>
    <t>SPECIALTY VETERINARY PHARMACY INC</t>
  </si>
  <si>
    <t>ST DAVID'S HEALTHCARE PARTNERSHIP</t>
  </si>
  <si>
    <t>STAPLES ADVANTAGE</t>
  </si>
  <si>
    <t>STATE OF TEXAS</t>
  </si>
  <si>
    <t>STEPHEN R BECK</t>
  </si>
  <si>
    <t>STERICYCLE  INC.</t>
  </si>
  <si>
    <t>STEVE GRANADO</t>
  </si>
  <si>
    <t>MATTHEW LEE SULLINS</t>
  </si>
  <si>
    <t>SUN COAST RESOURCES</t>
  </si>
  <si>
    <t>SUPREME BRIGHT LONGVIEW  LLC</t>
  </si>
  <si>
    <t>TAVCO SERVICES INC</t>
  </si>
  <si>
    <t>TEXAS DISTRICT &amp; COUNTY ATTORNEYS ASSOCIATION</t>
  </si>
  <si>
    <t>TEJAS ELEVATOR COMPANY</t>
  </si>
  <si>
    <t>JOHN J FIETSAM INC</t>
  </si>
  <si>
    <t>TEX-CON OIL CO</t>
  </si>
  <si>
    <t>TEXAS AGGREGATES  LLC</t>
  </si>
  <si>
    <t>TEXAS ASSOCIATES INSURORS AGENCY</t>
  </si>
  <si>
    <t>TEXAS ASSOCIATION OF COUNTIES</t>
  </si>
  <si>
    <t>TEXAS COLLEGE OF PROBATE JUDGES</t>
  </si>
  <si>
    <t>TEXAS DECON LLC</t>
  </si>
  <si>
    <t>TEXAS DEPT OF MOTOR VEHICLES</t>
  </si>
  <si>
    <t>TEXAS DEPT OF PUBLIC SAFETY</t>
  </si>
  <si>
    <t>429"</t>
  </si>
  <si>
    <t>TXFACT  LLC</t>
  </si>
  <si>
    <t>TEXAS JUSTICE COURT TRAINING CENTER</t>
  </si>
  <si>
    <t>TEXAS STATE UNIVERSITY</t>
  </si>
  <si>
    <t>TEXAS PARKS &amp; WILDLIFE DEPARTMENT</t>
  </si>
  <si>
    <t>HIGH COUNTRY AUTOMOTIVE  LLC</t>
  </si>
  <si>
    <t>TEXAS VISION CLINIC  PLLC</t>
  </si>
  <si>
    <t>BUG MASTER EXTERMINATING SERVICES  LTD</t>
  </si>
  <si>
    <t>JAMES ANDREW CASEY</t>
  </si>
  <si>
    <t>THE ELGIN HISTORICAL ASSOCIATION  INC.</t>
  </si>
  <si>
    <t>THE I-10 CORRIDOR ASSOCIATION</t>
  </si>
  <si>
    <t>RICHARD NELSON MOORE</t>
  </si>
  <si>
    <t>THE TRAVELERS INDEMNITY COMPANY</t>
  </si>
  <si>
    <t>THOMAS MORA</t>
  </si>
  <si>
    <t>WEST PUBLISHING CORPORATION</t>
  </si>
  <si>
    <t>TIM MAHONEY  ATTORNEY AT LAW  PC</t>
  </si>
  <si>
    <t>TWE-ADVANCE/NEWHOUSE PARTNERSHIP</t>
  </si>
  <si>
    <t>TOM GREEN COUNTY SHERIFF</t>
  </si>
  <si>
    <t>TRACTOR SUPPLY CREDIT PLAN</t>
  </si>
  <si>
    <t>TRAVIS COUNTY CONSTABLE PCT 5</t>
  </si>
  <si>
    <t>TRAVIS COUNTY EMERGENCY PHYSICIANS PA</t>
  </si>
  <si>
    <t>TRAVIS COUNTY MEDICAL EXAMINER</t>
  </si>
  <si>
    <t>KAUFFMAN TIRE</t>
  </si>
  <si>
    <t>SETON FAMILY OF DOCTORS</t>
  </si>
  <si>
    <t>TULL FARLEY</t>
  </si>
  <si>
    <t>TX CENTER FOR THE JUDICIARY</t>
  </si>
  <si>
    <t>TX COMMISSION ON JAIL STANDARDS</t>
  </si>
  <si>
    <t>TYLER TECHNOLOGIES INC</t>
  </si>
  <si>
    <t>ULINE  INC.</t>
  </si>
  <si>
    <t>UNITED REFRIGERATION INC</t>
  </si>
  <si>
    <t>UNITED PARCEL SERVICE</t>
  </si>
  <si>
    <t>VALERIE BULLOCK</t>
  </si>
  <si>
    <t>TEXAS DEPARTMENT OF STATE HEALTH SERVICES</t>
  </si>
  <si>
    <t>US BANK NA</t>
  </si>
  <si>
    <t>WAGEWORKS INC  FSA/HSA</t>
  </si>
  <si>
    <t>WALLACE LUNDGREN</t>
  </si>
  <si>
    <t>573  05/15/19"</t>
  </si>
  <si>
    <t>WALLER COUNTY ASPHALT INC</t>
  </si>
  <si>
    <t>WALLER COUNTY SHERIFF</t>
  </si>
  <si>
    <t>WASTE CONNECTIONS LONE STAR. INC.</t>
  </si>
  <si>
    <t>WASTE MANAGEMENT OF TEXAS INC</t>
  </si>
  <si>
    <t>WIND KNOT INCORPORATED</t>
  </si>
  <si>
    <t>MAO PHARMACY INC</t>
  </si>
  <si>
    <t>WILLIAMSON COUNTY CONSTABLE PCT 2</t>
  </si>
  <si>
    <t>WILLIAMSON COUNTY CONSTABLE PCT 4</t>
  </si>
  <si>
    <t>DAHILL OFFICE TECHNOLOGY CORPORATION</t>
  </si>
  <si>
    <t>XEROX CORPORATION</t>
  </si>
  <si>
    <t>XMEDIUS SOLUTIONS INC.</t>
  </si>
  <si>
    <t>YOLANDA WHEATON</t>
  </si>
  <si>
    <t>ZACHARY CARTER</t>
  </si>
  <si>
    <t>ZBATTERY.COM INC</t>
  </si>
  <si>
    <t>ZOETIS US LLC</t>
  </si>
  <si>
    <t>ZORO TOOLS INC</t>
  </si>
  <si>
    <t>ZURICH DIRECT UNDERWRITERS</t>
  </si>
  <si>
    <t>573"</t>
  </si>
  <si>
    <t>BASTROP COUNTY PROBATION DEPT</t>
  </si>
  <si>
    <t>BEFCO ENGINEERING INC</t>
  </si>
  <si>
    <t>DATA PROJECTIONS  INC.</t>
  </si>
  <si>
    <t>FIRST NATIONAL BANK</t>
  </si>
  <si>
    <t>KEITH CHAMBERS</t>
  </si>
  <si>
    <t>KIRKSEY ARCHITECTS  INC.</t>
  </si>
  <si>
    <t>PTP TRANSPORTATION LLC</t>
  </si>
  <si>
    <t>RDO EQUIPMENT CO.</t>
  </si>
  <si>
    <t>SIGNS EXPRESS ENTERPRISES INC</t>
  </si>
  <si>
    <t>SPEED FAB-CRETE CORPORATION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</si>
  <si>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</si>
  <si>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</si>
  <si>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</si>
  <si>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</si>
  <si>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</si>
  <si>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</si>
  <si>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</si>
  <si>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</si>
  <si>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MICHIGAN STATE DISBURSEMENT UNIT(MiSDU)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</si>
  <si>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</si>
  <si>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</si>
  <si>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</si>
  <si>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</si>
  <si>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</si>
  <si>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</si>
  <si>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AWG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</si>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</sst>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2"/>
  <sheetViews>
    <sheetView tabSelected="1" topLeftCell="A2914" workbookViewId="0">
      <selection activeCell="C2923" sqref="C2923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19.42578125" bestFit="1" customWidth="1"/>
    <col min="6" max="6" width="35.85546875" bestFit="1" customWidth="1"/>
    <col min="7" max="7" width="26.5703125" style="2" bestFit="1" customWidth="1"/>
    <col min="8" max="8" width="35.8554687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82455</v>
      </c>
      <c r="C2" s="2">
        <v>35515.08</v>
      </c>
      <c r="D2" s="1">
        <v>43626</v>
      </c>
      <c r="E2" t="str">
        <f>"9725-001-108389"</f>
        <v>9725-001-108389</v>
      </c>
      <c r="F2" t="str">
        <f t="shared" ref="F2:F12" si="0">"ACCT#9725-001/REC BASE/PCT#2"</f>
        <v>ACCT#9725-001/REC BASE/PCT#2</v>
      </c>
      <c r="G2" s="2">
        <v>1867.34</v>
      </c>
      <c r="H2" t="str">
        <f t="shared" ref="H2:H12" si="1">"ACCT#9725-001/REC BASE/PCT#2"</f>
        <v>ACCT#9725-001/REC BASE/PCT#2</v>
      </c>
    </row>
    <row r="3" spans="1:8" x14ac:dyDescent="0.25">
      <c r="E3" t="str">
        <f>"9725-001-108420"</f>
        <v>9725-001-108420</v>
      </c>
      <c r="F3" t="str">
        <f t="shared" si="0"/>
        <v>ACCT#9725-001/REC BASE/PCT#2</v>
      </c>
      <c r="G3" s="2">
        <v>1035.1300000000001</v>
      </c>
      <c r="H3" t="str">
        <f t="shared" si="1"/>
        <v>ACCT#9725-001/REC BASE/PCT#2</v>
      </c>
    </row>
    <row r="4" spans="1:8" x14ac:dyDescent="0.25">
      <c r="E4" t="str">
        <f>"9725-001-108461"</f>
        <v>9725-001-108461</v>
      </c>
      <c r="F4" t="str">
        <f t="shared" si="0"/>
        <v>ACCT#9725-001/REC BASE/PCT#2</v>
      </c>
      <c r="G4" s="2">
        <v>1939.19</v>
      </c>
      <c r="H4" t="str">
        <f t="shared" si="1"/>
        <v>ACCT#9725-001/REC BASE/PCT#2</v>
      </c>
    </row>
    <row r="5" spans="1:8" x14ac:dyDescent="0.25">
      <c r="E5" t="str">
        <f>"9725-001-108508"</f>
        <v>9725-001-108508</v>
      </c>
      <c r="F5" t="str">
        <f t="shared" si="0"/>
        <v>ACCT#9725-001/REC BASE/PCT#2</v>
      </c>
      <c r="G5" s="2">
        <v>1485.75</v>
      </c>
      <c r="H5" t="str">
        <f t="shared" si="1"/>
        <v>ACCT#9725-001/REC BASE/PCT#2</v>
      </c>
    </row>
    <row r="6" spans="1:8" x14ac:dyDescent="0.25">
      <c r="E6" t="str">
        <f>"9725-001-108537"</f>
        <v>9725-001-108537</v>
      </c>
      <c r="F6" t="str">
        <f t="shared" si="0"/>
        <v>ACCT#9725-001/REC BASE/PCT#2</v>
      </c>
      <c r="G6" s="2">
        <v>2583.7199999999998</v>
      </c>
      <c r="H6" t="str">
        <f t="shared" si="1"/>
        <v>ACCT#9725-001/REC BASE/PCT#2</v>
      </c>
    </row>
    <row r="7" spans="1:8" x14ac:dyDescent="0.25">
      <c r="E7" t="str">
        <f>"9725-001-108563"</f>
        <v>9725-001-108563</v>
      </c>
      <c r="F7" t="str">
        <f t="shared" si="0"/>
        <v>ACCT#9725-001/REC BASE/PCT#2</v>
      </c>
      <c r="G7" s="2">
        <v>2300.65</v>
      </c>
      <c r="H7" t="str">
        <f t="shared" si="1"/>
        <v>ACCT#9725-001/REC BASE/PCT#2</v>
      </c>
    </row>
    <row r="8" spans="1:8" x14ac:dyDescent="0.25">
      <c r="E8" t="str">
        <f>"9725-001-108598"</f>
        <v>9725-001-108598</v>
      </c>
      <c r="F8" t="str">
        <f t="shared" si="0"/>
        <v>ACCT#9725-001/REC BASE/PCT#2</v>
      </c>
      <c r="G8" s="2">
        <v>2295.59</v>
      </c>
      <c r="H8" t="str">
        <f t="shared" si="1"/>
        <v>ACCT#9725-001/REC BASE/PCT#2</v>
      </c>
    </row>
    <row r="9" spans="1:8" x14ac:dyDescent="0.25">
      <c r="E9" t="str">
        <f>"9725-001-108630"</f>
        <v>9725-001-108630</v>
      </c>
      <c r="F9" t="str">
        <f t="shared" si="0"/>
        <v>ACCT#9725-001/REC BASE/PCT#2</v>
      </c>
      <c r="G9" s="2">
        <v>3151.93</v>
      </c>
      <c r="H9" t="str">
        <f t="shared" si="1"/>
        <v>ACCT#9725-001/REC BASE/PCT#2</v>
      </c>
    </row>
    <row r="10" spans="1:8" x14ac:dyDescent="0.25">
      <c r="E10" t="str">
        <f>"9725-001-108675"</f>
        <v>9725-001-108675</v>
      </c>
      <c r="F10" t="str">
        <f t="shared" si="0"/>
        <v>ACCT#9725-001/REC BASE/PCT#2</v>
      </c>
      <c r="G10" s="2">
        <v>2606.81</v>
      </c>
      <c r="H10" t="str">
        <f t="shared" si="1"/>
        <v>ACCT#9725-001/REC BASE/PCT#2</v>
      </c>
    </row>
    <row r="11" spans="1:8" x14ac:dyDescent="0.25">
      <c r="E11" t="str">
        <f>"9725-001-108711"</f>
        <v>9725-001-108711</v>
      </c>
      <c r="F11" t="str">
        <f t="shared" si="0"/>
        <v>ACCT#9725-001/REC BASE/PCT#2</v>
      </c>
      <c r="G11" s="2">
        <v>2304.5</v>
      </c>
      <c r="H11" t="str">
        <f t="shared" si="1"/>
        <v>ACCT#9725-001/REC BASE/PCT#2</v>
      </c>
    </row>
    <row r="12" spans="1:8" x14ac:dyDescent="0.25">
      <c r="E12" t="str">
        <f>"9725-001-108747"</f>
        <v>9725-001-108747</v>
      </c>
      <c r="F12" t="str">
        <f t="shared" si="0"/>
        <v>ACCT#9725-001/REC BASE/PCT#2</v>
      </c>
      <c r="G12" s="2">
        <v>1921.68</v>
      </c>
      <c r="H12" t="str">
        <f t="shared" si="1"/>
        <v>ACCT#9725-001/REC BASE/PCT#2</v>
      </c>
    </row>
    <row r="13" spans="1:8" x14ac:dyDescent="0.25">
      <c r="E13" t="str">
        <f>"9725-004-108687"</f>
        <v>9725-004-108687</v>
      </c>
      <c r="F13" t="str">
        <f>"ACCT#9725-004/REC BASE/PCT#4"</f>
        <v>ACCT#9725-004/REC BASE/PCT#4</v>
      </c>
      <c r="G13" s="2">
        <v>208.25</v>
      </c>
      <c r="H13" t="str">
        <f>"ACCT#9725-004/REC BASE/PCT#4"</f>
        <v>ACCT#9725-004/REC BASE/PCT#4</v>
      </c>
    </row>
    <row r="14" spans="1:8" x14ac:dyDescent="0.25">
      <c r="E14" t="str">
        <f>"9725-007-108478"</f>
        <v>9725-007-108478</v>
      </c>
      <c r="F14" t="str">
        <f t="shared" ref="F14:F20" si="2">"ACCT#9725-007/REC BASE/PCT#4"</f>
        <v>ACCT#9725-007/REC BASE/PCT#4</v>
      </c>
      <c r="G14" s="2">
        <v>1617.02</v>
      </c>
      <c r="H14" t="str">
        <f t="shared" ref="H14:H20" si="3">"ACCT#9725-007/REC BASE/PCT#4"</f>
        <v>ACCT#9725-007/REC BASE/PCT#4</v>
      </c>
    </row>
    <row r="15" spans="1:8" x14ac:dyDescent="0.25">
      <c r="E15" t="str">
        <f>"9725-007-108523"</f>
        <v>9725-007-108523</v>
      </c>
      <c r="F15" t="str">
        <f t="shared" si="2"/>
        <v>ACCT#9725-007/REC BASE/PCT#4</v>
      </c>
      <c r="G15" s="2">
        <v>1023.5</v>
      </c>
      <c r="H15" t="str">
        <f t="shared" si="3"/>
        <v>ACCT#9725-007/REC BASE/PCT#4</v>
      </c>
    </row>
    <row r="16" spans="1:8" x14ac:dyDescent="0.25">
      <c r="E16" t="str">
        <f>"9725-007-108550"</f>
        <v>9725-007-108550</v>
      </c>
      <c r="F16" t="str">
        <f t="shared" si="2"/>
        <v>ACCT#9725-007/REC BASE/PCT#4</v>
      </c>
      <c r="G16" s="2">
        <v>2128.5500000000002</v>
      </c>
      <c r="H16" t="str">
        <f t="shared" si="3"/>
        <v>ACCT#9725-007/REC BASE/PCT#4</v>
      </c>
    </row>
    <row r="17" spans="1:8" x14ac:dyDescent="0.25">
      <c r="E17" t="str">
        <f>"9725-007-108579"</f>
        <v>9725-007-108579</v>
      </c>
      <c r="F17" t="str">
        <f t="shared" si="2"/>
        <v>ACCT#9725-007/REC BASE/PCT#4</v>
      </c>
      <c r="G17" s="2">
        <v>2705.01</v>
      </c>
      <c r="H17" t="str">
        <f t="shared" si="3"/>
        <v>ACCT#9725-007/REC BASE/PCT#4</v>
      </c>
    </row>
    <row r="18" spans="1:8" x14ac:dyDescent="0.25">
      <c r="E18" t="str">
        <f>"9725-007-108610"</f>
        <v>9725-007-108610</v>
      </c>
      <c r="F18" t="str">
        <f t="shared" si="2"/>
        <v>ACCT#9725-007/REC BASE/PCT#4</v>
      </c>
      <c r="G18" s="2">
        <v>1911.35</v>
      </c>
      <c r="H18" t="str">
        <f t="shared" si="3"/>
        <v>ACCT#9725-007/REC BASE/PCT#4</v>
      </c>
    </row>
    <row r="19" spans="1:8" x14ac:dyDescent="0.25">
      <c r="E19" t="str">
        <f>"9725-007-108647"</f>
        <v>9725-007-108647</v>
      </c>
      <c r="F19" t="str">
        <f t="shared" si="2"/>
        <v>ACCT#9725-007/REC BASE/PCT#4</v>
      </c>
      <c r="G19" s="2">
        <v>595.44000000000005</v>
      </c>
      <c r="H19" t="str">
        <f t="shared" si="3"/>
        <v>ACCT#9725-007/REC BASE/PCT#4</v>
      </c>
    </row>
    <row r="20" spans="1:8" x14ac:dyDescent="0.25">
      <c r="E20" t="str">
        <f>"9725-007-108689"</f>
        <v>9725-007-108689</v>
      </c>
      <c r="F20" t="str">
        <f t="shared" si="2"/>
        <v>ACCT#9725-007/REC BASE/PCT#4</v>
      </c>
      <c r="G20" s="2">
        <v>416.68</v>
      </c>
      <c r="H20" t="str">
        <f t="shared" si="3"/>
        <v>ACCT#9725-007/REC BASE/PCT#4</v>
      </c>
    </row>
    <row r="21" spans="1:8" x14ac:dyDescent="0.25">
      <c r="E21" t="str">
        <f>"9725-007-108726"</f>
        <v>9725-007-108726</v>
      </c>
      <c r="F21" t="str">
        <f>"ACCT#9725-007/REC/BASE/PCT#4"</f>
        <v>ACCT#9725-007/REC/BASE/PCT#4</v>
      </c>
      <c r="G21" s="2">
        <v>606.29</v>
      </c>
      <c r="H21" t="str">
        <f>"ACCT#9725-007/REC/BASE/PCT#4"</f>
        <v>ACCT#9725-007/REC/BASE/PCT#4</v>
      </c>
    </row>
    <row r="22" spans="1:8" x14ac:dyDescent="0.25">
      <c r="E22" t="str">
        <f>"9725-007-108761"</f>
        <v>9725-007-108761</v>
      </c>
      <c r="F22" t="str">
        <f>"ACCT#9725-007/REC/BASE/PCT#4"</f>
        <v>ACCT#9725-007/REC/BASE/PCT#4</v>
      </c>
      <c r="G22" s="2">
        <v>810.7</v>
      </c>
      <c r="H22" t="str">
        <f>"ACCT#9725-007/REC/BASE/PCT#4"</f>
        <v>ACCT#9725-007/REC/BASE/PCT#4</v>
      </c>
    </row>
    <row r="23" spans="1:8" x14ac:dyDescent="0.25">
      <c r="A23" t="s">
        <v>8</v>
      </c>
      <c r="B23">
        <v>82618</v>
      </c>
      <c r="C23" s="2">
        <v>11454.89</v>
      </c>
      <c r="D23" s="1">
        <v>43640</v>
      </c>
      <c r="E23" t="str">
        <f>"9725-001-108798"</f>
        <v>9725-001-108798</v>
      </c>
      <c r="F23" t="str">
        <f t="shared" ref="F23:F29" si="4">"ACCT#9725-001/REC BASE/PCT#2"</f>
        <v>ACCT#9725-001/REC BASE/PCT#2</v>
      </c>
      <c r="G23" s="2">
        <v>1036.53</v>
      </c>
      <c r="H23" t="str">
        <f t="shared" ref="H23:H29" si="5">"ACCT#9725-001/REC BASE/PCT#2"</f>
        <v>ACCT#9725-001/REC BASE/PCT#2</v>
      </c>
    </row>
    <row r="24" spans="1:8" x14ac:dyDescent="0.25">
      <c r="E24" t="str">
        <f>"9725-001-108832"</f>
        <v>9725-001-108832</v>
      </c>
      <c r="F24" t="str">
        <f t="shared" si="4"/>
        <v>ACCT#9725-001/REC BASE/PCT#2</v>
      </c>
      <c r="G24" s="2">
        <v>800.63</v>
      </c>
      <c r="H24" t="str">
        <f t="shared" si="5"/>
        <v>ACCT#9725-001/REC BASE/PCT#2</v>
      </c>
    </row>
    <row r="25" spans="1:8" x14ac:dyDescent="0.25">
      <c r="E25" t="str">
        <f>"9725-001-108913"</f>
        <v>9725-001-108913</v>
      </c>
      <c r="F25" t="str">
        <f t="shared" si="4"/>
        <v>ACCT#9725-001/REC BASE/PCT#2</v>
      </c>
      <c r="G25" s="2">
        <v>392.79</v>
      </c>
      <c r="H25" t="str">
        <f t="shared" si="5"/>
        <v>ACCT#9725-001/REC BASE/PCT#2</v>
      </c>
    </row>
    <row r="26" spans="1:8" x14ac:dyDescent="0.25">
      <c r="E26" t="str">
        <f>"9725-001-108943"</f>
        <v>9725-001-108943</v>
      </c>
      <c r="F26" t="str">
        <f t="shared" si="4"/>
        <v>ACCT#9725-001/REC BASE/PCT#2</v>
      </c>
      <c r="G26" s="2">
        <v>611.01</v>
      </c>
      <c r="H26" t="str">
        <f t="shared" si="5"/>
        <v>ACCT#9725-001/REC BASE/PCT#2</v>
      </c>
    </row>
    <row r="27" spans="1:8" x14ac:dyDescent="0.25">
      <c r="E27" t="str">
        <f>"9725-001-109055"</f>
        <v>9725-001-109055</v>
      </c>
      <c r="F27" t="str">
        <f t="shared" si="4"/>
        <v>ACCT#9725-001/REC BASE/PCT#2</v>
      </c>
      <c r="G27" s="2">
        <v>206.33</v>
      </c>
      <c r="H27" t="str">
        <f t="shared" si="5"/>
        <v>ACCT#9725-001/REC BASE/PCT#2</v>
      </c>
    </row>
    <row r="28" spans="1:8" x14ac:dyDescent="0.25">
      <c r="E28" t="str">
        <f>"9725-001-109097"</f>
        <v>9725-001-109097</v>
      </c>
      <c r="F28" t="str">
        <f t="shared" si="4"/>
        <v>ACCT#9725-001/REC BASE/PCT#2</v>
      </c>
      <c r="G28" s="2">
        <v>432.6</v>
      </c>
      <c r="H28" t="str">
        <f t="shared" si="5"/>
        <v>ACCT#9725-001/REC BASE/PCT#2</v>
      </c>
    </row>
    <row r="29" spans="1:8" x14ac:dyDescent="0.25">
      <c r="E29" t="str">
        <f>"9725-001-109143"</f>
        <v>9725-001-109143</v>
      </c>
      <c r="F29" t="str">
        <f t="shared" si="4"/>
        <v>ACCT#9725-001/REC BASE/PCT#2</v>
      </c>
      <c r="G29" s="2">
        <v>401.63</v>
      </c>
      <c r="H29" t="str">
        <f t="shared" si="5"/>
        <v>ACCT#9725-001/REC BASE/PCT#2</v>
      </c>
    </row>
    <row r="30" spans="1:8" x14ac:dyDescent="0.25">
      <c r="E30" t="str">
        <f>"9725-004-108892"</f>
        <v>9725-004-108892</v>
      </c>
      <c r="F30" t="str">
        <f>"ACCT#9725-004/REC BASE/PCT#1"</f>
        <v>ACCT#9725-004/REC BASE/PCT#1</v>
      </c>
      <c r="G30" s="2">
        <v>1048.08</v>
      </c>
      <c r="H30" t="str">
        <f>"ACCT#9725-004/REC BASE/PCT#1"</f>
        <v>ACCT#9725-004/REC BASE/PCT#1</v>
      </c>
    </row>
    <row r="31" spans="1:8" x14ac:dyDescent="0.25">
      <c r="E31" t="str">
        <f>"9725-004-108924"</f>
        <v>9725-004-108924</v>
      </c>
      <c r="F31" t="str">
        <f>"ACCT#9725-004/REC BASE/PCT#1"</f>
        <v>ACCT#9725-004/REC BASE/PCT#1</v>
      </c>
      <c r="G31" s="2">
        <v>575.14</v>
      </c>
      <c r="H31" t="str">
        <f>"ACCT#9725-004/REC BASE/PCT#1"</f>
        <v>ACCT#9725-004/REC BASE/PCT#1</v>
      </c>
    </row>
    <row r="32" spans="1:8" x14ac:dyDescent="0.25">
      <c r="E32" t="str">
        <f>"9725-004-109070"</f>
        <v>9725-004-109070</v>
      </c>
      <c r="F32" t="str">
        <f>"ACCT#9725-004/REC BASE/PCT#1"</f>
        <v>ACCT#9725-004/REC BASE/PCT#1</v>
      </c>
      <c r="G32" s="2">
        <v>408.37</v>
      </c>
      <c r="H32" t="str">
        <f>"ACCT#9725-004/REC BASE/PCT#1"</f>
        <v>ACCT#9725-004/REC BASE/PCT#1</v>
      </c>
    </row>
    <row r="33" spans="1:8" x14ac:dyDescent="0.25">
      <c r="E33" t="str">
        <f>"9725-004-109113"</f>
        <v>9725-004-109113</v>
      </c>
      <c r="F33" t="str">
        <f>"ACCT#9725-004/REC BASE/PCT#1"</f>
        <v>ACCT#9725-004/REC BASE/PCT#1</v>
      </c>
      <c r="G33" s="2">
        <v>246.93</v>
      </c>
      <c r="H33" t="str">
        <f>"ACCT#9725-004/REC BASE/PCT#1"</f>
        <v>ACCT#9725-004/REC BASE/PCT#1</v>
      </c>
    </row>
    <row r="34" spans="1:8" x14ac:dyDescent="0.25">
      <c r="E34" t="str">
        <f>"9725-007-108810"</f>
        <v>9725-007-108810</v>
      </c>
      <c r="F34" t="str">
        <f>"ACCT#9725-007/REC BASE/PCT#4"</f>
        <v>ACCT#9725-007/REC BASE/PCT#4</v>
      </c>
      <c r="G34" s="2">
        <v>1227.19</v>
      </c>
      <c r="H34" t="str">
        <f>"ACCT#9725-007/REC BASE/PCT#4"</f>
        <v>ACCT#9725-007/REC BASE/PCT#4</v>
      </c>
    </row>
    <row r="35" spans="1:8" x14ac:dyDescent="0.25">
      <c r="E35" t="str">
        <f>"9725-007-109004"</f>
        <v>9725-007-109004</v>
      </c>
      <c r="F35" t="str">
        <f>"ACCT#9725-007/REC BASE/PCT#4"</f>
        <v>ACCT#9725-007/REC BASE/PCT#4</v>
      </c>
      <c r="G35" s="2">
        <v>1285.1300000000001</v>
      </c>
      <c r="H35" t="str">
        <f>"ACCT#9725-007/REC BASE/PCT#4"</f>
        <v>ACCT#9725-007/REC BASE/PCT#4</v>
      </c>
    </row>
    <row r="36" spans="1:8" x14ac:dyDescent="0.25">
      <c r="E36" t="str">
        <f>"9725-007-109040"</f>
        <v>9725-007-109040</v>
      </c>
      <c r="F36" t="str">
        <f>"ACCT#9725-007/REC BASE/PCT#4"</f>
        <v>ACCT#9725-007/REC BASE/PCT#4</v>
      </c>
      <c r="G36" s="2">
        <v>1257.92</v>
      </c>
      <c r="H36" t="str">
        <f>"ACCT#9725-007/REC BASE/PCT#4"</f>
        <v>ACCT#9725-007/REC BASE/PCT#4</v>
      </c>
    </row>
    <row r="37" spans="1:8" x14ac:dyDescent="0.25">
      <c r="E37" t="str">
        <f>"9725-007-109072"</f>
        <v>9725-007-109072</v>
      </c>
      <c r="F37" t="str">
        <f>"ACCT#9725-007/REC BASE/PCT#4"</f>
        <v>ACCT#9725-007/REC BASE/PCT#4</v>
      </c>
      <c r="G37" s="2">
        <v>574.79</v>
      </c>
      <c r="H37" t="str">
        <f>"ACCT#9725-007/REC BASE/PCT#4"</f>
        <v>ACCT#9725-007/REC BASE/PCT#4</v>
      </c>
    </row>
    <row r="38" spans="1:8" x14ac:dyDescent="0.25">
      <c r="E38" t="str">
        <f>"9725-007-109115"</f>
        <v>9725-007-109115</v>
      </c>
      <c r="F38" t="str">
        <f>"ACCT#9725-007/REC BASE/PCT#2"</f>
        <v>ACCT#9725-007/REC BASE/PCT#2</v>
      </c>
      <c r="G38" s="2">
        <v>949.82</v>
      </c>
      <c r="H38" t="str">
        <f>"ACCT#9725-007/REC BASE/PCT#2"</f>
        <v>ACCT#9725-007/REC BASE/PCT#2</v>
      </c>
    </row>
    <row r="39" spans="1:8" x14ac:dyDescent="0.25">
      <c r="A39" t="s">
        <v>9</v>
      </c>
      <c r="B39">
        <v>82619</v>
      </c>
      <c r="C39" s="2">
        <v>30</v>
      </c>
      <c r="D39" s="1">
        <v>43640</v>
      </c>
      <c r="E39" t="str">
        <f>"201906189940"</f>
        <v>201906189940</v>
      </c>
      <c r="F39" t="str">
        <f>"REFUND COUPONS"</f>
        <v>REFUND COUPONS</v>
      </c>
      <c r="G39" s="2">
        <v>30</v>
      </c>
      <c r="H39" t="str">
        <f>"REFUND COUPONS"</f>
        <v>REFUND COUPONS</v>
      </c>
    </row>
    <row r="40" spans="1:8" x14ac:dyDescent="0.25">
      <c r="A40" t="s">
        <v>10</v>
      </c>
      <c r="B40">
        <v>82456</v>
      </c>
      <c r="C40" s="2">
        <v>968.87</v>
      </c>
      <c r="D40" s="1">
        <v>43626</v>
      </c>
      <c r="E40" t="str">
        <f>"201906049581"</f>
        <v>201906049581</v>
      </c>
      <c r="F40" t="str">
        <f>"STATEMENT#349271/CUST ID:16500"</f>
        <v>STATEMENT#349271/CUST ID:16500</v>
      </c>
      <c r="G40" s="2">
        <v>968.87</v>
      </c>
      <c r="H40" t="str">
        <f>"STATEMENT#349271/CUST ID:16500"</f>
        <v>STATEMENT#349271/CUST ID:16500</v>
      </c>
    </row>
    <row r="41" spans="1:8" x14ac:dyDescent="0.25">
      <c r="A41" t="s">
        <v>11</v>
      </c>
      <c r="B41">
        <v>880</v>
      </c>
      <c r="C41" s="2">
        <v>13339.95</v>
      </c>
      <c r="D41" s="1">
        <v>43627</v>
      </c>
      <c r="E41" t="str">
        <f>"201906039537"</f>
        <v>201906039537</v>
      </c>
      <c r="F41" t="str">
        <f>"HAULING EXPS 05/17-05/30/PCT#4"</f>
        <v>HAULING EXPS 05/17-05/30/PCT#4</v>
      </c>
      <c r="G41" s="2">
        <v>3500.48</v>
      </c>
      <c r="H41" t="str">
        <f>"HAULING EXPS 05/17-05/30/PCT#4"</f>
        <v>HAULING EXPS 05/17-05/30/PCT#4</v>
      </c>
    </row>
    <row r="42" spans="1:8" x14ac:dyDescent="0.25">
      <c r="E42" t="str">
        <f>"201906039538"</f>
        <v>201906039538</v>
      </c>
      <c r="F42" t="str">
        <f>"HAULING EXPS 05/17-05/31/PCT#4"</f>
        <v>HAULING EXPS 05/17-05/31/PCT#4</v>
      </c>
      <c r="G42" s="2">
        <v>2748.38</v>
      </c>
      <c r="H42" t="str">
        <f>"HAULING EXPS 05/17-05/31/PCT#4"</f>
        <v>HAULING EXPS 05/17-05/31/PCT#4</v>
      </c>
    </row>
    <row r="43" spans="1:8" x14ac:dyDescent="0.25">
      <c r="E43" t="str">
        <f>"201906039539"</f>
        <v>201906039539</v>
      </c>
      <c r="F43" t="str">
        <f>"HAULING EXPS 05/17-05/29/PCT#1"</f>
        <v>HAULING EXPS 05/17-05/29/PCT#1</v>
      </c>
      <c r="G43" s="2">
        <v>5828.58</v>
      </c>
      <c r="H43" t="str">
        <f>"HAULING EXPS 05/17-05/29/PCT#1"</f>
        <v>HAULING EXPS 05/17-05/29/PCT#1</v>
      </c>
    </row>
    <row r="44" spans="1:8" x14ac:dyDescent="0.25">
      <c r="E44" t="str">
        <f>"201906039540"</f>
        <v>201906039540</v>
      </c>
      <c r="F44" t="str">
        <f>"HALUING EXPS 05/17-05/20/PCT#1"</f>
        <v>HALUING EXPS 05/17-05/20/PCT#1</v>
      </c>
      <c r="G44" s="2">
        <v>1262.51</v>
      </c>
      <c r="H44" t="str">
        <f>"HALUING EXPS 05/17-05/20/PCT#1"</f>
        <v>HALUING EXPS 05/17-05/20/PCT#1</v>
      </c>
    </row>
    <row r="45" spans="1:8" x14ac:dyDescent="0.25">
      <c r="A45" t="s">
        <v>11</v>
      </c>
      <c r="B45">
        <v>938</v>
      </c>
      <c r="C45" s="2">
        <v>8876.99</v>
      </c>
      <c r="D45" s="1">
        <v>43641</v>
      </c>
      <c r="E45" t="str">
        <f>"201906179919"</f>
        <v>201906179919</v>
      </c>
      <c r="F45" t="str">
        <f>"HAULING EXPS 06/03-06/13/PCT#1"</f>
        <v>HAULING EXPS 06/03-06/13/PCT#1</v>
      </c>
      <c r="G45" s="2">
        <v>4542.2299999999996</v>
      </c>
      <c r="H45" t="str">
        <f>"HAULING EXPS 06/03-06/13/PCT#1"</f>
        <v>HAULING EXPS 06/03-06/13/PCT#1</v>
      </c>
    </row>
    <row r="46" spans="1:8" x14ac:dyDescent="0.25">
      <c r="E46" t="str">
        <f>"201906179921"</f>
        <v>201906179921</v>
      </c>
      <c r="F46" t="str">
        <f>"HAULING EXPS 06/03-06/14/PCT#4"</f>
        <v>HAULING EXPS 06/03-06/14/PCT#4</v>
      </c>
      <c r="G46" s="2">
        <v>3451.18</v>
      </c>
      <c r="H46" t="str">
        <f>"HAULING EXPS 06/03-06/14/PCT#4"</f>
        <v>HAULING EXPS 06/03-06/14/PCT#4</v>
      </c>
    </row>
    <row r="47" spans="1:8" x14ac:dyDescent="0.25">
      <c r="E47" t="str">
        <f>"201906179922"</f>
        <v>201906179922</v>
      </c>
      <c r="F47" t="str">
        <f>"HAULING EXPS 06/03/PCT#4"</f>
        <v>HAULING EXPS 06/03/PCT#4</v>
      </c>
      <c r="G47" s="2">
        <v>883.58</v>
      </c>
      <c r="H47" t="str">
        <f>"HAULING EXPS 06/03/PCT#4"</f>
        <v>HAULING EXPS 06/03/PCT#4</v>
      </c>
    </row>
    <row r="48" spans="1:8" x14ac:dyDescent="0.25">
      <c r="A48" t="s">
        <v>12</v>
      </c>
      <c r="B48">
        <v>82457</v>
      </c>
      <c r="C48" s="2">
        <v>446</v>
      </c>
      <c r="D48" s="1">
        <v>43626</v>
      </c>
      <c r="E48" t="str">
        <f>"314318"</f>
        <v>314318</v>
      </c>
      <c r="F48" t="str">
        <f>"FIRE EXT MAINT/PCT#3"</f>
        <v>FIRE EXT MAINT/PCT#3</v>
      </c>
      <c r="G48" s="2">
        <v>446</v>
      </c>
      <c r="H48" t="str">
        <f>"FIRE EXT MAINT/PCT#3"</f>
        <v>FIRE EXT MAINT/PCT#3</v>
      </c>
    </row>
    <row r="49" spans="1:8" x14ac:dyDescent="0.25">
      <c r="A49" t="s">
        <v>13</v>
      </c>
      <c r="B49">
        <v>82620</v>
      </c>
      <c r="C49" s="2">
        <v>25</v>
      </c>
      <c r="D49" s="1">
        <v>43640</v>
      </c>
      <c r="E49" t="str">
        <f>"201906119730"</f>
        <v>201906119730</v>
      </c>
      <c r="F49" t="str">
        <f>"REFUND DRIVEWAY PERMIT FEE"</f>
        <v>REFUND DRIVEWAY PERMIT FEE</v>
      </c>
      <c r="G49" s="2">
        <v>25</v>
      </c>
      <c r="H49" t="str">
        <f>"REFUND DRIVEWAY PERMIT FEE"</f>
        <v>REFUND DRIVEWAY PERMIT FEE</v>
      </c>
    </row>
    <row r="50" spans="1:8" x14ac:dyDescent="0.25">
      <c r="A50" t="s">
        <v>14</v>
      </c>
      <c r="B50">
        <v>932</v>
      </c>
      <c r="C50" s="2">
        <v>91.55</v>
      </c>
      <c r="D50" s="1">
        <v>43641</v>
      </c>
      <c r="E50" t="str">
        <f>"210045480"</f>
        <v>210045480</v>
      </c>
      <c r="F50" t="str">
        <f>"INV 210045480"</f>
        <v>INV 210045480</v>
      </c>
      <c r="G50" s="2">
        <v>91.55</v>
      </c>
      <c r="H50" t="str">
        <f>"INV 210045480"</f>
        <v>INV 210045480</v>
      </c>
    </row>
    <row r="51" spans="1:8" x14ac:dyDescent="0.25">
      <c r="A51" t="s">
        <v>15</v>
      </c>
      <c r="B51">
        <v>82458</v>
      </c>
      <c r="C51" s="2">
        <v>1322.5</v>
      </c>
      <c r="D51" s="1">
        <v>43626</v>
      </c>
      <c r="E51" t="str">
        <f>"201906049629"</f>
        <v>201906049629</v>
      </c>
      <c r="F51" t="str">
        <f>"18-19016"</f>
        <v>18-19016</v>
      </c>
      <c r="G51" s="2">
        <v>700</v>
      </c>
      <c r="H51" t="str">
        <f>"18-19016"</f>
        <v>18-19016</v>
      </c>
    </row>
    <row r="52" spans="1:8" x14ac:dyDescent="0.25">
      <c r="E52" t="str">
        <f>"201906049630"</f>
        <v>201906049630</v>
      </c>
      <c r="F52" t="str">
        <f>"18-19130"</f>
        <v>18-19130</v>
      </c>
      <c r="G52" s="2">
        <v>100</v>
      </c>
      <c r="H52" t="str">
        <f>"18-19130"</f>
        <v>18-19130</v>
      </c>
    </row>
    <row r="53" spans="1:8" x14ac:dyDescent="0.25">
      <c r="E53" t="str">
        <f>"201906049631"</f>
        <v>201906049631</v>
      </c>
      <c r="F53" t="str">
        <f>"17-18392"</f>
        <v>17-18392</v>
      </c>
      <c r="G53" s="2">
        <v>115</v>
      </c>
      <c r="H53" t="str">
        <f>"17-18392"</f>
        <v>17-18392</v>
      </c>
    </row>
    <row r="54" spans="1:8" x14ac:dyDescent="0.25">
      <c r="E54" t="str">
        <f>"201906049632"</f>
        <v>201906049632</v>
      </c>
      <c r="F54" t="str">
        <f>"17-18738"</f>
        <v>17-18738</v>
      </c>
      <c r="G54" s="2">
        <v>135</v>
      </c>
      <c r="H54" t="str">
        <f>"17-18738"</f>
        <v>17-18738</v>
      </c>
    </row>
    <row r="55" spans="1:8" x14ac:dyDescent="0.25">
      <c r="E55" t="str">
        <f>"201906049633"</f>
        <v>201906049633</v>
      </c>
      <c r="F55" t="str">
        <f>"18-19182"</f>
        <v>18-19182</v>
      </c>
      <c r="G55" s="2">
        <v>272.5</v>
      </c>
      <c r="H55" t="str">
        <f>"18-19182"</f>
        <v>18-19182</v>
      </c>
    </row>
    <row r="56" spans="1:8" x14ac:dyDescent="0.25">
      <c r="A56" t="s">
        <v>16</v>
      </c>
      <c r="B56">
        <v>82459</v>
      </c>
      <c r="C56" s="2">
        <v>350</v>
      </c>
      <c r="D56" s="1">
        <v>43626</v>
      </c>
      <c r="E56" t="str">
        <f>"201906049574"</f>
        <v>201906049574</v>
      </c>
      <c r="F56" t="str">
        <f>"CH-20180928  SO#60832"</f>
        <v>CH-20180928  SO#60832</v>
      </c>
      <c r="G56" s="2">
        <v>100</v>
      </c>
      <c r="H56" t="str">
        <f>"CH-20180928  SO#60832"</f>
        <v>CH-20180928  SO#60832</v>
      </c>
    </row>
    <row r="57" spans="1:8" x14ac:dyDescent="0.25">
      <c r="E57" t="str">
        <f>"201906049638"</f>
        <v>201906049638</v>
      </c>
      <c r="F57" t="str">
        <f>"JP103172019"</f>
        <v>JP103172019</v>
      </c>
      <c r="G57" s="2">
        <v>250</v>
      </c>
      <c r="H57" t="str">
        <f>"JP103172019"</f>
        <v>JP103172019</v>
      </c>
    </row>
    <row r="58" spans="1:8" x14ac:dyDescent="0.25">
      <c r="A58" t="s">
        <v>16</v>
      </c>
      <c r="B58">
        <v>82621</v>
      </c>
      <c r="C58" s="2">
        <v>1050</v>
      </c>
      <c r="D58" s="1">
        <v>43640</v>
      </c>
      <c r="E58" t="str">
        <f>"201906119720"</f>
        <v>201906119720</v>
      </c>
      <c r="F58" t="str">
        <f>"15 703  SO#53706"</f>
        <v>15 703  SO#53706</v>
      </c>
      <c r="G58" s="2">
        <v>200</v>
      </c>
      <c r="H58" t="str">
        <f>"15 703  SO#53706"</f>
        <v>15 703  SO#53706</v>
      </c>
    </row>
    <row r="59" spans="1:8" x14ac:dyDescent="0.25">
      <c r="E59" t="str">
        <f>"201906179915"</f>
        <v>201906179915</v>
      </c>
      <c r="F59" t="str">
        <f>"1176-335"</f>
        <v>1176-335</v>
      </c>
      <c r="G59" s="2">
        <v>100</v>
      </c>
      <c r="H59" t="str">
        <f>"1176-335"</f>
        <v>1176-335</v>
      </c>
    </row>
    <row r="60" spans="1:8" x14ac:dyDescent="0.25">
      <c r="E60" t="str">
        <f>"201906179916"</f>
        <v>201906179916</v>
      </c>
      <c r="F60" t="str">
        <f>"16 766"</f>
        <v>16 766</v>
      </c>
      <c r="G60" s="2">
        <v>400</v>
      </c>
      <c r="H60" t="str">
        <f>"16 766"</f>
        <v>16 766</v>
      </c>
    </row>
    <row r="61" spans="1:8" x14ac:dyDescent="0.25">
      <c r="E61" t="str">
        <f>"201906179917"</f>
        <v>201906179917</v>
      </c>
      <c r="F61" t="str">
        <f>"1178-335"</f>
        <v>1178-335</v>
      </c>
      <c r="G61" s="2">
        <v>100</v>
      </c>
      <c r="H61" t="str">
        <f>"1178-335"</f>
        <v>1178-335</v>
      </c>
    </row>
    <row r="62" spans="1:8" x14ac:dyDescent="0.25">
      <c r="E62" t="str">
        <f>"201906189967"</f>
        <v>201906189967</v>
      </c>
      <c r="F62" t="str">
        <f>"304232019A"</f>
        <v>304232019A</v>
      </c>
      <c r="G62" s="2">
        <v>250</v>
      </c>
      <c r="H62" t="str">
        <f>"304232019A"</f>
        <v>304232019A</v>
      </c>
    </row>
    <row r="63" spans="1:8" x14ac:dyDescent="0.25">
      <c r="A63" t="s">
        <v>17</v>
      </c>
      <c r="B63">
        <v>885</v>
      </c>
      <c r="C63" s="2">
        <v>354.3</v>
      </c>
      <c r="D63" s="1">
        <v>43627</v>
      </c>
      <c r="E63" t="str">
        <f>"201906049562"</f>
        <v>201906049562</v>
      </c>
      <c r="F63" t="str">
        <f>"REIMBURSE SUMMIT/POSTAGE"</f>
        <v>REIMBURSE SUMMIT/POSTAGE</v>
      </c>
      <c r="G63" s="2">
        <v>354.3</v>
      </c>
      <c r="H63" t="str">
        <f>"REIMBURSE SUMMIT/POSTAGE"</f>
        <v>REIMBURSE SUMMIT/POSTAGE</v>
      </c>
    </row>
    <row r="64" spans="1:8" x14ac:dyDescent="0.25">
      <c r="A64" t="s">
        <v>18</v>
      </c>
      <c r="B64">
        <v>984</v>
      </c>
      <c r="C64" s="2">
        <v>1100</v>
      </c>
      <c r="D64" s="1">
        <v>43641</v>
      </c>
      <c r="E64" t="str">
        <f>"201906129744"</f>
        <v>201906129744</v>
      </c>
      <c r="F64" t="str">
        <f>"423-6563"</f>
        <v>423-6563</v>
      </c>
      <c r="G64" s="2">
        <v>100</v>
      </c>
      <c r="H64" t="str">
        <f>"423-6563"</f>
        <v>423-6563</v>
      </c>
    </row>
    <row r="65" spans="1:9" x14ac:dyDescent="0.25">
      <c r="E65" t="str">
        <f>"201906129745"</f>
        <v>201906129745</v>
      </c>
      <c r="F65" t="str">
        <f>"1167-21"</f>
        <v>1167-21</v>
      </c>
      <c r="G65" s="2">
        <v>100</v>
      </c>
      <c r="H65" t="str">
        <f>"1167-21"</f>
        <v>1167-21</v>
      </c>
    </row>
    <row r="66" spans="1:9" x14ac:dyDescent="0.25">
      <c r="E66" t="str">
        <f>"201906129746"</f>
        <v>201906129746</v>
      </c>
      <c r="F66" t="str">
        <f>"16553"</f>
        <v>16553</v>
      </c>
      <c r="G66" s="2">
        <v>400</v>
      </c>
      <c r="H66" t="str">
        <f>"16553"</f>
        <v>16553</v>
      </c>
    </row>
    <row r="67" spans="1:9" x14ac:dyDescent="0.25">
      <c r="E67" t="str">
        <f>"201906179914"</f>
        <v>201906179914</v>
      </c>
      <c r="F67" t="str">
        <f>"16 863"</f>
        <v>16 863</v>
      </c>
      <c r="G67" s="2">
        <v>400</v>
      </c>
      <c r="H67" t="str">
        <f>"16 863"</f>
        <v>16 863</v>
      </c>
    </row>
    <row r="68" spans="1:9" x14ac:dyDescent="0.25">
      <c r="E68" t="str">
        <f>"201906189968"</f>
        <v>201906189968</v>
      </c>
      <c r="F68" t="str">
        <f>"BC20180825C"</f>
        <v>BC20180825C</v>
      </c>
      <c r="G68" s="2">
        <v>100</v>
      </c>
      <c r="H68" t="str">
        <f>"BC20180825C"</f>
        <v>BC20180825C</v>
      </c>
    </row>
    <row r="69" spans="1:9" x14ac:dyDescent="0.25">
      <c r="A69" t="s">
        <v>19</v>
      </c>
      <c r="B69">
        <v>82622</v>
      </c>
      <c r="C69" s="2">
        <v>833</v>
      </c>
      <c r="D69" s="1">
        <v>43640</v>
      </c>
      <c r="E69" t="str">
        <f>"19-0678"</f>
        <v>19-0678</v>
      </c>
      <c r="F69" t="str">
        <f>"INV 19-0678"</f>
        <v>INV 19-0678</v>
      </c>
      <c r="G69" s="2">
        <v>833</v>
      </c>
      <c r="H69" t="str">
        <f>"INV 19-0678"</f>
        <v>INV 19-0678</v>
      </c>
    </row>
    <row r="70" spans="1:9" x14ac:dyDescent="0.25">
      <c r="A70" t="s">
        <v>20</v>
      </c>
      <c r="B70">
        <v>891</v>
      </c>
      <c r="C70" s="2">
        <v>1353.12</v>
      </c>
      <c r="D70" s="1">
        <v>43627</v>
      </c>
      <c r="E70" t="str">
        <f>"201905299496"</f>
        <v>201905299496</v>
      </c>
      <c r="F70" t="str">
        <f>"DCPC19-039"</f>
        <v>DCPC19-039</v>
      </c>
      <c r="G70" s="2">
        <v>338.28</v>
      </c>
      <c r="H70" t="str">
        <f>"DCPC19-039"</f>
        <v>DCPC19-039</v>
      </c>
    </row>
    <row r="71" spans="1:9" x14ac:dyDescent="0.25">
      <c r="E71" t="str">
        <f>"201905319527"</f>
        <v>201905319527</v>
      </c>
      <c r="F71" t="str">
        <f>"16071"</f>
        <v>16071</v>
      </c>
      <c r="G71" s="2">
        <v>338.28</v>
      </c>
      <c r="H71" t="str">
        <f>"16071"</f>
        <v>16071</v>
      </c>
    </row>
    <row r="72" spans="1:9" x14ac:dyDescent="0.25">
      <c r="E72" t="str">
        <f>"201906049607"</f>
        <v>201906049607</v>
      </c>
      <c r="F72" t="str">
        <f>"17-18433"</f>
        <v>17-18433</v>
      </c>
      <c r="G72" s="2">
        <v>338.28</v>
      </c>
      <c r="H72" t="str">
        <f>"17-18433"</f>
        <v>17-18433</v>
      </c>
    </row>
    <row r="73" spans="1:9" x14ac:dyDescent="0.25">
      <c r="E73" t="str">
        <f>"201906049608"</f>
        <v>201906049608</v>
      </c>
      <c r="F73" t="str">
        <f>"J-3175  18-19130"</f>
        <v>J-3175  18-19130</v>
      </c>
      <c r="G73" s="2">
        <v>338.28</v>
      </c>
      <c r="H73" t="str">
        <f>"J-3175  18-19130"</f>
        <v>J-3175  18-19130</v>
      </c>
    </row>
    <row r="74" spans="1:9" x14ac:dyDescent="0.25">
      <c r="A74" t="s">
        <v>20</v>
      </c>
      <c r="B74">
        <v>947</v>
      </c>
      <c r="C74" s="2">
        <v>761.56</v>
      </c>
      <c r="D74" s="1">
        <v>43641</v>
      </c>
      <c r="E74" t="str">
        <f>"201906129765"</f>
        <v>201906129765</v>
      </c>
      <c r="F74" t="str">
        <f>"56 487 55 721 55 898 56 269"</f>
        <v>56 487 55 721 55 898 56 269</v>
      </c>
      <c r="G74" s="2">
        <v>338.28</v>
      </c>
      <c r="H74" t="str">
        <f>"56 487 55 721 55 898 56 269"</f>
        <v>56 487 55 721 55 898 56 269</v>
      </c>
    </row>
    <row r="75" spans="1:9" x14ac:dyDescent="0.25">
      <c r="E75" t="str">
        <f>"201906129766"</f>
        <v>201906129766</v>
      </c>
      <c r="F75" t="str">
        <f>"19-19487 18-19329"</f>
        <v>19-19487 18-19329</v>
      </c>
      <c r="G75" s="2">
        <v>423.28</v>
      </c>
      <c r="H75" t="str">
        <f>"19-19487 18-19329"</f>
        <v>19-19487 18-19329</v>
      </c>
    </row>
    <row r="76" spans="1:9" x14ac:dyDescent="0.25">
      <c r="A76" t="s">
        <v>21</v>
      </c>
      <c r="B76">
        <v>82460</v>
      </c>
      <c r="C76" s="2">
        <v>21.99</v>
      </c>
      <c r="D76" s="1">
        <v>43626</v>
      </c>
      <c r="E76" t="str">
        <f>"9011132433"</f>
        <v>9011132433</v>
      </c>
      <c r="F76" t="str">
        <f>"INV 9011132433"</f>
        <v>INV 9011132433</v>
      </c>
      <c r="G76" s="2">
        <v>21.99</v>
      </c>
      <c r="H76" t="str">
        <f>"INV 9011132433"</f>
        <v>INV 9011132433</v>
      </c>
    </row>
    <row r="77" spans="1:9" x14ac:dyDescent="0.25">
      <c r="A77" t="s">
        <v>22</v>
      </c>
      <c r="B77">
        <v>82623</v>
      </c>
      <c r="C77" s="2">
        <v>40</v>
      </c>
      <c r="D77" s="1">
        <v>43640</v>
      </c>
      <c r="E77" t="s">
        <v>23</v>
      </c>
      <c r="F77" t="s">
        <v>24</v>
      </c>
      <c r="G77" s="2" t="str">
        <f>"RESTITUTION-T. CHURCH"</f>
        <v>RESTITUTION-T. CHURCH</v>
      </c>
      <c r="H77" t="str">
        <f>"210-0000"</f>
        <v>210-0000</v>
      </c>
      <c r="I77" t="str">
        <f>""</f>
        <v/>
      </c>
    </row>
    <row r="78" spans="1:9" x14ac:dyDescent="0.25">
      <c r="A78" t="s">
        <v>25</v>
      </c>
      <c r="B78">
        <v>82461</v>
      </c>
      <c r="C78" s="2">
        <v>474</v>
      </c>
      <c r="D78" s="1">
        <v>43626</v>
      </c>
      <c r="E78" t="str">
        <f>"37568"</f>
        <v>37568</v>
      </c>
      <c r="F78" t="str">
        <f>"RENTAL-601 COOL WATER/PCT#1"</f>
        <v>RENTAL-601 COOL WATER/PCT#1</v>
      </c>
      <c r="G78" s="2">
        <v>215</v>
      </c>
      <c r="H78" t="str">
        <f>"RENTAL-601 COOL WATER/PCT#1"</f>
        <v>RENTAL-601 COOL WATER/PCT#1</v>
      </c>
    </row>
    <row r="79" spans="1:9" x14ac:dyDescent="0.25">
      <c r="E79" t="str">
        <f>"37569"</f>
        <v>37569</v>
      </c>
      <c r="F79" t="str">
        <f>"RENTAL-375 RIVERSIDE DR."</f>
        <v>RENTAL-375 RIVERSIDE DR.</v>
      </c>
      <c r="G79" s="2">
        <v>259</v>
      </c>
      <c r="H79" t="str">
        <f>"RENTAL-375 RIVERSIDE DR."</f>
        <v>RENTAL-375 RIVERSIDE DR.</v>
      </c>
    </row>
    <row r="80" spans="1:9" x14ac:dyDescent="0.25">
      <c r="A80" t="s">
        <v>26</v>
      </c>
      <c r="B80">
        <v>958</v>
      </c>
      <c r="C80" s="2">
        <v>3086.83</v>
      </c>
      <c r="D80" s="1">
        <v>43641</v>
      </c>
      <c r="E80" t="str">
        <f>"16JQ-Q1DR-DNNY"</f>
        <v>16JQ-Q1DR-DNNY</v>
      </c>
      <c r="F80" t="str">
        <f>"iNV# 16JQ-Q1DR-DNNY"</f>
        <v>iNV# 16JQ-Q1DR-DNNY</v>
      </c>
      <c r="G80" s="2">
        <v>107.86</v>
      </c>
      <c r="H80" t="str">
        <f>"CLOCK"</f>
        <v>CLOCK</v>
      </c>
    </row>
    <row r="81" spans="1:8" x14ac:dyDescent="0.25">
      <c r="E81" t="str">
        <f>"1HJJ-9G9K-PYPT"</f>
        <v>1HJJ-9G9K-PYPT</v>
      </c>
      <c r="F81" t="str">
        <f>"Tahoe Cargo Net"</f>
        <v>Tahoe Cargo Net</v>
      </c>
      <c r="G81" s="2">
        <v>44.95</v>
      </c>
      <c r="H81" t="str">
        <f>"Tahoe Cargo Net"</f>
        <v>Tahoe Cargo Net</v>
      </c>
    </row>
    <row r="82" spans="1:8" x14ac:dyDescent="0.25">
      <c r="E82" t="str">
        <f>"1NDM-MWKX-W6TN"</f>
        <v>1NDM-MWKX-W6TN</v>
      </c>
      <c r="F82" t="str">
        <f>"AMAZON CAPITAL SERVICES INC"</f>
        <v>AMAZON CAPITAL SERVICES INC</v>
      </c>
      <c r="G82" s="2">
        <v>1229.6600000000001</v>
      </c>
      <c r="H82" t="str">
        <f>"Canopy"</f>
        <v>Canopy</v>
      </c>
    </row>
    <row r="83" spans="1:8" x14ac:dyDescent="0.25">
      <c r="E83" t="str">
        <f>""</f>
        <v/>
      </c>
      <c r="F83" t="str">
        <f>""</f>
        <v/>
      </c>
      <c r="H83" t="str">
        <f>"Tall Chair"</f>
        <v>Tall Chair</v>
      </c>
    </row>
    <row r="84" spans="1:8" x14ac:dyDescent="0.25">
      <c r="E84" t="str">
        <f>""</f>
        <v/>
      </c>
      <c r="F84" t="str">
        <f>""</f>
        <v/>
      </c>
      <c r="H84" t="str">
        <f>"Pullout Tray"</f>
        <v>Pullout Tray</v>
      </c>
    </row>
    <row r="85" spans="1:8" x14ac:dyDescent="0.25">
      <c r="E85" t="str">
        <f>"1NXN-CMDM-KTV4"</f>
        <v>1NXN-CMDM-KTV4</v>
      </c>
      <c r="F85" t="str">
        <f>"Items for Evidence Techs"</f>
        <v>Items for Evidence Techs</v>
      </c>
      <c r="G85" s="2">
        <v>101.91</v>
      </c>
      <c r="H85" t="str">
        <f>"Ziploc Storage Bags"</f>
        <v>Ziploc Storage Bags</v>
      </c>
    </row>
    <row r="86" spans="1:8" x14ac:dyDescent="0.25">
      <c r="E86" t="str">
        <f>""</f>
        <v/>
      </c>
      <c r="F86" t="str">
        <f>""</f>
        <v/>
      </c>
      <c r="H86" t="str">
        <f>"KINGLAKE 328"</f>
        <v>KINGLAKE 328</v>
      </c>
    </row>
    <row r="87" spans="1:8" x14ac:dyDescent="0.25">
      <c r="E87" t="str">
        <f>""</f>
        <v/>
      </c>
      <c r="F87" t="str">
        <f>""</f>
        <v/>
      </c>
      <c r="H87" t="str">
        <f>"quart  80 ct"</f>
        <v>quart  80 ct</v>
      </c>
    </row>
    <row r="88" spans="1:8" x14ac:dyDescent="0.25">
      <c r="E88" t="str">
        <f>""</f>
        <v/>
      </c>
      <c r="F88" t="str">
        <f>""</f>
        <v/>
      </c>
      <c r="H88" t="str">
        <f>"Vicks VapoRub"</f>
        <v>Vicks VapoRub</v>
      </c>
    </row>
    <row r="89" spans="1:8" x14ac:dyDescent="0.25">
      <c r="E89" t="str">
        <f>"1P9Q-C9MT-F3PH"</f>
        <v>1P9Q-C9MT-F3PH</v>
      </c>
      <c r="F89" t="str">
        <f>"Phones"</f>
        <v>Phones</v>
      </c>
      <c r="G89" s="2">
        <v>1586.47</v>
      </c>
      <c r="H89" t="str">
        <f>"courthouse security"</f>
        <v>courthouse security</v>
      </c>
    </row>
    <row r="90" spans="1:8" x14ac:dyDescent="0.25">
      <c r="E90" t="str">
        <f>""</f>
        <v/>
      </c>
      <c r="F90" t="str">
        <f>""</f>
        <v/>
      </c>
      <c r="H90" t="str">
        <f>"County Clerk"</f>
        <v>County Clerk</v>
      </c>
    </row>
    <row r="91" spans="1:8" x14ac:dyDescent="0.25">
      <c r="E91" t="str">
        <f>""</f>
        <v/>
      </c>
      <c r="F91" t="str">
        <f>""</f>
        <v/>
      </c>
      <c r="H91" t="str">
        <f>"Shipping"</f>
        <v>Shipping</v>
      </c>
    </row>
    <row r="92" spans="1:8" x14ac:dyDescent="0.25">
      <c r="E92" t="str">
        <f>""</f>
        <v/>
      </c>
      <c r="F92" t="str">
        <f>""</f>
        <v/>
      </c>
      <c r="H92" t="str">
        <f>"Discount"</f>
        <v>Discount</v>
      </c>
    </row>
    <row r="93" spans="1:8" x14ac:dyDescent="0.25">
      <c r="E93" t="str">
        <f>""</f>
        <v/>
      </c>
      <c r="F93" t="str">
        <f>""</f>
        <v/>
      </c>
      <c r="H93" t="str">
        <f>"JP1"</f>
        <v>JP1</v>
      </c>
    </row>
    <row r="94" spans="1:8" x14ac:dyDescent="0.25">
      <c r="E94" t="str">
        <f>"1THK-JYQW-7QQ7"</f>
        <v>1THK-JYQW-7QQ7</v>
      </c>
      <c r="F94" t="str">
        <f>"Privacy Sign"</f>
        <v>Privacy Sign</v>
      </c>
      <c r="G94" s="2">
        <v>15.98</v>
      </c>
      <c r="H94" t="str">
        <f>"Privacy Sign"</f>
        <v>Privacy Sign</v>
      </c>
    </row>
    <row r="95" spans="1:8" x14ac:dyDescent="0.25">
      <c r="E95" t="str">
        <f>""</f>
        <v/>
      </c>
      <c r="F95" t="str">
        <f>""</f>
        <v/>
      </c>
      <c r="H95" t="str">
        <f>"Shipping"</f>
        <v>Shipping</v>
      </c>
    </row>
    <row r="96" spans="1:8" x14ac:dyDescent="0.25">
      <c r="A96" t="s">
        <v>26</v>
      </c>
      <c r="B96">
        <v>82462</v>
      </c>
      <c r="C96" s="2">
        <v>947.15</v>
      </c>
      <c r="D96" s="1">
        <v>43626</v>
      </c>
      <c r="E96" t="str">
        <f>"14QQ-KXWP-QJLD"</f>
        <v>14QQ-KXWP-QJLD</v>
      </c>
      <c r="F96" t="str">
        <f>"AMAZON CAPITAL SERVICES INC"</f>
        <v>AMAZON CAPITAL SERVICES INC</v>
      </c>
      <c r="G96" s="2">
        <v>94.99</v>
      </c>
      <c r="H96" t="str">
        <f>"BOOTS"</f>
        <v>BOOTS</v>
      </c>
    </row>
    <row r="97" spans="1:8" x14ac:dyDescent="0.25">
      <c r="E97" t="str">
        <f>"17RD-GH3R-6CN9"</f>
        <v>17RD-GH3R-6CN9</v>
      </c>
      <c r="F97" t="str">
        <f>"Chair for Breonna"</f>
        <v>Chair for Breonna</v>
      </c>
      <c r="G97" s="2">
        <v>172.08</v>
      </c>
      <c r="H97" t="str">
        <f>"Chair for Breonna"</f>
        <v>Chair for Breonna</v>
      </c>
    </row>
    <row r="98" spans="1:8" x14ac:dyDescent="0.25">
      <c r="E98" t="str">
        <f>"1LTK-Q9N7-9MRP"</f>
        <v>1LTK-Q9N7-9MRP</v>
      </c>
      <c r="F98" t="str">
        <f>"Ashley Hermans"</f>
        <v>Ashley Hermans</v>
      </c>
      <c r="G98" s="2">
        <v>127.5</v>
      </c>
      <c r="H98" t="str">
        <f>"Ashley Hermans"</f>
        <v>Ashley Hermans</v>
      </c>
    </row>
    <row r="99" spans="1:8" x14ac:dyDescent="0.25">
      <c r="E99" t="str">
        <f>"1PMM-FRTQ-X63Q"</f>
        <v>1PMM-FRTQ-X63Q</v>
      </c>
      <c r="F99" t="str">
        <f>"Cat Carrier"</f>
        <v>Cat Carrier</v>
      </c>
      <c r="G99" s="2">
        <v>369</v>
      </c>
      <c r="H99" t="str">
        <f>"Disposable Cardboard"</f>
        <v>Disposable Cardboard</v>
      </c>
    </row>
    <row r="100" spans="1:8" x14ac:dyDescent="0.25">
      <c r="E100" t="str">
        <f>"1QXD-TMTV-YWPC"</f>
        <v>1QXD-TMTV-YWPC</v>
      </c>
      <c r="F100" t="str">
        <f>"AMAZON CAPITAL SERVICES INC"</f>
        <v>AMAZON CAPITAL SERVICES INC</v>
      </c>
      <c r="G100" s="2">
        <v>13.59</v>
      </c>
      <c r="H100" t="str">
        <f>"Driver Corner Light"</f>
        <v>Driver Corner Light</v>
      </c>
    </row>
    <row r="101" spans="1:8" x14ac:dyDescent="0.25">
      <c r="E101" t="str">
        <f>"1TCT-PFLJ-GX9L"</f>
        <v>1TCT-PFLJ-GX9L</v>
      </c>
      <c r="F101" t="str">
        <f>"Keurig"</f>
        <v>Keurig</v>
      </c>
      <c r="G101" s="2">
        <v>169.99</v>
      </c>
      <c r="H101" t="str">
        <f>"Keurig"</f>
        <v>Keurig</v>
      </c>
    </row>
    <row r="102" spans="1:8" x14ac:dyDescent="0.25">
      <c r="A102" t="s">
        <v>27</v>
      </c>
      <c r="B102">
        <v>82463</v>
      </c>
      <c r="C102" s="2">
        <v>1608.54</v>
      </c>
      <c r="D102" s="1">
        <v>43626</v>
      </c>
      <c r="E102" t="str">
        <f>"S123550066"</f>
        <v>S123550066</v>
      </c>
      <c r="F102" t="str">
        <f>"CUST#379865/PCT#2"</f>
        <v>CUST#379865/PCT#2</v>
      </c>
      <c r="G102" s="2">
        <v>1608.54</v>
      </c>
      <c r="H102" t="str">
        <f>"CUST#379865/PCT#2"</f>
        <v>CUST#379865/PCT#2</v>
      </c>
    </row>
    <row r="103" spans="1:8" x14ac:dyDescent="0.25">
      <c r="A103" t="s">
        <v>28</v>
      </c>
      <c r="B103">
        <v>82464</v>
      </c>
      <c r="C103" s="2">
        <v>575.55999999999995</v>
      </c>
      <c r="D103" s="1">
        <v>43626</v>
      </c>
      <c r="E103" t="str">
        <f>"110267"</f>
        <v>110267</v>
      </c>
      <c r="F103" t="str">
        <f>"2019 RUN OFF/ELECTIONS"</f>
        <v>2019 RUN OFF/ELECTIONS</v>
      </c>
      <c r="G103" s="2">
        <v>575.55999999999995</v>
      </c>
      <c r="H103" t="str">
        <f>"2019 RUN OFF/ELECTIONS"</f>
        <v>2019 RUN OFF/ELECTIONS</v>
      </c>
    </row>
    <row r="104" spans="1:8" x14ac:dyDescent="0.25">
      <c r="A104" t="s">
        <v>29</v>
      </c>
      <c r="B104">
        <v>922</v>
      </c>
      <c r="C104" s="2">
        <v>765</v>
      </c>
      <c r="D104" s="1">
        <v>43627</v>
      </c>
      <c r="E104" t="str">
        <f>"201905309520"</f>
        <v>201905309520</v>
      </c>
      <c r="F104" t="str">
        <f>"423-6502  1136-21"</f>
        <v>423-6502  1136-21</v>
      </c>
      <c r="G104" s="2">
        <v>200</v>
      </c>
      <c r="H104" t="str">
        <f>"423-6502  1136-21"</f>
        <v>423-6502  1136-21</v>
      </c>
    </row>
    <row r="105" spans="1:8" x14ac:dyDescent="0.25">
      <c r="E105" t="str">
        <f>"201906049634"</f>
        <v>201906049634</v>
      </c>
      <c r="F105" t="str">
        <f>"JUVENILE CHILD HEARING"</f>
        <v>JUVENILE CHILD HEARING</v>
      </c>
      <c r="G105" s="2">
        <v>100</v>
      </c>
      <c r="H105" t="str">
        <f>"JUVENILE CHILD HEARING"</f>
        <v>JUVENILE CHILD HEARING</v>
      </c>
    </row>
    <row r="106" spans="1:8" x14ac:dyDescent="0.25">
      <c r="E106" t="str">
        <f>"201906049635"</f>
        <v>201906049635</v>
      </c>
      <c r="F106" t="str">
        <f>"JUVENILE CHILD"</f>
        <v>JUVENILE CHILD</v>
      </c>
      <c r="G106" s="2">
        <v>100</v>
      </c>
      <c r="H106" t="str">
        <f>"JUVENILE CHILD"</f>
        <v>JUVENILE CHILD</v>
      </c>
    </row>
    <row r="107" spans="1:8" x14ac:dyDescent="0.25">
      <c r="E107" t="str">
        <f>"201906049636"</f>
        <v>201906049636</v>
      </c>
      <c r="F107" t="str">
        <f>"JUVENILE CHILD"</f>
        <v>JUVENILE CHILD</v>
      </c>
      <c r="G107" s="2">
        <v>100</v>
      </c>
      <c r="H107" t="str">
        <f>"JUVENILE CHILD"</f>
        <v>JUVENILE CHILD</v>
      </c>
    </row>
    <row r="108" spans="1:8" x14ac:dyDescent="0.25">
      <c r="E108" t="str">
        <f>"201906049637"</f>
        <v>201906049637</v>
      </c>
      <c r="F108" t="str">
        <f>"18-19071"</f>
        <v>18-19071</v>
      </c>
      <c r="G108" s="2">
        <v>265</v>
      </c>
      <c r="H108" t="str">
        <f>"18-19071"</f>
        <v>18-19071</v>
      </c>
    </row>
    <row r="109" spans="1:8" x14ac:dyDescent="0.25">
      <c r="A109" t="s">
        <v>29</v>
      </c>
      <c r="B109">
        <v>998</v>
      </c>
      <c r="C109" s="2">
        <v>4350</v>
      </c>
      <c r="D109" s="1">
        <v>43641</v>
      </c>
      <c r="E109" t="str">
        <f>"201906129743"</f>
        <v>201906129743</v>
      </c>
      <c r="F109" t="str">
        <f>"423-6522 423-6521 423-6520 114"</f>
        <v>423-6522 423-6521 423-6520 114</v>
      </c>
      <c r="G109" s="2">
        <v>800</v>
      </c>
      <c r="H109" t="str">
        <f>"423-6522 423-6521 423-6520 114"</f>
        <v>423-6522 423-6521 423-6520 114</v>
      </c>
    </row>
    <row r="110" spans="1:8" x14ac:dyDescent="0.25">
      <c r="E110" t="str">
        <f>"201906189941"</f>
        <v>201906189941</v>
      </c>
      <c r="F110" t="str">
        <f>"1153-335"</f>
        <v>1153-335</v>
      </c>
      <c r="G110" s="2">
        <v>100</v>
      </c>
      <c r="H110" t="str">
        <f>"1153-335"</f>
        <v>1153-335</v>
      </c>
    </row>
    <row r="111" spans="1:8" x14ac:dyDescent="0.25">
      <c r="E111" t="str">
        <f>"201906189942"</f>
        <v>201906189942</v>
      </c>
      <c r="F111" t="str">
        <f>"423-6530"</f>
        <v>423-6530</v>
      </c>
      <c r="G111" s="2">
        <v>100</v>
      </c>
      <c r="H111" t="str">
        <f>"423-6530"</f>
        <v>423-6530</v>
      </c>
    </row>
    <row r="112" spans="1:8" x14ac:dyDescent="0.25">
      <c r="E112" t="str">
        <f>"201906189943"</f>
        <v>201906189943</v>
      </c>
      <c r="F112" t="str">
        <f>"16 583"</f>
        <v>16 583</v>
      </c>
      <c r="G112" s="2">
        <v>400</v>
      </c>
      <c r="H112" t="str">
        <f>"16 583"</f>
        <v>16 583</v>
      </c>
    </row>
    <row r="113" spans="1:8" x14ac:dyDescent="0.25">
      <c r="E113" t="str">
        <f>"201906189944"</f>
        <v>201906189944</v>
      </c>
      <c r="F113" t="str">
        <f>"DCPC.19.043"</f>
        <v>DCPC.19.043</v>
      </c>
      <c r="G113" s="2">
        <v>400</v>
      </c>
      <c r="H113" t="str">
        <f>"DCPC.19.043"</f>
        <v>DCPC.19.043</v>
      </c>
    </row>
    <row r="114" spans="1:8" x14ac:dyDescent="0.25">
      <c r="E114" t="str">
        <f>"201906189945"</f>
        <v>201906189945</v>
      </c>
      <c r="F114" t="str">
        <f>"1059-21  02/25/19"</f>
        <v>1059-21  02/25/19</v>
      </c>
      <c r="G114" s="2">
        <v>100</v>
      </c>
      <c r="H114" t="str">
        <f>"1059-21"</f>
        <v>1059-21</v>
      </c>
    </row>
    <row r="115" spans="1:8" x14ac:dyDescent="0.25">
      <c r="E115" t="str">
        <f>"201906189946"</f>
        <v>201906189946</v>
      </c>
      <c r="F115" t="str">
        <f>"CH-20160420-B"</f>
        <v>CH-20160420-B</v>
      </c>
      <c r="G115" s="2">
        <v>200</v>
      </c>
      <c r="H115" t="str">
        <f>"CH-20160420-B"</f>
        <v>CH-20160420-B</v>
      </c>
    </row>
    <row r="116" spans="1:8" x14ac:dyDescent="0.25">
      <c r="E116" t="str">
        <f>"201906189947"</f>
        <v>201906189947</v>
      </c>
      <c r="F116" t="str">
        <f>"423-6515"</f>
        <v>423-6515</v>
      </c>
      <c r="G116" s="2">
        <v>100</v>
      </c>
      <c r="H116" t="str">
        <f>"423-6515"</f>
        <v>423-6515</v>
      </c>
    </row>
    <row r="117" spans="1:8" x14ac:dyDescent="0.25">
      <c r="E117" t="str">
        <f>"201906189948"</f>
        <v>201906189948</v>
      </c>
      <c r="F117" t="str">
        <f>"CH20170506E"</f>
        <v>CH20170506E</v>
      </c>
      <c r="G117" s="2">
        <v>400</v>
      </c>
      <c r="H117" t="str">
        <f>"CH20170506E"</f>
        <v>CH20170506E</v>
      </c>
    </row>
    <row r="118" spans="1:8" x14ac:dyDescent="0.25">
      <c r="E118" t="str">
        <f>"201906189961"</f>
        <v>201906189961</v>
      </c>
      <c r="F118" t="str">
        <f>"301152019A"</f>
        <v>301152019A</v>
      </c>
      <c r="G118" s="2">
        <v>250</v>
      </c>
      <c r="H118" t="str">
        <f>"301152019A"</f>
        <v>301152019A</v>
      </c>
    </row>
    <row r="119" spans="1:8" x14ac:dyDescent="0.25">
      <c r="E119" t="str">
        <f>"201906189962"</f>
        <v>201906189962</v>
      </c>
      <c r="F119" t="str">
        <f>"02-1018-2"</f>
        <v>02-1018-2</v>
      </c>
      <c r="G119" s="2">
        <v>250</v>
      </c>
      <c r="H119" t="str">
        <f>"02-1018-2"</f>
        <v>02-1018-2</v>
      </c>
    </row>
    <row r="120" spans="1:8" x14ac:dyDescent="0.25">
      <c r="E120" t="str">
        <f>"201906189963"</f>
        <v>201906189963</v>
      </c>
      <c r="F120" t="str">
        <f>"404049.6"</f>
        <v>404049.6</v>
      </c>
      <c r="G120" s="2">
        <v>250</v>
      </c>
      <c r="H120" t="str">
        <f>"404049.6"</f>
        <v>404049.6</v>
      </c>
    </row>
    <row r="121" spans="1:8" x14ac:dyDescent="0.25">
      <c r="E121" t="str">
        <f>"201906189964"</f>
        <v>201906189964</v>
      </c>
      <c r="F121" t="str">
        <f>"02.0408.1"</f>
        <v>02.0408.1</v>
      </c>
      <c r="G121" s="2">
        <v>250</v>
      </c>
      <c r="H121" t="str">
        <f>"02.0408.1"</f>
        <v>02.0408.1</v>
      </c>
    </row>
    <row r="122" spans="1:8" x14ac:dyDescent="0.25">
      <c r="E122" t="str">
        <f>"201906189965"</f>
        <v>201906189965</v>
      </c>
      <c r="F122" t="str">
        <f>"CH.20170710B  CH.20170710A"</f>
        <v>CH.20170710B  CH.20170710A</v>
      </c>
      <c r="G122" s="2">
        <v>375</v>
      </c>
      <c r="H122" t="str">
        <f>"CH.20170710B  CH.20170710A"</f>
        <v>CH.20170710B  CH.20170710A</v>
      </c>
    </row>
    <row r="123" spans="1:8" x14ac:dyDescent="0.25">
      <c r="E123" t="str">
        <f>"201906189966"</f>
        <v>201906189966</v>
      </c>
      <c r="F123" t="str">
        <f>"CH.20170506B  CH.20170506D"</f>
        <v>CH.20170506B  CH.20170506D</v>
      </c>
      <c r="G123" s="2">
        <v>375</v>
      </c>
      <c r="H123" t="str">
        <f>"CH.20170506B  CH.20170506D"</f>
        <v>CH.20170506B  CH.20170506D</v>
      </c>
    </row>
    <row r="124" spans="1:8" x14ac:dyDescent="0.25">
      <c r="A124" t="s">
        <v>30</v>
      </c>
      <c r="B124">
        <v>82465</v>
      </c>
      <c r="C124" s="2">
        <v>319.13</v>
      </c>
      <c r="D124" s="1">
        <v>43626</v>
      </c>
      <c r="E124" t="str">
        <f>"A47252"</f>
        <v>A47252</v>
      </c>
      <c r="F124" t="str">
        <f>"PARTS/PCT#3"</f>
        <v>PARTS/PCT#3</v>
      </c>
      <c r="G124" s="2">
        <v>319.13</v>
      </c>
      <c r="H124" t="str">
        <f>"PARTS/PCT#3"</f>
        <v>PARTS/PCT#3</v>
      </c>
    </row>
    <row r="125" spans="1:8" x14ac:dyDescent="0.25">
      <c r="A125" t="s">
        <v>31</v>
      </c>
      <c r="B125">
        <v>82624</v>
      </c>
      <c r="C125" s="2">
        <v>303.8</v>
      </c>
      <c r="D125" s="1">
        <v>43640</v>
      </c>
      <c r="E125" t="str">
        <f>"176377488"</f>
        <v>176377488</v>
      </c>
      <c r="F125" t="str">
        <f>"Two Post Relay Rack"</f>
        <v>Two Post Relay Rack</v>
      </c>
      <c r="G125" s="2">
        <v>303.8</v>
      </c>
      <c r="H125" t="str">
        <f>"Two Post Relay Rack"</f>
        <v>Two Post Relay Rack</v>
      </c>
    </row>
    <row r="126" spans="1:8" x14ac:dyDescent="0.25">
      <c r="A126" t="s">
        <v>32</v>
      </c>
      <c r="B126">
        <v>82466</v>
      </c>
      <c r="C126" s="2">
        <v>147.62</v>
      </c>
      <c r="D126" s="1">
        <v>43626</v>
      </c>
      <c r="E126" t="str">
        <f>"201906039546"</f>
        <v>201906039546</v>
      </c>
      <c r="F126" t="str">
        <f>"ACCT#3-3053/PCT#2"</f>
        <v>ACCT#3-3053/PCT#2</v>
      </c>
      <c r="G126" s="2">
        <v>147.62</v>
      </c>
      <c r="H126" t="str">
        <f>"ACCT#3-3053/PCT#2"</f>
        <v>ACCT#3-3053/PCT#2</v>
      </c>
    </row>
    <row r="127" spans="1:8" x14ac:dyDescent="0.25">
      <c r="A127" t="s">
        <v>33</v>
      </c>
      <c r="B127">
        <v>82467</v>
      </c>
      <c r="C127" s="2">
        <v>881.7</v>
      </c>
      <c r="D127" s="1">
        <v>43626</v>
      </c>
      <c r="E127" t="str">
        <f>"201906039541"</f>
        <v>201906039541</v>
      </c>
      <c r="F127" t="str">
        <f>"ACCT#010311/COUNTY COURT"</f>
        <v>ACCT#010311/COUNTY COURT</v>
      </c>
      <c r="G127" s="2">
        <v>24</v>
      </c>
      <c r="H127" t="str">
        <f>"ACCT#010311/COUNTY COURT"</f>
        <v>ACCT#010311/COUNTY COURT</v>
      </c>
    </row>
    <row r="128" spans="1:8" x14ac:dyDescent="0.25">
      <c r="E128" t="str">
        <f>"201906039542"</f>
        <v>201906039542</v>
      </c>
      <c r="F128" t="str">
        <f>"ACCT#011280/COUNTY CLERK"</f>
        <v>ACCT#011280/COUNTY CLERK</v>
      </c>
      <c r="G128" s="2">
        <v>46.5</v>
      </c>
      <c r="H128" t="str">
        <f>"ACCT#011280/COUNTY CLERK"</f>
        <v>ACCT#011280/COUNTY CLERK</v>
      </c>
    </row>
    <row r="129" spans="5:8" x14ac:dyDescent="0.25">
      <c r="E129" t="str">
        <f>"201906039543"</f>
        <v>201906039543</v>
      </c>
      <c r="F129" t="str">
        <f>"ACCT#010238/GENERAL SVCS"</f>
        <v>ACCT#010238/GENERAL SVCS</v>
      </c>
      <c r="G129" s="2">
        <v>84.25</v>
      </c>
      <c r="H129" t="str">
        <f>"ACCT#010238/GENERAL SVCS"</f>
        <v>ACCT#010238/GENERAL SVCS</v>
      </c>
    </row>
    <row r="130" spans="5:8" x14ac:dyDescent="0.25">
      <c r="E130" t="str">
        <f>"201906039544"</f>
        <v>201906039544</v>
      </c>
      <c r="F130" t="str">
        <f>"ACCT#012571/TREASURER"</f>
        <v>ACCT#012571/TREASURER</v>
      </c>
      <c r="G130" s="2">
        <v>24</v>
      </c>
      <c r="H130" t="str">
        <f>"ACCT#012571/TREASURER"</f>
        <v>ACCT#012571/TREASURER</v>
      </c>
    </row>
    <row r="131" spans="5:8" x14ac:dyDescent="0.25">
      <c r="E131" t="str">
        <f>"201906039549"</f>
        <v>201906039549</v>
      </c>
      <c r="F131" t="str">
        <f>"ACCT#010602/COMMISSIONER OFFIC"</f>
        <v>ACCT#010602/COMMISSIONER OFFIC</v>
      </c>
      <c r="G131" s="2">
        <v>54</v>
      </c>
      <c r="H131" t="str">
        <f>"ACCT#010602/COMMISSIONER OFFIC"</f>
        <v>ACCT#010602/COMMISSIONER OFFIC</v>
      </c>
    </row>
    <row r="132" spans="5:8" x14ac:dyDescent="0.25">
      <c r="E132" t="str">
        <f>"201906039550"</f>
        <v>201906039550</v>
      </c>
      <c r="F132" t="str">
        <f>"ACCT#012231/BASTROP CO JUDGE"</f>
        <v>ACCT#012231/BASTROP CO JUDGE</v>
      </c>
      <c r="G132" s="2">
        <v>10</v>
      </c>
      <c r="H132" t="str">
        <f>"ACCT#012231/BASTROP CO JUDGE"</f>
        <v>ACCT#012231/BASTROP CO JUDGE</v>
      </c>
    </row>
    <row r="133" spans="5:8" x14ac:dyDescent="0.25">
      <c r="E133" t="str">
        <f>"201906039551"</f>
        <v>201906039551</v>
      </c>
      <c r="F133" t="str">
        <f>"ACCT#011955/DIST JUDGE"</f>
        <v>ACCT#011955/DIST JUDGE</v>
      </c>
      <c r="G133" s="2">
        <v>48</v>
      </c>
      <c r="H133" t="str">
        <f>"ACCT#011955/DIST JUDGE"</f>
        <v>ACCT#011955/DIST JUDGE</v>
      </c>
    </row>
    <row r="134" spans="5:8" x14ac:dyDescent="0.25">
      <c r="E134" t="str">
        <f>"201906039552"</f>
        <v>201906039552</v>
      </c>
      <c r="F134" t="str">
        <f>"ACCT#015538/EMER COMM"</f>
        <v>ACCT#015538/EMER COMM</v>
      </c>
      <c r="G134" s="2">
        <v>50.99</v>
      </c>
      <c r="H134" t="str">
        <f>"ACCT#015538/EMER COMM"</f>
        <v>ACCT#015538/EMER COMM</v>
      </c>
    </row>
    <row r="135" spans="5:8" x14ac:dyDescent="0.25">
      <c r="E135" t="str">
        <f>"201906039553"</f>
        <v>201906039553</v>
      </c>
      <c r="F135" t="str">
        <f>"ACCT#011033/IT DEPT"</f>
        <v>ACCT#011033/IT DEPT</v>
      </c>
      <c r="G135" s="2">
        <v>9</v>
      </c>
      <c r="H135" t="str">
        <f>"ACCT#011033/IT DEPT"</f>
        <v>ACCT#011033/IT DEPT</v>
      </c>
    </row>
    <row r="136" spans="5:8" x14ac:dyDescent="0.25">
      <c r="E136" t="str">
        <f>"201906039554"</f>
        <v>201906039554</v>
      </c>
      <c r="F136" t="str">
        <f>"ACCT#012260/DA'S OFFICE"</f>
        <v>ACCT#012260/DA'S OFFICE</v>
      </c>
      <c r="G136" s="2">
        <v>111</v>
      </c>
      <c r="H136" t="str">
        <f>"ACCT#012260/DA'S OFFICE"</f>
        <v>ACCT#012260/DA'S OFFICE</v>
      </c>
    </row>
    <row r="137" spans="5:8" x14ac:dyDescent="0.25">
      <c r="E137" t="str">
        <f>"201906039555"</f>
        <v>201906039555</v>
      </c>
      <c r="F137" t="str">
        <f>"ACCT#015199/JP#1"</f>
        <v>ACCT#015199/JP#1</v>
      </c>
      <c r="G137" s="2">
        <v>19.489999999999998</v>
      </c>
      <c r="H137" t="str">
        <f>"ACCT#015199/JP#1"</f>
        <v>ACCT#015199/JP#1</v>
      </c>
    </row>
    <row r="138" spans="5:8" x14ac:dyDescent="0.25">
      <c r="E138" t="str">
        <f>"201906039556"</f>
        <v>201906039556</v>
      </c>
      <c r="F138" t="str">
        <f>"ACCT#010835/COMMISSIONERS PCT1"</f>
        <v>ACCT#010835/COMMISSIONERS PCT1</v>
      </c>
      <c r="G138" s="2">
        <v>52.49</v>
      </c>
      <c r="H138" t="str">
        <f>"ACCT#010835/COMMISSIONERS PCT1"</f>
        <v>ACCT#010835/COMMISSIONERS PCT1</v>
      </c>
    </row>
    <row r="139" spans="5:8" x14ac:dyDescent="0.25">
      <c r="E139" t="str">
        <f>"201906049564"</f>
        <v>201906049564</v>
      </c>
      <c r="F139" t="str">
        <f>"ACCT#014877/INDIGENT HEALTH"</f>
        <v>ACCT#014877/INDIGENT HEALTH</v>
      </c>
      <c r="G139" s="2">
        <v>47.99</v>
      </c>
      <c r="H139" t="str">
        <f>"ACCT#014877/INDIGENT HEALTH"</f>
        <v>ACCT#014877/INDIGENT HEALTH</v>
      </c>
    </row>
    <row r="140" spans="5:8" x14ac:dyDescent="0.25">
      <c r="E140" t="str">
        <f>"201906049566"</f>
        <v>201906049566</v>
      </c>
      <c r="F140" t="str">
        <f>"ACCT#011474/ELECTIONS"</f>
        <v>ACCT#011474/ELECTIONS</v>
      </c>
      <c r="G140" s="2">
        <v>40</v>
      </c>
      <c r="H140" t="str">
        <f>"ACCT#011474/ELECTIONS"</f>
        <v>ACCT#011474/ELECTIONS</v>
      </c>
    </row>
    <row r="141" spans="5:8" x14ac:dyDescent="0.25">
      <c r="E141" t="str">
        <f>"201906049567"</f>
        <v>201906049567</v>
      </c>
      <c r="F141" t="str">
        <f>"ACCT#010057/AUDITOR"</f>
        <v>ACCT#010057/AUDITOR</v>
      </c>
      <c r="G141" s="2">
        <v>52.5</v>
      </c>
      <c r="H141" t="str">
        <f>"ACCT#010057/AUDITOR"</f>
        <v>ACCT#010057/AUDITOR</v>
      </c>
    </row>
    <row r="142" spans="5:8" x14ac:dyDescent="0.25">
      <c r="E142" t="str">
        <f>"201906049570"</f>
        <v>201906049570</v>
      </c>
      <c r="F142" t="str">
        <f>"ACCT#012259/DIST CLERK'S OFFIC"</f>
        <v>ACCT#012259/DIST CLERK'S OFFIC</v>
      </c>
      <c r="G142" s="2">
        <v>84</v>
      </c>
      <c r="H142" t="str">
        <f>"ACCT#012259/DIST CLERK'S OFFIC"</f>
        <v>ACCT#012259/DIST CLERK'S OFFIC</v>
      </c>
    </row>
    <row r="143" spans="5:8" x14ac:dyDescent="0.25">
      <c r="E143" t="str">
        <f>"201906049579"</f>
        <v>201906049579</v>
      </c>
      <c r="F143" t="str">
        <f>"ACCT#012803/BASTROP CO JUDGE"</f>
        <v>ACCT#012803/BASTROP CO JUDGE</v>
      </c>
      <c r="G143" s="2">
        <v>24</v>
      </c>
      <c r="H143" t="str">
        <f>"ACCT#012803/BASTROP CO JUDGE"</f>
        <v>ACCT#012803/BASTROP CO JUDGE</v>
      </c>
    </row>
    <row r="144" spans="5:8" x14ac:dyDescent="0.25">
      <c r="E144" t="str">
        <f>"201906049584"</f>
        <v>201906049584</v>
      </c>
      <c r="F144" t="str">
        <f>"ACCT#013393/HUMAN RESOURCES"</f>
        <v>ACCT#013393/HUMAN RESOURCES</v>
      </c>
      <c r="G144" s="2">
        <v>25</v>
      </c>
      <c r="H144" t="str">
        <f>"ACCT#013393/HUMAN RESOURCES"</f>
        <v>ACCT#013393/HUMAN RESOURCES</v>
      </c>
    </row>
    <row r="145" spans="1:8" x14ac:dyDescent="0.25">
      <c r="E145" t="str">
        <f>"201906059695"</f>
        <v>201906059695</v>
      </c>
      <c r="F145" t="str">
        <f>"ACCT#014737/ANIMAL SERVICE"</f>
        <v>ACCT#014737/ANIMAL SERVICE</v>
      </c>
      <c r="G145" s="2">
        <v>74.489999999999995</v>
      </c>
      <c r="H145" t="str">
        <f>"ACCT#014737/ANIMAL SERVICE"</f>
        <v>ACCT#014737/ANIMAL SERVICE</v>
      </c>
    </row>
    <row r="146" spans="1:8" x14ac:dyDescent="0.25">
      <c r="A146" t="s">
        <v>33</v>
      </c>
      <c r="B146">
        <v>82625</v>
      </c>
      <c r="C146" s="2">
        <v>35.49</v>
      </c>
      <c r="D146" s="1">
        <v>43640</v>
      </c>
      <c r="E146" t="str">
        <f>"201906179907"</f>
        <v>201906179907</v>
      </c>
      <c r="F146" t="str">
        <f>"ACCT#010149/AGRI LIFE EXT"</f>
        <v>ACCT#010149/AGRI LIFE EXT</v>
      </c>
      <c r="G146" s="2">
        <v>35.49</v>
      </c>
      <c r="H146" t="str">
        <f>"ACCT#010149/AGRI LIFE EXT"</f>
        <v>ACCT#010149/AGRI LIFE EXT</v>
      </c>
    </row>
    <row r="147" spans="1:8" x14ac:dyDescent="0.25">
      <c r="A147" t="s">
        <v>34</v>
      </c>
      <c r="B147">
        <v>82626</v>
      </c>
      <c r="C147" s="2">
        <v>3374.99</v>
      </c>
      <c r="D147" s="1">
        <v>43640</v>
      </c>
      <c r="E147" t="str">
        <f>"201906189932"</f>
        <v>201906189932</v>
      </c>
      <c r="F147" t="str">
        <f>"ACCT#0401408501/ANIMAL SHELTER"</f>
        <v>ACCT#0401408501/ANIMAL SHELTER</v>
      </c>
      <c r="G147" s="2">
        <v>849.3</v>
      </c>
      <c r="H147" t="str">
        <f>"ACCT#0401408501/ANIMAL SHELTER"</f>
        <v>ACCT#0401408501/ANIMAL SHELTER</v>
      </c>
    </row>
    <row r="148" spans="1:8" x14ac:dyDescent="0.25">
      <c r="E148" t="str">
        <f>"201906189933"</f>
        <v>201906189933</v>
      </c>
      <c r="F148" t="str">
        <f>"ACCT#0400785803/COOLWATER"</f>
        <v>ACCT#0400785803/COOLWATER</v>
      </c>
      <c r="G148" s="2">
        <v>779.59</v>
      </c>
      <c r="H148" t="str">
        <f>"ACCT#0400785803/COOLWATER"</f>
        <v>ACCT#0400785803/COOLWATER</v>
      </c>
    </row>
    <row r="149" spans="1:8" x14ac:dyDescent="0.25">
      <c r="E149" t="str">
        <f>"201906189934"</f>
        <v>201906189934</v>
      </c>
      <c r="F149" t="str">
        <f>"ACCT#7700010024/MARCH-MAY"</f>
        <v>ACCT#7700010024/MARCH-MAY</v>
      </c>
      <c r="G149" s="2">
        <v>1558</v>
      </c>
      <c r="H149" t="str">
        <f>"ACCT#7700010024/MARCH-MAY"</f>
        <v>ACCT#7700010024/MARCH-MAY</v>
      </c>
    </row>
    <row r="150" spans="1:8" x14ac:dyDescent="0.25">
      <c r="E150" t="str">
        <f>"201906189935"</f>
        <v>201906189935</v>
      </c>
      <c r="F150" t="str">
        <f>"ACCT#0102120801/PCT#2"</f>
        <v>ACCT#0102120801/PCT#2</v>
      </c>
      <c r="G150" s="2">
        <v>138.44999999999999</v>
      </c>
      <c r="H150" t="str">
        <f>"ACCT#0102120801/PCT#2"</f>
        <v>ACCT#0102120801/PCT#2</v>
      </c>
    </row>
    <row r="151" spans="1:8" x14ac:dyDescent="0.25">
      <c r="E151" t="str">
        <f>"201906189936"</f>
        <v>201906189936</v>
      </c>
      <c r="F151" t="str">
        <f>"ACCT#0800042801/PCT#3"</f>
        <v>ACCT#0800042801/PCT#3</v>
      </c>
      <c r="G151" s="2">
        <v>49.65</v>
      </c>
      <c r="H151" t="str">
        <f>"ACCT#0800042801/PCT#3"</f>
        <v>ACCT#0800042801/PCT#3</v>
      </c>
    </row>
    <row r="152" spans="1:8" x14ac:dyDescent="0.25">
      <c r="A152" t="s">
        <v>35</v>
      </c>
      <c r="B152">
        <v>82627</v>
      </c>
      <c r="C152" s="2">
        <v>2400</v>
      </c>
      <c r="D152" s="1">
        <v>43640</v>
      </c>
      <c r="E152" t="str">
        <f>"1814.08"</f>
        <v>1814.08</v>
      </c>
      <c r="F152" t="str">
        <f>"1814 COURTHOUSE MASTER PLAN"</f>
        <v>1814 COURTHOUSE MASTER PLAN</v>
      </c>
      <c r="G152" s="2">
        <v>2400</v>
      </c>
      <c r="H152" t="str">
        <f>"1814 COURTHOUSE MASTER PLAN"</f>
        <v>1814 COURTHOUSE MASTER PLAN</v>
      </c>
    </row>
    <row r="153" spans="1:8" x14ac:dyDescent="0.25">
      <c r="A153" t="s">
        <v>36</v>
      </c>
      <c r="B153">
        <v>82468</v>
      </c>
      <c r="C153" s="2">
        <v>5448.61</v>
      </c>
      <c r="D153" s="1">
        <v>43626</v>
      </c>
      <c r="E153" t="str">
        <f>"201905309523"</f>
        <v>201905309523</v>
      </c>
      <c r="F153" t="str">
        <f>"ACCT#512A49-0048 193 3"</f>
        <v>ACCT#512A49-0048 193 3</v>
      </c>
      <c r="G153" s="2">
        <v>5448.61</v>
      </c>
      <c r="H153" t="str">
        <f>"ACCT#512A49-0048 193 3"</f>
        <v>ACCT#512A49-0048 193 3</v>
      </c>
    </row>
    <row r="154" spans="1:8" x14ac:dyDescent="0.25">
      <c r="E154" t="str">
        <f>""</f>
        <v/>
      </c>
      <c r="F154" t="str">
        <f>""</f>
        <v/>
      </c>
      <c r="H154" t="str">
        <f>"ACCT#512A49-0048 193 3"</f>
        <v>ACCT#512A49-0048 193 3</v>
      </c>
    </row>
    <row r="155" spans="1:8" x14ac:dyDescent="0.25">
      <c r="E155" t="str">
        <f>""</f>
        <v/>
      </c>
      <c r="F155" t="str">
        <f>""</f>
        <v/>
      </c>
      <c r="H155" t="str">
        <f>"ACCT#512A49-0048 193 3"</f>
        <v>ACCT#512A49-0048 193 3</v>
      </c>
    </row>
    <row r="156" spans="1:8" x14ac:dyDescent="0.25">
      <c r="E156" t="str">
        <f>""</f>
        <v/>
      </c>
      <c r="F156" t="str">
        <f>""</f>
        <v/>
      </c>
      <c r="H156" t="str">
        <f>"ACCT#512A49-0048 193 3"</f>
        <v>ACCT#512A49-0048 193 3</v>
      </c>
    </row>
    <row r="157" spans="1:8" x14ac:dyDescent="0.25">
      <c r="A157" t="s">
        <v>36</v>
      </c>
      <c r="B157">
        <v>82628</v>
      </c>
      <c r="C157" s="2">
        <v>1236.77</v>
      </c>
      <c r="D157" s="1">
        <v>43640</v>
      </c>
      <c r="E157" t="str">
        <f>"201906189929"</f>
        <v>201906189929</v>
      </c>
      <c r="F157" t="str">
        <f>"ACCT#512 308-9870 530 7"</f>
        <v>ACCT#512 308-9870 530 7</v>
      </c>
      <c r="G157" s="2">
        <v>1236.77</v>
      </c>
      <c r="H157" t="str">
        <f>"ACCT#512 308-9870 530 7"</f>
        <v>ACCT#512 308-9870 530 7</v>
      </c>
    </row>
    <row r="158" spans="1:8" x14ac:dyDescent="0.25">
      <c r="A158" t="s">
        <v>37</v>
      </c>
      <c r="B158">
        <v>82469</v>
      </c>
      <c r="C158" s="2">
        <v>4559.32</v>
      </c>
      <c r="D158" s="1">
        <v>43626</v>
      </c>
      <c r="E158" t="str">
        <f>"0208768400"</f>
        <v>0208768400</v>
      </c>
      <c r="F158" t="str">
        <f>"ACCT#831-000-7919-823"</f>
        <v>ACCT#831-000-7919-823</v>
      </c>
      <c r="G158" s="2">
        <v>2000.38</v>
      </c>
      <c r="H158" t="str">
        <f>"ACCT#831-000-7919-823"</f>
        <v>ACCT#831-000-7919-823</v>
      </c>
    </row>
    <row r="159" spans="1:8" x14ac:dyDescent="0.25">
      <c r="E159" t="str">
        <f>"0702518400"</f>
        <v>0702518400</v>
      </c>
      <c r="F159" t="str">
        <f>"ACCT#831-000-6084-095"</f>
        <v>ACCT#831-000-6084-095</v>
      </c>
      <c r="G159" s="2">
        <v>1684.69</v>
      </c>
      <c r="H159" t="str">
        <f>"ACCT#831-000-6084-095"</f>
        <v>ACCT#831-000-6084-095</v>
      </c>
    </row>
    <row r="160" spans="1:8" x14ac:dyDescent="0.25">
      <c r="E160" t="str">
        <f>"8870567408"</f>
        <v>8870567408</v>
      </c>
      <c r="F160" t="str">
        <f>"ACCT#831-000-7218-923"</f>
        <v>ACCT#831-000-7218-923</v>
      </c>
      <c r="G160" s="2">
        <v>874.25</v>
      </c>
      <c r="H160" t="str">
        <f>"ACCT#831-000-7218-923"</f>
        <v>ACCT#831-000-7218-923</v>
      </c>
    </row>
    <row r="161" spans="1:8" x14ac:dyDescent="0.25">
      <c r="A161" t="s">
        <v>37</v>
      </c>
      <c r="B161">
        <v>82629</v>
      </c>
      <c r="C161" s="2">
        <v>325</v>
      </c>
      <c r="D161" s="1">
        <v>43640</v>
      </c>
      <c r="E161" t="str">
        <f>"313087"</f>
        <v>313087</v>
      </c>
      <c r="F161" t="str">
        <f>"INV 313087"</f>
        <v>INV 313087</v>
      </c>
      <c r="G161" s="2">
        <v>325</v>
      </c>
      <c r="H161" t="str">
        <f>"INV 313087"</f>
        <v>INV 313087</v>
      </c>
    </row>
    <row r="162" spans="1:8" x14ac:dyDescent="0.25">
      <c r="A162" t="s">
        <v>37</v>
      </c>
      <c r="B162">
        <v>82630</v>
      </c>
      <c r="C162" s="2">
        <v>1800.29</v>
      </c>
      <c r="D162" s="1">
        <v>43640</v>
      </c>
      <c r="E162" t="str">
        <f>"201906190045"</f>
        <v>201906190045</v>
      </c>
      <c r="F162" t="str">
        <f>"512 303-1080 238 5"</f>
        <v>512 303-1080 238 5</v>
      </c>
      <c r="G162" s="2">
        <v>1800.29</v>
      </c>
      <c r="H162" t="str">
        <f>"512 303-1080 238 5"</f>
        <v>512 303-1080 238 5</v>
      </c>
    </row>
    <row r="163" spans="1:8" x14ac:dyDescent="0.25">
      <c r="E163" t="str">
        <f>""</f>
        <v/>
      </c>
      <c r="F163" t="str">
        <f>""</f>
        <v/>
      </c>
      <c r="H163" t="str">
        <f>"512 303-1080 238 5"</f>
        <v>512 303-1080 238 5</v>
      </c>
    </row>
    <row r="164" spans="1:8" x14ac:dyDescent="0.25">
      <c r="A164" t="s">
        <v>38</v>
      </c>
      <c r="B164">
        <v>82470</v>
      </c>
      <c r="C164" s="2">
        <v>4915.16</v>
      </c>
      <c r="D164" s="1">
        <v>43626</v>
      </c>
      <c r="E164" t="str">
        <f>"287290524359X04272"</f>
        <v>287290524359X04272</v>
      </c>
      <c r="F164" t="str">
        <f>"ACCT#287290524359/FAN#58143538"</f>
        <v>ACCT#287290524359/FAN#58143538</v>
      </c>
      <c r="G164" s="2">
        <v>2285.16</v>
      </c>
      <c r="H164" t="str">
        <f t="shared" ref="H164:H175" si="6">"ACCT#287290524359/FAN#58143538"</f>
        <v>ACCT#287290524359/FAN#58143538</v>
      </c>
    </row>
    <row r="165" spans="1:8" x14ac:dyDescent="0.25">
      <c r="E165" t="str">
        <f>""</f>
        <v/>
      </c>
      <c r="F165" t="str">
        <f>""</f>
        <v/>
      </c>
      <c r="H165" t="str">
        <f t="shared" si="6"/>
        <v>ACCT#287290524359/FAN#58143538</v>
      </c>
    </row>
    <row r="166" spans="1:8" x14ac:dyDescent="0.25">
      <c r="E166" t="str">
        <f>""</f>
        <v/>
      </c>
      <c r="F166" t="str">
        <f>""</f>
        <v/>
      </c>
      <c r="H166" t="str">
        <f t="shared" si="6"/>
        <v>ACCT#287290524359/FAN#58143538</v>
      </c>
    </row>
    <row r="167" spans="1:8" x14ac:dyDescent="0.25">
      <c r="E167" t="str">
        <f>""</f>
        <v/>
      </c>
      <c r="F167" t="str">
        <f>""</f>
        <v/>
      </c>
      <c r="H167" t="str">
        <f t="shared" si="6"/>
        <v>ACCT#287290524359/FAN#58143538</v>
      </c>
    </row>
    <row r="168" spans="1:8" x14ac:dyDescent="0.25">
      <c r="E168" t="str">
        <f>""</f>
        <v/>
      </c>
      <c r="F168" t="str">
        <f>""</f>
        <v/>
      </c>
      <c r="H168" t="str">
        <f t="shared" si="6"/>
        <v>ACCT#287290524359/FAN#58143538</v>
      </c>
    </row>
    <row r="169" spans="1:8" x14ac:dyDescent="0.25">
      <c r="E169" t="str">
        <f>""</f>
        <v/>
      </c>
      <c r="F169" t="str">
        <f>""</f>
        <v/>
      </c>
      <c r="H169" t="str">
        <f t="shared" si="6"/>
        <v>ACCT#287290524359/FAN#58143538</v>
      </c>
    </row>
    <row r="170" spans="1:8" x14ac:dyDescent="0.25">
      <c r="E170" t="str">
        <f>"287290524359X05272"</f>
        <v>287290524359X05272</v>
      </c>
      <c r="F170" t="str">
        <f>"ACCT#287290524359/FAN#58143538"</f>
        <v>ACCT#287290524359/FAN#58143538</v>
      </c>
      <c r="G170" s="2">
        <v>2630</v>
      </c>
      <c r="H170" t="str">
        <f t="shared" si="6"/>
        <v>ACCT#287290524359/FAN#58143538</v>
      </c>
    </row>
    <row r="171" spans="1:8" x14ac:dyDescent="0.25">
      <c r="E171" t="str">
        <f>""</f>
        <v/>
      </c>
      <c r="F171" t="str">
        <f>""</f>
        <v/>
      </c>
      <c r="H171" t="str">
        <f t="shared" si="6"/>
        <v>ACCT#287290524359/FAN#58143538</v>
      </c>
    </row>
    <row r="172" spans="1:8" x14ac:dyDescent="0.25">
      <c r="E172" t="str">
        <f>""</f>
        <v/>
      </c>
      <c r="F172" t="str">
        <f>""</f>
        <v/>
      </c>
      <c r="H172" t="str">
        <f t="shared" si="6"/>
        <v>ACCT#287290524359/FAN#58143538</v>
      </c>
    </row>
    <row r="173" spans="1:8" x14ac:dyDescent="0.25">
      <c r="E173" t="str">
        <f>""</f>
        <v/>
      </c>
      <c r="F173" t="str">
        <f>""</f>
        <v/>
      </c>
      <c r="H173" t="str">
        <f t="shared" si="6"/>
        <v>ACCT#287290524359/FAN#58143538</v>
      </c>
    </row>
    <row r="174" spans="1:8" x14ac:dyDescent="0.25">
      <c r="E174" t="str">
        <f>""</f>
        <v/>
      </c>
      <c r="F174" t="str">
        <f>""</f>
        <v/>
      </c>
      <c r="H174" t="str">
        <f t="shared" si="6"/>
        <v>ACCT#287290524359/FAN#58143538</v>
      </c>
    </row>
    <row r="175" spans="1:8" x14ac:dyDescent="0.25">
      <c r="E175" t="str">
        <f>""</f>
        <v/>
      </c>
      <c r="F175" t="str">
        <f>""</f>
        <v/>
      </c>
      <c r="H175" t="str">
        <f t="shared" si="6"/>
        <v>ACCT#287290524359/FAN#58143538</v>
      </c>
    </row>
    <row r="176" spans="1:8" x14ac:dyDescent="0.25">
      <c r="A176" t="s">
        <v>38</v>
      </c>
      <c r="B176">
        <v>82631</v>
      </c>
      <c r="C176" s="2">
        <v>1525.59</v>
      </c>
      <c r="D176" s="1">
        <v>43640</v>
      </c>
      <c r="E176" t="str">
        <f>"201906190044"</f>
        <v>201906190044</v>
      </c>
      <c r="F176" t="str">
        <f>"INV 287280903541X06202019"</f>
        <v>INV 287280903541X06202019</v>
      </c>
      <c r="G176" s="2">
        <v>208.33</v>
      </c>
      <c r="H176" t="str">
        <f>"ACCT 287280903541"</f>
        <v>ACCT 287280903541</v>
      </c>
    </row>
    <row r="177" spans="5:8" x14ac:dyDescent="0.25">
      <c r="E177" t="str">
        <f>"287263291654X06020"</f>
        <v>287263291654X06020</v>
      </c>
      <c r="F177" t="str">
        <f>"ACCT#287263291654/FAN#06062279"</f>
        <v>ACCT#287263291654/FAN#06062279</v>
      </c>
      <c r="G177" s="2">
        <v>1317.26</v>
      </c>
      <c r="H177" t="str">
        <f t="shared" ref="H177:H192" si="7">"ACCT#287263291654/FAN#06062279"</f>
        <v>ACCT#287263291654/FAN#06062279</v>
      </c>
    </row>
    <row r="178" spans="5:8" x14ac:dyDescent="0.25">
      <c r="E178" t="str">
        <f>""</f>
        <v/>
      </c>
      <c r="F178" t="str">
        <f>""</f>
        <v/>
      </c>
      <c r="H178" t="str">
        <f t="shared" si="7"/>
        <v>ACCT#287263291654/FAN#06062279</v>
      </c>
    </row>
    <row r="179" spans="5:8" x14ac:dyDescent="0.25">
      <c r="E179" t="str">
        <f>""</f>
        <v/>
      </c>
      <c r="F179" t="str">
        <f>""</f>
        <v/>
      </c>
      <c r="H179" t="str">
        <f t="shared" si="7"/>
        <v>ACCT#287263291654/FAN#06062279</v>
      </c>
    </row>
    <row r="180" spans="5:8" x14ac:dyDescent="0.25">
      <c r="E180" t="str">
        <f>""</f>
        <v/>
      </c>
      <c r="F180" t="str">
        <f>""</f>
        <v/>
      </c>
      <c r="H180" t="str">
        <f t="shared" si="7"/>
        <v>ACCT#287263291654/FAN#06062279</v>
      </c>
    </row>
    <row r="181" spans="5:8" x14ac:dyDescent="0.25">
      <c r="E181" t="str">
        <f>""</f>
        <v/>
      </c>
      <c r="F181" t="str">
        <f>""</f>
        <v/>
      </c>
      <c r="H181" t="str">
        <f t="shared" si="7"/>
        <v>ACCT#287263291654/FAN#06062279</v>
      </c>
    </row>
    <row r="182" spans="5:8" x14ac:dyDescent="0.25">
      <c r="E182" t="str">
        <f>""</f>
        <v/>
      </c>
      <c r="F182" t="str">
        <f>""</f>
        <v/>
      </c>
      <c r="H182" t="str">
        <f t="shared" si="7"/>
        <v>ACCT#287263291654/FAN#06062279</v>
      </c>
    </row>
    <row r="183" spans="5:8" x14ac:dyDescent="0.25">
      <c r="E183" t="str">
        <f>""</f>
        <v/>
      </c>
      <c r="F183" t="str">
        <f>""</f>
        <v/>
      </c>
      <c r="H183" t="str">
        <f t="shared" si="7"/>
        <v>ACCT#287263291654/FAN#06062279</v>
      </c>
    </row>
    <row r="184" spans="5:8" x14ac:dyDescent="0.25">
      <c r="E184" t="str">
        <f>""</f>
        <v/>
      </c>
      <c r="F184" t="str">
        <f>""</f>
        <v/>
      </c>
      <c r="H184" t="str">
        <f t="shared" si="7"/>
        <v>ACCT#287263291654/FAN#06062279</v>
      </c>
    </row>
    <row r="185" spans="5:8" x14ac:dyDescent="0.25">
      <c r="E185" t="str">
        <f>""</f>
        <v/>
      </c>
      <c r="F185" t="str">
        <f>""</f>
        <v/>
      </c>
      <c r="H185" t="str">
        <f t="shared" si="7"/>
        <v>ACCT#287263291654/FAN#06062279</v>
      </c>
    </row>
    <row r="186" spans="5:8" x14ac:dyDescent="0.25">
      <c r="E186" t="str">
        <f>""</f>
        <v/>
      </c>
      <c r="F186" t="str">
        <f>""</f>
        <v/>
      </c>
      <c r="H186" t="str">
        <f t="shared" si="7"/>
        <v>ACCT#287263291654/FAN#06062279</v>
      </c>
    </row>
    <row r="187" spans="5:8" x14ac:dyDescent="0.25">
      <c r="E187" t="str">
        <f>""</f>
        <v/>
      </c>
      <c r="F187" t="str">
        <f>""</f>
        <v/>
      </c>
      <c r="H187" t="str">
        <f t="shared" si="7"/>
        <v>ACCT#287263291654/FAN#06062279</v>
      </c>
    </row>
    <row r="188" spans="5:8" x14ac:dyDescent="0.25">
      <c r="E188" t="str">
        <f>""</f>
        <v/>
      </c>
      <c r="F188" t="str">
        <f>""</f>
        <v/>
      </c>
      <c r="H188" t="str">
        <f t="shared" si="7"/>
        <v>ACCT#287263291654/FAN#06062279</v>
      </c>
    </row>
    <row r="189" spans="5:8" x14ac:dyDescent="0.25">
      <c r="E189" t="str">
        <f>""</f>
        <v/>
      </c>
      <c r="F189" t="str">
        <f>""</f>
        <v/>
      </c>
      <c r="H189" t="str">
        <f t="shared" si="7"/>
        <v>ACCT#287263291654/FAN#06062279</v>
      </c>
    </row>
    <row r="190" spans="5:8" x14ac:dyDescent="0.25">
      <c r="E190" t="str">
        <f>""</f>
        <v/>
      </c>
      <c r="F190" t="str">
        <f>""</f>
        <v/>
      </c>
      <c r="H190" t="str">
        <f t="shared" si="7"/>
        <v>ACCT#287263291654/FAN#06062279</v>
      </c>
    </row>
    <row r="191" spans="5:8" x14ac:dyDescent="0.25">
      <c r="E191" t="str">
        <f>""</f>
        <v/>
      </c>
      <c r="F191" t="str">
        <f>""</f>
        <v/>
      </c>
      <c r="H191" t="str">
        <f t="shared" si="7"/>
        <v>ACCT#287263291654/FAN#06062279</v>
      </c>
    </row>
    <row r="192" spans="5:8" x14ac:dyDescent="0.25">
      <c r="E192" t="str">
        <f>""</f>
        <v/>
      </c>
      <c r="F192" t="str">
        <f>""</f>
        <v/>
      </c>
      <c r="H192" t="str">
        <f t="shared" si="7"/>
        <v>ACCT#287263291654/FAN#06062279</v>
      </c>
    </row>
    <row r="193" spans="1:8" x14ac:dyDescent="0.25">
      <c r="A193" t="s">
        <v>39</v>
      </c>
      <c r="B193">
        <v>968</v>
      </c>
      <c r="C193" s="2">
        <v>243.81</v>
      </c>
      <c r="D193" s="1">
        <v>43641</v>
      </c>
      <c r="E193" t="str">
        <f>"94374"</f>
        <v>94374</v>
      </c>
      <c r="F193" t="str">
        <f>"WK ORD#18875/HOSE ASSY/PCT#4"</f>
        <v>WK ORD#18875/HOSE ASSY/PCT#4</v>
      </c>
      <c r="G193" s="2">
        <v>243.81</v>
      </c>
      <c r="H193" t="str">
        <f>"WK ORD#18875/HOSE ASSY/PCT#4"</f>
        <v>WK ORD#18875/HOSE ASSY/PCT#4</v>
      </c>
    </row>
    <row r="194" spans="1:8" x14ac:dyDescent="0.25">
      <c r="A194" t="s">
        <v>39</v>
      </c>
      <c r="B194">
        <v>82471</v>
      </c>
      <c r="C194" s="2">
        <v>2629.87</v>
      </c>
      <c r="D194" s="1">
        <v>43626</v>
      </c>
      <c r="E194" t="str">
        <f>"94247"</f>
        <v>94247</v>
      </c>
      <c r="F194" t="str">
        <f>"WK ORD#18762/PARTS/PCT#2"</f>
        <v>WK ORD#18762/PARTS/PCT#2</v>
      </c>
      <c r="G194" s="2">
        <v>140.18</v>
      </c>
      <c r="H194" t="str">
        <f>"WK ORD#18762/PARTS/PCT#2"</f>
        <v>WK ORD#18762/PARTS/PCT#2</v>
      </c>
    </row>
    <row r="195" spans="1:8" x14ac:dyDescent="0.25">
      <c r="E195" t="str">
        <f>"94253"</f>
        <v>94253</v>
      </c>
      <c r="F195" t="str">
        <f>"WK ORD#18768/PCT#3"</f>
        <v>WK ORD#18768/PCT#3</v>
      </c>
      <c r="G195" s="2">
        <v>1995.65</v>
      </c>
      <c r="H195" t="str">
        <f>"WK ORD#18768/PCT#3"</f>
        <v>WK ORD#18768/PCT#3</v>
      </c>
    </row>
    <row r="196" spans="1:8" x14ac:dyDescent="0.25">
      <c r="E196" t="str">
        <f>"94256"</f>
        <v>94256</v>
      </c>
      <c r="F196" t="str">
        <f>"WORK ORD#18772/PCT#2"</f>
        <v>WORK ORD#18772/PCT#2</v>
      </c>
      <c r="G196" s="2">
        <v>102.58</v>
      </c>
      <c r="H196" t="str">
        <f>"WORK ORD#18772/PCT#2"</f>
        <v>WORK ORD#18772/PCT#2</v>
      </c>
    </row>
    <row r="197" spans="1:8" x14ac:dyDescent="0.25">
      <c r="E197" t="str">
        <f>"94280"</f>
        <v>94280</v>
      </c>
      <c r="F197" t="str">
        <f>"WK ORD#18810/HOSE ASSY/PCT#3"</f>
        <v>WK ORD#18810/HOSE ASSY/PCT#3</v>
      </c>
      <c r="G197" s="2">
        <v>391.46</v>
      </c>
      <c r="H197" t="str">
        <f>"WK ORD#18810/HOSE ASSY/PCT#3"</f>
        <v>WK ORD#18810/HOSE ASSY/PCT#3</v>
      </c>
    </row>
    <row r="198" spans="1:8" x14ac:dyDescent="0.25">
      <c r="A198" t="s">
        <v>40</v>
      </c>
      <c r="B198">
        <v>82632</v>
      </c>
      <c r="C198" s="2">
        <v>137.91999999999999</v>
      </c>
      <c r="D198" s="1">
        <v>43640</v>
      </c>
      <c r="E198" t="str">
        <f>"483893"</f>
        <v>483893</v>
      </c>
      <c r="F198" t="str">
        <f>"Ad# 483893"</f>
        <v>Ad# 483893</v>
      </c>
      <c r="G198" s="2">
        <v>137.91999999999999</v>
      </c>
      <c r="H198" t="str">
        <f>"Ad# 483893"</f>
        <v>Ad# 483893</v>
      </c>
    </row>
    <row r="199" spans="1:8" x14ac:dyDescent="0.25">
      <c r="A199" t="s">
        <v>41</v>
      </c>
      <c r="B199">
        <v>82633</v>
      </c>
      <c r="C199" s="2">
        <v>268.24</v>
      </c>
      <c r="D199" s="1">
        <v>43640</v>
      </c>
      <c r="E199" t="str">
        <f>"201906180004"</f>
        <v>201906180004</v>
      </c>
      <c r="F199" t="str">
        <f>"INDIGENT HEALTH"</f>
        <v>INDIGENT HEALTH</v>
      </c>
      <c r="G199" s="2">
        <v>268.24</v>
      </c>
      <c r="H199" t="str">
        <f>"INDIGENT HEALTH"</f>
        <v>INDIGENT HEALTH</v>
      </c>
    </row>
    <row r="200" spans="1:8" x14ac:dyDescent="0.25">
      <c r="E200" t="str">
        <f>""</f>
        <v/>
      </c>
      <c r="F200" t="str">
        <f>""</f>
        <v/>
      </c>
      <c r="H200" t="str">
        <f>"INDIGENT HEALTH"</f>
        <v>INDIGENT HEALTH</v>
      </c>
    </row>
    <row r="201" spans="1:8" x14ac:dyDescent="0.25">
      <c r="A201" t="s">
        <v>42</v>
      </c>
      <c r="B201">
        <v>997</v>
      </c>
      <c r="C201" s="2">
        <v>80</v>
      </c>
      <c r="D201" s="1">
        <v>43641</v>
      </c>
      <c r="E201" t="str">
        <f>"201906180005"</f>
        <v>201906180005</v>
      </c>
      <c r="F201" t="str">
        <f>"INDIGENT HEALTH"</f>
        <v>INDIGENT HEALTH</v>
      </c>
      <c r="G201" s="2">
        <v>80</v>
      </c>
      <c r="H201" t="str">
        <f>"INDIGENT HEALTH"</f>
        <v>INDIGENT HEALTH</v>
      </c>
    </row>
    <row r="202" spans="1:8" x14ac:dyDescent="0.25">
      <c r="A202" t="s">
        <v>43</v>
      </c>
      <c r="B202">
        <v>82634</v>
      </c>
      <c r="C202" s="2">
        <v>46.73</v>
      </c>
      <c r="D202" s="1">
        <v>43640</v>
      </c>
      <c r="E202" t="str">
        <f>"201906180006"</f>
        <v>201906180006</v>
      </c>
      <c r="F202" t="str">
        <f>"INDIGENT HEALTH"</f>
        <v>INDIGENT HEALTH</v>
      </c>
      <c r="G202" s="2">
        <v>46.73</v>
      </c>
      <c r="H202" t="str">
        <f>"INDIGENT HEALTH"</f>
        <v>INDIGENT HEALTH</v>
      </c>
    </row>
    <row r="203" spans="1:8" x14ac:dyDescent="0.25">
      <c r="A203" t="s">
        <v>44</v>
      </c>
      <c r="B203">
        <v>82472</v>
      </c>
      <c r="C203" s="2">
        <v>22.45</v>
      </c>
      <c r="D203" s="1">
        <v>43626</v>
      </c>
      <c r="E203" t="str">
        <f>"4521*98039*3"</f>
        <v>4521*98039*3</v>
      </c>
      <c r="F203" t="str">
        <f>"JAIL MEDICAL"</f>
        <v>JAIL MEDICAL</v>
      </c>
      <c r="G203" s="2">
        <v>22.45</v>
      </c>
      <c r="H203" t="str">
        <f>"JAIL MEDICAL"</f>
        <v>JAIL MEDICAL</v>
      </c>
    </row>
    <row r="204" spans="1:8" x14ac:dyDescent="0.25">
      <c r="A204" t="s">
        <v>44</v>
      </c>
      <c r="B204">
        <v>82635</v>
      </c>
      <c r="C204" s="2">
        <v>130.99</v>
      </c>
      <c r="D204" s="1">
        <v>43640</v>
      </c>
      <c r="E204" t="str">
        <f>"201906180007"</f>
        <v>201906180007</v>
      </c>
      <c r="F204" t="str">
        <f>"INDIGENT HEALTH"</f>
        <v>INDIGENT HEALTH</v>
      </c>
      <c r="G204" s="2">
        <v>123.77</v>
      </c>
      <c r="H204" t="str">
        <f>"INDIGENT HEALTH"</f>
        <v>INDIGENT HEALTH</v>
      </c>
    </row>
    <row r="205" spans="1:8" x14ac:dyDescent="0.25">
      <c r="E205" t="str">
        <f>"201906180023"</f>
        <v>201906180023</v>
      </c>
      <c r="F205" t="str">
        <f>"JAIL MEDICAL"</f>
        <v>JAIL MEDICAL</v>
      </c>
      <c r="G205" s="2">
        <v>7.22</v>
      </c>
      <c r="H205" t="str">
        <f>"JAIL MEDICAL"</f>
        <v>JAIL MEDICAL</v>
      </c>
    </row>
    <row r="206" spans="1:8" x14ac:dyDescent="0.25">
      <c r="A206" t="s">
        <v>45</v>
      </c>
      <c r="B206">
        <v>82636</v>
      </c>
      <c r="C206" s="2">
        <v>106.99</v>
      </c>
      <c r="D206" s="1">
        <v>43640</v>
      </c>
      <c r="E206" t="str">
        <f>"201906180008"</f>
        <v>201906180008</v>
      </c>
      <c r="F206" t="str">
        <f>"INDIGENT HEALTH"</f>
        <v>INDIGENT HEALTH</v>
      </c>
      <c r="G206" s="2">
        <v>106.99</v>
      </c>
      <c r="H206" t="str">
        <f>"INDIGENT HEALTH"</f>
        <v>INDIGENT HEALTH</v>
      </c>
    </row>
    <row r="207" spans="1:8" x14ac:dyDescent="0.25">
      <c r="A207" t="s">
        <v>46</v>
      </c>
      <c r="B207">
        <v>82473</v>
      </c>
      <c r="C207" s="2">
        <v>142.19999999999999</v>
      </c>
      <c r="D207" s="1">
        <v>43626</v>
      </c>
      <c r="E207" t="str">
        <f>"059577"</f>
        <v>059577</v>
      </c>
      <c r="F207" t="str">
        <f>"INV 059577"</f>
        <v>INV 059577</v>
      </c>
      <c r="G207" s="2">
        <v>142.19999999999999</v>
      </c>
      <c r="H207" t="str">
        <f>"INV 059577"</f>
        <v>INV 059577</v>
      </c>
    </row>
    <row r="208" spans="1:8" x14ac:dyDescent="0.25">
      <c r="A208" t="s">
        <v>47</v>
      </c>
      <c r="B208">
        <v>902</v>
      </c>
      <c r="C208" s="2">
        <v>574.41</v>
      </c>
      <c r="D208" s="1">
        <v>43627</v>
      </c>
      <c r="E208" t="str">
        <f>"201906039545"</f>
        <v>201906039545</v>
      </c>
      <c r="F208" t="str">
        <f>"CUST ID:0009/PCT#1"</f>
        <v>CUST ID:0009/PCT#1</v>
      </c>
      <c r="G208" s="2">
        <v>180</v>
      </c>
      <c r="H208" t="str">
        <f>"CUST ID:0009/PCT#1"</f>
        <v>CUST ID:0009/PCT#1</v>
      </c>
    </row>
    <row r="209" spans="1:8" x14ac:dyDescent="0.25">
      <c r="E209" t="str">
        <f>"360620 &amp; 360876"</f>
        <v>360620 &amp; 360876</v>
      </c>
      <c r="F209" t="str">
        <f>"CUST ID:0011/PCT#3"</f>
        <v>CUST ID:0011/PCT#3</v>
      </c>
      <c r="G209" s="2">
        <v>40</v>
      </c>
      <c r="H209" t="str">
        <f>"CUST ID:0011/PCT#3"</f>
        <v>CUST ID:0011/PCT#3</v>
      </c>
    </row>
    <row r="210" spans="1:8" x14ac:dyDescent="0.25">
      <c r="E210" t="str">
        <f>"360737"</f>
        <v>360737</v>
      </c>
      <c r="F210" t="str">
        <f>"CUST ID:0017/ANIMAL CONTROL"</f>
        <v>CUST ID:0017/ANIMAL CONTROL</v>
      </c>
      <c r="G210" s="2">
        <v>195.92</v>
      </c>
      <c r="H210" t="str">
        <f>"CUST ID:0017/ANIMAL CONTROL"</f>
        <v>CUST ID:0017/ANIMAL CONTROL</v>
      </c>
    </row>
    <row r="211" spans="1:8" x14ac:dyDescent="0.25">
      <c r="E211" t="str">
        <f>"361175"</f>
        <v>361175</v>
      </c>
      <c r="F211" t="str">
        <f>"CUST ID#0019/EXTENSION"</f>
        <v>CUST ID#0019/EXTENSION</v>
      </c>
      <c r="G211" s="2">
        <v>158.49</v>
      </c>
      <c r="H211" t="str">
        <f>"CUST ID#0019/EXTENSION"</f>
        <v>CUST ID#0019/EXTENSION</v>
      </c>
    </row>
    <row r="212" spans="1:8" x14ac:dyDescent="0.25">
      <c r="A212" t="s">
        <v>47</v>
      </c>
      <c r="B212">
        <v>970</v>
      </c>
      <c r="C212" s="2">
        <v>291</v>
      </c>
      <c r="D212" s="1">
        <v>43641</v>
      </c>
      <c r="E212" t="str">
        <f>"360777  361202"</f>
        <v>360777  361202</v>
      </c>
      <c r="F212" t="str">
        <f>"CUST ID:0010/PCT#2"</f>
        <v>CUST ID:0010/PCT#2</v>
      </c>
      <c r="G212" s="2">
        <v>176</v>
      </c>
      <c r="H212" t="str">
        <f>"CUST ID:0010/PCT#2"</f>
        <v>CUST ID:0010/PCT#2</v>
      </c>
    </row>
    <row r="213" spans="1:8" x14ac:dyDescent="0.25">
      <c r="E213" t="str">
        <f>"361368"</f>
        <v>361368</v>
      </c>
      <c r="F213" t="str">
        <f>"METAL STEM/STRAIGHTEN WHEEL"</f>
        <v>METAL STEM/STRAIGHTEN WHEEL</v>
      </c>
      <c r="G213" s="2">
        <v>115</v>
      </c>
      <c r="H213" t="str">
        <f>"METAL STEM/STRAIGHTEN WHEEL"</f>
        <v>METAL STEM/STRAIGHTEN WHEEL</v>
      </c>
    </row>
    <row r="214" spans="1:8" x14ac:dyDescent="0.25">
      <c r="A214" t="s">
        <v>48</v>
      </c>
      <c r="B214">
        <v>878</v>
      </c>
      <c r="C214" s="2">
        <v>3300</v>
      </c>
      <c r="D214" s="1">
        <v>43627</v>
      </c>
      <c r="E214" t="str">
        <f>"1539"</f>
        <v>1539</v>
      </c>
      <c r="F214" t="str">
        <f>"TREE REMOVAL/PCT#2"</f>
        <v>TREE REMOVAL/PCT#2</v>
      </c>
      <c r="G214" s="2">
        <v>3300</v>
      </c>
      <c r="H214" t="str">
        <f>"TREE REMOVAL/PCT#2"</f>
        <v>TREE REMOVAL/PCT#2</v>
      </c>
    </row>
    <row r="215" spans="1:8" x14ac:dyDescent="0.25">
      <c r="A215" t="s">
        <v>49</v>
      </c>
      <c r="B215">
        <v>82474</v>
      </c>
      <c r="C215" s="2">
        <v>75</v>
      </c>
      <c r="D215" s="1">
        <v>43626</v>
      </c>
      <c r="E215" t="str">
        <f>"201906049577"</f>
        <v>201906049577</v>
      </c>
      <c r="F215" t="str">
        <f>"REFUND BAIL BOND STICKERS"</f>
        <v>REFUND BAIL BOND STICKERS</v>
      </c>
      <c r="G215" s="2">
        <v>75</v>
      </c>
      <c r="H215" t="str">
        <f>"REFUND BAIL BOND STICKERS"</f>
        <v>REFUND BAIL BOND STICKERS</v>
      </c>
    </row>
    <row r="216" spans="1:8" x14ac:dyDescent="0.25">
      <c r="A216" t="s">
        <v>49</v>
      </c>
      <c r="B216">
        <v>82637</v>
      </c>
      <c r="C216" s="2">
        <v>255</v>
      </c>
      <c r="D216" s="1">
        <v>43640</v>
      </c>
      <c r="E216" t="str">
        <f>"201906189939"</f>
        <v>201906189939</v>
      </c>
      <c r="F216" t="str">
        <f>"REFUND COUPONS"</f>
        <v>REFUND COUPONS</v>
      </c>
      <c r="G216" s="2">
        <v>255</v>
      </c>
      <c r="H216" t="str">
        <f>"REFUND COUPONS"</f>
        <v>REFUND COUPONS</v>
      </c>
    </row>
    <row r="217" spans="1:8" x14ac:dyDescent="0.25">
      <c r="A217" t="s">
        <v>50</v>
      </c>
      <c r="B217">
        <v>82475</v>
      </c>
      <c r="C217" s="2">
        <v>148131.5</v>
      </c>
      <c r="D217" s="1">
        <v>43626</v>
      </c>
      <c r="E217" t="str">
        <f>"201905299507"</f>
        <v>201905299507</v>
      </c>
      <c r="F217" t="str">
        <f>"CAD LOCAL SUPPORT 3RD QTR 2019"</f>
        <v>CAD LOCAL SUPPORT 3RD QTR 2019</v>
      </c>
      <c r="G217" s="2">
        <v>148131.5</v>
      </c>
      <c r="H217" t="str">
        <f>"CAD LOCAL SUPPORT 3RD QTR 2019"</f>
        <v>CAD LOCAL SUPPORT 3RD QTR 2019</v>
      </c>
    </row>
    <row r="218" spans="1:8" x14ac:dyDescent="0.25">
      <c r="A218" t="s">
        <v>51</v>
      </c>
      <c r="B218">
        <v>82476</v>
      </c>
      <c r="C218" s="2">
        <v>1885</v>
      </c>
      <c r="D218" s="1">
        <v>43626</v>
      </c>
      <c r="E218" t="str">
        <f>"12010  04/08/19"</f>
        <v>12010  04/08/19</v>
      </c>
      <c r="F218" t="str">
        <f t="shared" ref="F218:F230" si="8">"SERVICE"</f>
        <v>SERVICE</v>
      </c>
      <c r="G218" s="2">
        <v>100</v>
      </c>
      <c r="H218" t="str">
        <f t="shared" ref="H218:H230" si="9">"SERVICE"</f>
        <v>SERVICE</v>
      </c>
    </row>
    <row r="219" spans="1:8" x14ac:dyDescent="0.25">
      <c r="E219" t="str">
        <f>"12122"</f>
        <v>12122</v>
      </c>
      <c r="F219" t="str">
        <f t="shared" si="8"/>
        <v>SERVICE</v>
      </c>
      <c r="G219" s="2">
        <v>225</v>
      </c>
      <c r="H219" t="str">
        <f t="shared" si="9"/>
        <v>SERVICE</v>
      </c>
    </row>
    <row r="220" spans="1:8" x14ac:dyDescent="0.25">
      <c r="E220" t="str">
        <f>"12356"</f>
        <v>12356</v>
      </c>
      <c r="F220" t="str">
        <f t="shared" si="8"/>
        <v>SERVICE</v>
      </c>
      <c r="G220" s="2">
        <v>325</v>
      </c>
      <c r="H220" t="str">
        <f t="shared" si="9"/>
        <v>SERVICE</v>
      </c>
    </row>
    <row r="221" spans="1:8" x14ac:dyDescent="0.25">
      <c r="E221" t="str">
        <f>"12394"</f>
        <v>12394</v>
      </c>
      <c r="F221" t="str">
        <f t="shared" si="8"/>
        <v>SERVICE</v>
      </c>
      <c r="G221" s="2">
        <v>325</v>
      </c>
      <c r="H221" t="str">
        <f t="shared" si="9"/>
        <v>SERVICE</v>
      </c>
    </row>
    <row r="222" spans="1:8" x14ac:dyDescent="0.25">
      <c r="E222" t="str">
        <f>"12800"</f>
        <v>12800</v>
      </c>
      <c r="F222" t="str">
        <f t="shared" si="8"/>
        <v>SERVICE</v>
      </c>
      <c r="G222" s="2">
        <v>150</v>
      </c>
      <c r="H222" t="str">
        <f t="shared" si="9"/>
        <v>SERVICE</v>
      </c>
    </row>
    <row r="223" spans="1:8" x14ac:dyDescent="0.25">
      <c r="E223" t="str">
        <f>"12815  04/23/19"</f>
        <v>12815  04/23/19</v>
      </c>
      <c r="F223" t="str">
        <f t="shared" si="8"/>
        <v>SERVICE</v>
      </c>
      <c r="G223" s="2">
        <v>60</v>
      </c>
      <c r="H223" t="str">
        <f t="shared" si="9"/>
        <v>SERVICE</v>
      </c>
    </row>
    <row r="224" spans="1:8" x14ac:dyDescent="0.25">
      <c r="E224" t="str">
        <f>"12815  04/26/19"</f>
        <v>12815  04/26/19</v>
      </c>
      <c r="F224" t="str">
        <f t="shared" si="8"/>
        <v>SERVICE</v>
      </c>
      <c r="G224" s="2">
        <v>100</v>
      </c>
      <c r="H224" t="str">
        <f t="shared" si="9"/>
        <v>SERVICE</v>
      </c>
    </row>
    <row r="225" spans="1:8" x14ac:dyDescent="0.25">
      <c r="E225" t="str">
        <f>"12818"</f>
        <v>12818</v>
      </c>
      <c r="F225" t="str">
        <f t="shared" si="8"/>
        <v>SERVICE</v>
      </c>
      <c r="G225" s="2">
        <v>150</v>
      </c>
      <c r="H225" t="str">
        <f t="shared" si="9"/>
        <v>SERVICE</v>
      </c>
    </row>
    <row r="226" spans="1:8" x14ac:dyDescent="0.25">
      <c r="E226" t="str">
        <f>"12822"</f>
        <v>12822</v>
      </c>
      <c r="F226" t="str">
        <f t="shared" si="8"/>
        <v>SERVICE</v>
      </c>
      <c r="G226" s="2">
        <v>150</v>
      </c>
      <c r="H226" t="str">
        <f t="shared" si="9"/>
        <v>SERVICE</v>
      </c>
    </row>
    <row r="227" spans="1:8" x14ac:dyDescent="0.25">
      <c r="E227" t="str">
        <f>"12950"</f>
        <v>12950</v>
      </c>
      <c r="F227" t="str">
        <f t="shared" si="8"/>
        <v>SERVICE</v>
      </c>
      <c r="G227" s="2">
        <v>75</v>
      </c>
      <c r="H227" t="str">
        <f t="shared" si="9"/>
        <v>SERVICE</v>
      </c>
    </row>
    <row r="228" spans="1:8" x14ac:dyDescent="0.25">
      <c r="E228" t="str">
        <f>"13066"</f>
        <v>13066</v>
      </c>
      <c r="F228" t="str">
        <f t="shared" si="8"/>
        <v>SERVICE</v>
      </c>
      <c r="G228" s="2">
        <v>75</v>
      </c>
      <c r="H228" t="str">
        <f t="shared" si="9"/>
        <v>SERVICE</v>
      </c>
    </row>
    <row r="229" spans="1:8" x14ac:dyDescent="0.25">
      <c r="E229" t="str">
        <f>"13116"</f>
        <v>13116</v>
      </c>
      <c r="F229" t="str">
        <f t="shared" si="8"/>
        <v>SERVICE</v>
      </c>
      <c r="G229" s="2">
        <v>75</v>
      </c>
      <c r="H229" t="str">
        <f t="shared" si="9"/>
        <v>SERVICE</v>
      </c>
    </row>
    <row r="230" spans="1:8" x14ac:dyDescent="0.25">
      <c r="E230" t="str">
        <f>"13155"</f>
        <v>13155</v>
      </c>
      <c r="F230" t="str">
        <f t="shared" si="8"/>
        <v>SERVICE</v>
      </c>
      <c r="G230" s="2">
        <v>75</v>
      </c>
      <c r="H230" t="str">
        <f t="shared" si="9"/>
        <v>SERVICE</v>
      </c>
    </row>
    <row r="231" spans="1:8" x14ac:dyDescent="0.25">
      <c r="A231" t="s">
        <v>51</v>
      </c>
      <c r="B231">
        <v>82638</v>
      </c>
      <c r="C231" s="2">
        <v>4756.45</v>
      </c>
      <c r="D231" s="1">
        <v>43640</v>
      </c>
      <c r="E231" t="str">
        <f>"11102"</f>
        <v>11102</v>
      </c>
      <c r="F231" t="str">
        <f>"SERVICE  05/14/19"</f>
        <v>SERVICE  05/14/19</v>
      </c>
      <c r="G231" s="2">
        <v>275</v>
      </c>
      <c r="H231" t="str">
        <f>"SERVICE  05/14/19"</f>
        <v>SERVICE  05/14/19</v>
      </c>
    </row>
    <row r="232" spans="1:8" x14ac:dyDescent="0.25">
      <c r="E232" t="str">
        <f>"12250"</f>
        <v>12250</v>
      </c>
      <c r="F232" t="str">
        <f>"SERVICE  05/14/19"</f>
        <v>SERVICE  05/14/19</v>
      </c>
      <c r="G232" s="2">
        <v>275</v>
      </c>
      <c r="H232" t="str">
        <f>"SERVICE  05/14/19"</f>
        <v>SERVICE  05/14/19</v>
      </c>
    </row>
    <row r="233" spans="1:8" x14ac:dyDescent="0.25">
      <c r="E233" t="str">
        <f>"12311  05/14/19"</f>
        <v>12311  05/14/19</v>
      </c>
      <c r="F233" t="str">
        <f>"SERVICE  05/14/19"</f>
        <v>SERVICE  05/14/19</v>
      </c>
      <c r="G233" s="2">
        <v>250</v>
      </c>
      <c r="H233" t="str">
        <f>"SERVICE  05/14/19"</f>
        <v>SERVICE  05/14/19</v>
      </c>
    </row>
    <row r="234" spans="1:8" x14ac:dyDescent="0.25">
      <c r="E234" t="str">
        <f>"12572"</f>
        <v>12572</v>
      </c>
      <c r="F234" t="str">
        <f>"SERVICE  04/04/19"</f>
        <v>SERVICE  04/04/19</v>
      </c>
      <c r="G234" s="2">
        <v>231.45</v>
      </c>
      <c r="H234" t="str">
        <f>"SERVICE  04/04/19"</f>
        <v>SERVICE  04/04/19</v>
      </c>
    </row>
    <row r="235" spans="1:8" x14ac:dyDescent="0.25">
      <c r="E235" t="str">
        <f>"12718"</f>
        <v>12718</v>
      </c>
      <c r="F235" t="str">
        <f>"SERVICE  04/04/19"</f>
        <v>SERVICE  04/04/19</v>
      </c>
      <c r="G235" s="2">
        <v>325</v>
      </c>
      <c r="H235" t="str">
        <f>"SERVICE  04/04/19"</f>
        <v>SERVICE  04/04/19</v>
      </c>
    </row>
    <row r="236" spans="1:8" x14ac:dyDescent="0.25">
      <c r="E236" t="str">
        <f>"12760"</f>
        <v>12760</v>
      </c>
      <c r="F236" t="str">
        <f>"SERVICE  04/04/19"</f>
        <v>SERVICE  04/04/19</v>
      </c>
      <c r="G236" s="2">
        <v>325</v>
      </c>
      <c r="H236" t="str">
        <f>"SERVICE  04/04/19"</f>
        <v>SERVICE  04/04/19</v>
      </c>
    </row>
    <row r="237" spans="1:8" x14ac:dyDescent="0.25">
      <c r="E237" t="str">
        <f>"12849  05/21/19"</f>
        <v>12849  05/21/19</v>
      </c>
      <c r="F237" t="str">
        <f>"SERVICE"</f>
        <v>SERVICE</v>
      </c>
      <c r="G237" s="2">
        <v>75</v>
      </c>
      <c r="H237" t="str">
        <f>"SERVICE"</f>
        <v>SERVICE</v>
      </c>
    </row>
    <row r="238" spans="1:8" x14ac:dyDescent="0.25">
      <c r="E238" t="str">
        <f>"12895"</f>
        <v>12895</v>
      </c>
      <c r="F238" t="str">
        <f>"SERVICE  04/04/19"</f>
        <v>SERVICE  04/04/19</v>
      </c>
      <c r="G238" s="2">
        <v>325</v>
      </c>
      <c r="H238" t="str">
        <f>"SERVICE  04/04/19"</f>
        <v>SERVICE  04/04/19</v>
      </c>
    </row>
    <row r="239" spans="1:8" x14ac:dyDescent="0.25">
      <c r="E239" t="str">
        <f>"12925"</f>
        <v>12925</v>
      </c>
      <c r="F239" t="str">
        <f>"SERVICE  05/13/19"</f>
        <v>SERVICE  05/13/19</v>
      </c>
      <c r="G239" s="2">
        <v>150</v>
      </c>
      <c r="H239" t="str">
        <f>"SERVICE  05/13/19"</f>
        <v>SERVICE  05/13/19</v>
      </c>
    </row>
    <row r="240" spans="1:8" x14ac:dyDescent="0.25">
      <c r="E240" t="str">
        <f>"12947"</f>
        <v>12947</v>
      </c>
      <c r="F240" t="str">
        <f t="shared" ref="F240:F247" si="10">"SERVICE 04/04/19"</f>
        <v>SERVICE 04/04/19</v>
      </c>
      <c r="G240" s="2">
        <v>400</v>
      </c>
      <c r="H240" t="str">
        <f t="shared" ref="H240:H247" si="11">"SERVICE 04/04/19"</f>
        <v>SERVICE 04/04/19</v>
      </c>
    </row>
    <row r="241" spans="1:8" x14ac:dyDescent="0.25">
      <c r="E241" t="str">
        <f>"12955"</f>
        <v>12955</v>
      </c>
      <c r="F241" t="str">
        <f t="shared" si="10"/>
        <v>SERVICE 04/04/19</v>
      </c>
      <c r="G241" s="2">
        <v>325</v>
      </c>
      <c r="H241" t="str">
        <f t="shared" si="11"/>
        <v>SERVICE 04/04/19</v>
      </c>
    </row>
    <row r="242" spans="1:8" x14ac:dyDescent="0.25">
      <c r="E242" t="str">
        <f>"12971"</f>
        <v>12971</v>
      </c>
      <c r="F242" t="str">
        <f t="shared" si="10"/>
        <v>SERVICE 04/04/19</v>
      </c>
      <c r="G242" s="2">
        <v>250</v>
      </c>
      <c r="H242" t="str">
        <f t="shared" si="11"/>
        <v>SERVICE 04/04/19</v>
      </c>
    </row>
    <row r="243" spans="1:8" x14ac:dyDescent="0.25">
      <c r="E243" t="str">
        <f>"12979"</f>
        <v>12979</v>
      </c>
      <c r="F243" t="str">
        <f t="shared" si="10"/>
        <v>SERVICE 04/04/19</v>
      </c>
      <c r="G243" s="2">
        <v>250</v>
      </c>
      <c r="H243" t="str">
        <f t="shared" si="11"/>
        <v>SERVICE 04/04/19</v>
      </c>
    </row>
    <row r="244" spans="1:8" x14ac:dyDescent="0.25">
      <c r="E244" t="str">
        <f>"12990"</f>
        <v>12990</v>
      </c>
      <c r="F244" t="str">
        <f t="shared" si="10"/>
        <v>SERVICE 04/04/19</v>
      </c>
      <c r="G244" s="2">
        <v>250</v>
      </c>
      <c r="H244" t="str">
        <f t="shared" si="11"/>
        <v>SERVICE 04/04/19</v>
      </c>
    </row>
    <row r="245" spans="1:8" x14ac:dyDescent="0.25">
      <c r="E245" t="str">
        <f>"12991"</f>
        <v>12991</v>
      </c>
      <c r="F245" t="str">
        <f t="shared" si="10"/>
        <v>SERVICE 04/04/19</v>
      </c>
      <c r="G245" s="2">
        <v>325</v>
      </c>
      <c r="H245" t="str">
        <f t="shared" si="11"/>
        <v>SERVICE 04/04/19</v>
      </c>
    </row>
    <row r="246" spans="1:8" x14ac:dyDescent="0.25">
      <c r="E246" t="str">
        <f>"13014"</f>
        <v>13014</v>
      </c>
      <c r="F246" t="str">
        <f t="shared" si="10"/>
        <v>SERVICE 04/04/19</v>
      </c>
      <c r="G246" s="2">
        <v>250</v>
      </c>
      <c r="H246" t="str">
        <f t="shared" si="11"/>
        <v>SERVICE 04/04/19</v>
      </c>
    </row>
    <row r="247" spans="1:8" x14ac:dyDescent="0.25">
      <c r="E247" t="str">
        <f>"13016"</f>
        <v>13016</v>
      </c>
      <c r="F247" t="str">
        <f t="shared" si="10"/>
        <v>SERVICE 04/04/19</v>
      </c>
      <c r="G247" s="2">
        <v>250</v>
      </c>
      <c r="H247" t="str">
        <f t="shared" si="11"/>
        <v>SERVICE 04/04/19</v>
      </c>
    </row>
    <row r="248" spans="1:8" x14ac:dyDescent="0.25">
      <c r="E248" t="str">
        <f>"13199"</f>
        <v>13199</v>
      </c>
      <c r="F248" t="str">
        <f>"SERVICE"</f>
        <v>SERVICE</v>
      </c>
      <c r="G248" s="2">
        <v>225</v>
      </c>
      <c r="H248" t="str">
        <f>"SERVICE"</f>
        <v>SERVICE</v>
      </c>
    </row>
    <row r="249" spans="1:8" x14ac:dyDescent="0.25">
      <c r="A249" t="s">
        <v>52</v>
      </c>
      <c r="B249">
        <v>82639</v>
      </c>
      <c r="C249" s="2">
        <v>1195.58</v>
      </c>
      <c r="D249" s="1">
        <v>43640</v>
      </c>
      <c r="E249" t="str">
        <f>"201906149903"</f>
        <v>201906149903</v>
      </c>
      <c r="F249" t="str">
        <f>"ACCT#BC01"</f>
        <v>ACCT#BC01</v>
      </c>
      <c r="G249" s="2">
        <v>1195.58</v>
      </c>
      <c r="H249" t="str">
        <f t="shared" ref="H249:H259" si="12">"ACCT#BC01"</f>
        <v>ACCT#BC01</v>
      </c>
    </row>
    <row r="250" spans="1:8" x14ac:dyDescent="0.25">
      <c r="E250" t="str">
        <f>""</f>
        <v/>
      </c>
      <c r="F250" t="str">
        <f>""</f>
        <v/>
      </c>
      <c r="H250" t="str">
        <f t="shared" si="12"/>
        <v>ACCT#BC01</v>
      </c>
    </row>
    <row r="251" spans="1:8" x14ac:dyDescent="0.25">
      <c r="E251" t="str">
        <f>""</f>
        <v/>
      </c>
      <c r="F251" t="str">
        <f>""</f>
        <v/>
      </c>
      <c r="H251" t="str">
        <f t="shared" si="12"/>
        <v>ACCT#BC01</v>
      </c>
    </row>
    <row r="252" spans="1:8" x14ac:dyDescent="0.25">
      <c r="E252" t="str">
        <f>""</f>
        <v/>
      </c>
      <c r="F252" t="str">
        <f>""</f>
        <v/>
      </c>
      <c r="H252" t="str">
        <f t="shared" si="12"/>
        <v>ACCT#BC01</v>
      </c>
    </row>
    <row r="253" spans="1:8" x14ac:dyDescent="0.25">
      <c r="E253" t="str">
        <f>""</f>
        <v/>
      </c>
      <c r="F253" t="str">
        <f>""</f>
        <v/>
      </c>
      <c r="H253" t="str">
        <f t="shared" si="12"/>
        <v>ACCT#BC01</v>
      </c>
    </row>
    <row r="254" spans="1:8" x14ac:dyDescent="0.25">
      <c r="E254" t="str">
        <f>""</f>
        <v/>
      </c>
      <c r="F254" t="str">
        <f>""</f>
        <v/>
      </c>
      <c r="H254" t="str">
        <f t="shared" si="12"/>
        <v>ACCT#BC01</v>
      </c>
    </row>
    <row r="255" spans="1:8" x14ac:dyDescent="0.25">
      <c r="E255" t="str">
        <f>""</f>
        <v/>
      </c>
      <c r="F255" t="str">
        <f>""</f>
        <v/>
      </c>
      <c r="H255" t="str">
        <f t="shared" si="12"/>
        <v>ACCT#BC01</v>
      </c>
    </row>
    <row r="256" spans="1:8" x14ac:dyDescent="0.25">
      <c r="E256" t="str">
        <f>""</f>
        <v/>
      </c>
      <c r="F256" t="str">
        <f>""</f>
        <v/>
      </c>
      <c r="H256" t="str">
        <f t="shared" si="12"/>
        <v>ACCT#BC01</v>
      </c>
    </row>
    <row r="257" spans="1:8" x14ac:dyDescent="0.25">
      <c r="E257" t="str">
        <f>""</f>
        <v/>
      </c>
      <c r="F257" t="str">
        <f>""</f>
        <v/>
      </c>
      <c r="H257" t="str">
        <f t="shared" si="12"/>
        <v>ACCT#BC01</v>
      </c>
    </row>
    <row r="258" spans="1:8" x14ac:dyDescent="0.25">
      <c r="E258" t="str">
        <f>""</f>
        <v/>
      </c>
      <c r="F258" t="str">
        <f>""</f>
        <v/>
      </c>
      <c r="H258" t="str">
        <f t="shared" si="12"/>
        <v>ACCT#BC01</v>
      </c>
    </row>
    <row r="259" spans="1:8" x14ac:dyDescent="0.25">
      <c r="E259" t="str">
        <f>""</f>
        <v/>
      </c>
      <c r="F259" t="str">
        <f>""</f>
        <v/>
      </c>
      <c r="H259" t="str">
        <f t="shared" si="12"/>
        <v>ACCT#BC01</v>
      </c>
    </row>
    <row r="260" spans="1:8" x14ac:dyDescent="0.25">
      <c r="A260" t="s">
        <v>53</v>
      </c>
      <c r="B260">
        <v>961</v>
      </c>
      <c r="C260" s="2">
        <v>23856.57</v>
      </c>
      <c r="D260" s="1">
        <v>43641</v>
      </c>
      <c r="E260" t="str">
        <f>"201906119732"</f>
        <v>201906119732</v>
      </c>
      <c r="F260" t="str">
        <f>"GRANT REIMBURSEMENT"</f>
        <v>GRANT REIMBURSEMENT</v>
      </c>
      <c r="G260" s="2">
        <v>10970.07</v>
      </c>
      <c r="H260" t="str">
        <f>"GRANT REIMBURSEMENT"</f>
        <v>GRANT REIMBURSEMENT</v>
      </c>
    </row>
    <row r="261" spans="1:8" x14ac:dyDescent="0.25">
      <c r="E261" t="str">
        <f>"201906139896"</f>
        <v>201906139896</v>
      </c>
      <c r="F261" t="str">
        <f>"GRANT REIMBURSEMENT"</f>
        <v>GRANT REIMBURSEMENT</v>
      </c>
      <c r="G261" s="2">
        <v>12886.5</v>
      </c>
      <c r="H261" t="str">
        <f>"GRANT REIMBURSEMENT"</f>
        <v>GRANT REIMBURSEMENT</v>
      </c>
    </row>
    <row r="262" spans="1:8" x14ac:dyDescent="0.25">
      <c r="A262" t="s">
        <v>54</v>
      </c>
      <c r="B262">
        <v>936</v>
      </c>
      <c r="C262" s="2">
        <v>1640</v>
      </c>
      <c r="D262" s="1">
        <v>43641</v>
      </c>
      <c r="E262" t="str">
        <f>"2019054"</f>
        <v>2019054</v>
      </c>
      <c r="F262" t="str">
        <f>"TRANSPORT-M. WHITED"</f>
        <v>TRANSPORT-M. WHITED</v>
      </c>
      <c r="G262" s="2">
        <v>450</v>
      </c>
      <c r="H262" t="str">
        <f>"TRANSPORT-M. WHITED"</f>
        <v>TRANSPORT-M. WHITED</v>
      </c>
    </row>
    <row r="263" spans="1:8" x14ac:dyDescent="0.25">
      <c r="E263" t="str">
        <f>"2019060"</f>
        <v>2019060</v>
      </c>
      <c r="F263" t="str">
        <f>"TRANSPORT-P.A. PRZYBYLAK"</f>
        <v>TRANSPORT-P.A. PRZYBYLAK</v>
      </c>
      <c r="G263" s="2">
        <v>495</v>
      </c>
      <c r="H263" t="str">
        <f>"TRANSPORT-P.A. PRZYBYLAK"</f>
        <v>TRANSPORT-P.A. PRZYBYLAK</v>
      </c>
    </row>
    <row r="264" spans="1:8" x14ac:dyDescent="0.25">
      <c r="E264" t="str">
        <f>"2019067"</f>
        <v>2019067</v>
      </c>
      <c r="F264" t="str">
        <f>"TRANSPORT-M.L. REYES"</f>
        <v>TRANSPORT-M.L. REYES</v>
      </c>
      <c r="G264" s="2">
        <v>695</v>
      </c>
      <c r="H264" t="str">
        <f>"TRANSPORT-M.L. REYES"</f>
        <v>TRANSPORT-M.L. REYES</v>
      </c>
    </row>
    <row r="265" spans="1:8" x14ac:dyDescent="0.25">
      <c r="A265" t="s">
        <v>55</v>
      </c>
      <c r="B265">
        <v>933</v>
      </c>
      <c r="C265" s="2">
        <v>550</v>
      </c>
      <c r="D265" s="1">
        <v>43641</v>
      </c>
      <c r="E265" t="str">
        <f>"5538R"</f>
        <v>5538R</v>
      </c>
      <c r="F265" t="str">
        <f>"inv# 5538R"</f>
        <v>inv# 5538R</v>
      </c>
      <c r="G265" s="2">
        <v>550</v>
      </c>
      <c r="H265" t="str">
        <f>"inv# 5538R"</f>
        <v>inv# 5538R</v>
      </c>
    </row>
    <row r="266" spans="1:8" x14ac:dyDescent="0.25">
      <c r="A266" t="s">
        <v>55</v>
      </c>
      <c r="B266">
        <v>82477</v>
      </c>
      <c r="C266" s="2">
        <v>1200</v>
      </c>
      <c r="D266" s="1">
        <v>43626</v>
      </c>
      <c r="E266" t="str">
        <f>"5529R"</f>
        <v>5529R</v>
      </c>
      <c r="F266" t="str">
        <f>"TREE SVCS"</f>
        <v>TREE SVCS</v>
      </c>
      <c r="G266" s="2">
        <v>1200</v>
      </c>
      <c r="H266" t="str">
        <f>"TREE SVCS"</f>
        <v>TREE SVCS</v>
      </c>
    </row>
    <row r="267" spans="1:8" x14ac:dyDescent="0.25">
      <c r="A267" t="s">
        <v>56</v>
      </c>
      <c r="B267">
        <v>964</v>
      </c>
      <c r="C267" s="2">
        <v>623.1</v>
      </c>
      <c r="D267" s="1">
        <v>43641</v>
      </c>
      <c r="E267" t="str">
        <f>"6007445562"</f>
        <v>6007445562</v>
      </c>
      <c r="F267" t="str">
        <f>"ACCT#3422853/ANIMAL CONTROL"</f>
        <v>ACCT#3422853/ANIMAL CONTROL</v>
      </c>
      <c r="G267" s="2">
        <v>623.1</v>
      </c>
      <c r="H267" t="str">
        <f>"ACCT#3422853/ANIMAL CONTROL"</f>
        <v>ACCT#3422853/ANIMAL CONTROL</v>
      </c>
    </row>
    <row r="268" spans="1:8" x14ac:dyDescent="0.25">
      <c r="A268" t="s">
        <v>57</v>
      </c>
      <c r="B268">
        <v>873</v>
      </c>
      <c r="C268" s="2">
        <v>1120</v>
      </c>
      <c r="D268" s="1">
        <v>43627</v>
      </c>
      <c r="E268" t="str">
        <f>"201906039548"</f>
        <v>201906039548</v>
      </c>
      <c r="F268" t="str">
        <f>"INVESTIGATIVE SVCS/MILEAGE"</f>
        <v>INVESTIGATIVE SVCS/MILEAGE</v>
      </c>
      <c r="G268" s="2">
        <v>245</v>
      </c>
      <c r="H268" t="str">
        <f>"INVESTIGATIVE SVCS/MILEAGE"</f>
        <v>INVESTIGATIVE SVCS/MILEAGE</v>
      </c>
    </row>
    <row r="269" spans="1:8" x14ac:dyDescent="0.25">
      <c r="E269" t="str">
        <f>"201906059687"</f>
        <v>201906059687</v>
      </c>
      <c r="F269" t="str">
        <f>"INV FOR MAY SERVICES"</f>
        <v>INV FOR MAY SERVICES</v>
      </c>
      <c r="G269" s="2">
        <v>875</v>
      </c>
      <c r="H269" t="str">
        <f>"MAY SERVICES - LE"</f>
        <v>MAY SERVICES - LE</v>
      </c>
    </row>
    <row r="270" spans="1:8" x14ac:dyDescent="0.25">
      <c r="E270" t="str">
        <f>""</f>
        <v/>
      </c>
      <c r="F270" t="str">
        <f>""</f>
        <v/>
      </c>
      <c r="H270" t="str">
        <f>"MAY SERVICES - JAIL"</f>
        <v>MAY SERVICES - JAIL</v>
      </c>
    </row>
    <row r="271" spans="1:8" x14ac:dyDescent="0.25">
      <c r="A271" t="s">
        <v>58</v>
      </c>
      <c r="B271">
        <v>82478</v>
      </c>
      <c r="C271" s="2">
        <v>743.62</v>
      </c>
      <c r="D271" s="1">
        <v>43626</v>
      </c>
      <c r="E271" t="str">
        <f>"75098500"</f>
        <v>75098500</v>
      </c>
      <c r="F271" t="str">
        <f>"INV 75098500"</f>
        <v>INV 75098500</v>
      </c>
      <c r="G271" s="2">
        <v>743.62</v>
      </c>
      <c r="H271" t="str">
        <f>"INV 75098500"</f>
        <v>INV 75098500</v>
      </c>
    </row>
    <row r="272" spans="1:8" x14ac:dyDescent="0.25">
      <c r="A272" t="s">
        <v>58</v>
      </c>
      <c r="B272">
        <v>82640</v>
      </c>
      <c r="C272" s="2">
        <v>2343.0700000000002</v>
      </c>
      <c r="D272" s="1">
        <v>43640</v>
      </c>
      <c r="E272" t="str">
        <f>"75106491 75115203"</f>
        <v>75106491 75115203</v>
      </c>
      <c r="F272" t="str">
        <f>"INV 75106491"</f>
        <v>INV 75106491</v>
      </c>
      <c r="G272" s="2">
        <v>2343.0700000000002</v>
      </c>
      <c r="H272" t="str">
        <f>"INV 75106491"</f>
        <v>INV 75106491</v>
      </c>
    </row>
    <row r="273" spans="1:8" x14ac:dyDescent="0.25">
      <c r="E273" t="str">
        <f>""</f>
        <v/>
      </c>
      <c r="F273" t="str">
        <f>""</f>
        <v/>
      </c>
      <c r="H273" t="str">
        <f>"INV 75115203"</f>
        <v>INV 75115203</v>
      </c>
    </row>
    <row r="274" spans="1:8" x14ac:dyDescent="0.25">
      <c r="E274" t="str">
        <f>""</f>
        <v/>
      </c>
      <c r="F274" t="str">
        <f>""</f>
        <v/>
      </c>
      <c r="H274" t="str">
        <f>"INV 75123980"</f>
        <v>INV 75123980</v>
      </c>
    </row>
    <row r="275" spans="1:8" x14ac:dyDescent="0.25">
      <c r="A275" t="s">
        <v>59</v>
      </c>
      <c r="B275">
        <v>82479</v>
      </c>
      <c r="C275" s="2">
        <v>617.96</v>
      </c>
      <c r="D275" s="1">
        <v>43626</v>
      </c>
      <c r="E275" t="str">
        <f>"3864875"</f>
        <v>3864875</v>
      </c>
      <c r="F275" t="str">
        <f>"inv# 3864875"</f>
        <v>inv# 3864875</v>
      </c>
      <c r="G275" s="2">
        <v>617.96</v>
      </c>
      <c r="H275" t="str">
        <f>"inv# 3864875"</f>
        <v>inv# 3864875</v>
      </c>
    </row>
    <row r="276" spans="1:8" x14ac:dyDescent="0.25">
      <c r="A276" t="s">
        <v>59</v>
      </c>
      <c r="B276">
        <v>82641</v>
      </c>
      <c r="C276" s="2">
        <v>124.95</v>
      </c>
      <c r="D276" s="1">
        <v>43640</v>
      </c>
      <c r="E276" t="str">
        <f>"3881491"</f>
        <v>3881491</v>
      </c>
      <c r="F276" t="str">
        <f>"inv# 3881491"</f>
        <v>inv# 3881491</v>
      </c>
      <c r="G276" s="2">
        <v>124.95</v>
      </c>
      <c r="H276" t="str">
        <f>"inv# 3881491"</f>
        <v>inv# 3881491</v>
      </c>
    </row>
    <row r="277" spans="1:8" x14ac:dyDescent="0.25">
      <c r="A277" t="s">
        <v>60</v>
      </c>
      <c r="B277">
        <v>913</v>
      </c>
      <c r="C277" s="2">
        <v>3185.36</v>
      </c>
      <c r="D277" s="1">
        <v>43627</v>
      </c>
      <c r="E277" t="str">
        <f>"24252"</f>
        <v>24252</v>
      </c>
      <c r="F277" t="str">
        <f>"INV 24252"</f>
        <v>INV 24252</v>
      </c>
      <c r="G277" s="2">
        <v>3185.36</v>
      </c>
      <c r="H277" t="str">
        <f>"INV 24252"</f>
        <v>INV 24252</v>
      </c>
    </row>
    <row r="278" spans="1:8" x14ac:dyDescent="0.25">
      <c r="A278" t="s">
        <v>60</v>
      </c>
      <c r="B278">
        <v>987</v>
      </c>
      <c r="C278" s="2">
        <v>2200.2199999999998</v>
      </c>
      <c r="D278" s="1">
        <v>43641</v>
      </c>
      <c r="E278" t="str">
        <f>"24283"</f>
        <v>24283</v>
      </c>
      <c r="F278" t="str">
        <f>"INV 24283"</f>
        <v>INV 24283</v>
      </c>
      <c r="G278" s="2">
        <v>2200.2199999999998</v>
      </c>
      <c r="H278" t="str">
        <f>"INV 24283"</f>
        <v>INV 24283</v>
      </c>
    </row>
    <row r="279" spans="1:8" x14ac:dyDescent="0.25">
      <c r="A279" t="s">
        <v>61</v>
      </c>
      <c r="B279">
        <v>874</v>
      </c>
      <c r="C279" s="2">
        <v>333.06</v>
      </c>
      <c r="D279" s="1">
        <v>43627</v>
      </c>
      <c r="E279" t="str">
        <f>"201906049609"</f>
        <v>201906049609</v>
      </c>
      <c r="F279" t="str">
        <f>"MORNING DOCKET"</f>
        <v>MORNING DOCKET</v>
      </c>
      <c r="G279" s="2">
        <v>333.06</v>
      </c>
      <c r="H279" t="str">
        <f>"MORNING DOCKET"</f>
        <v>MORNING DOCKET</v>
      </c>
    </row>
    <row r="280" spans="1:8" x14ac:dyDescent="0.25">
      <c r="A280" t="s">
        <v>61</v>
      </c>
      <c r="B280">
        <v>931</v>
      </c>
      <c r="C280" s="2">
        <v>333.06</v>
      </c>
      <c r="D280" s="1">
        <v>43641</v>
      </c>
      <c r="E280" t="str">
        <f>"201906129747"</f>
        <v>201906129747</v>
      </c>
      <c r="F280" t="str">
        <f>"16 740"</f>
        <v>16 740</v>
      </c>
      <c r="G280" s="2">
        <v>333.06</v>
      </c>
      <c r="H280" t="str">
        <f>"16 740"</f>
        <v>16 740</v>
      </c>
    </row>
    <row r="281" spans="1:8" x14ac:dyDescent="0.25">
      <c r="A281" t="s">
        <v>62</v>
      </c>
      <c r="B281">
        <v>82480</v>
      </c>
      <c r="C281" s="2">
        <v>568.70000000000005</v>
      </c>
      <c r="D281" s="1">
        <v>43626</v>
      </c>
      <c r="E281" t="str">
        <f>"84078901697 1783"</f>
        <v>84078901697 1783</v>
      </c>
      <c r="F281" t="str">
        <f>"INV 84078901697"</f>
        <v>INV 84078901697</v>
      </c>
      <c r="G281" s="2">
        <v>568.70000000000005</v>
      </c>
      <c r="H281" t="str">
        <f>"INV 84078901697"</f>
        <v>INV 84078901697</v>
      </c>
    </row>
    <row r="282" spans="1:8" x14ac:dyDescent="0.25">
      <c r="E282" t="str">
        <f>""</f>
        <v/>
      </c>
      <c r="F282" t="str">
        <f>""</f>
        <v/>
      </c>
      <c r="H282" t="str">
        <f>"INV 84078901783"</f>
        <v>INV 84078901783</v>
      </c>
    </row>
    <row r="283" spans="1:8" x14ac:dyDescent="0.25">
      <c r="A283" t="s">
        <v>62</v>
      </c>
      <c r="B283">
        <v>82642</v>
      </c>
      <c r="C283" s="2">
        <v>525.08000000000004</v>
      </c>
      <c r="D283" s="1">
        <v>43640</v>
      </c>
      <c r="E283" t="str">
        <f>"84078901866 &amp; 1960"</f>
        <v>84078901866 &amp; 1960</v>
      </c>
      <c r="F283" t="str">
        <f>"INV 84078901866"</f>
        <v>INV 84078901866</v>
      </c>
      <c r="G283" s="2">
        <v>525.08000000000004</v>
      </c>
      <c r="H283" t="str">
        <f>"INV 84078901866"</f>
        <v>INV 84078901866</v>
      </c>
    </row>
    <row r="284" spans="1:8" x14ac:dyDescent="0.25">
      <c r="E284" t="str">
        <f>""</f>
        <v/>
      </c>
      <c r="F284" t="str">
        <f>""</f>
        <v/>
      </c>
      <c r="H284" t="str">
        <f>"INV 84078901960"</f>
        <v>INV 84078901960</v>
      </c>
    </row>
    <row r="285" spans="1:8" x14ac:dyDescent="0.25">
      <c r="A285" t="s">
        <v>63</v>
      </c>
      <c r="B285">
        <v>890</v>
      </c>
      <c r="C285" s="2">
        <v>500</v>
      </c>
      <c r="D285" s="1">
        <v>43627</v>
      </c>
      <c r="E285" t="str">
        <f>"201906049594"</f>
        <v>201906049594</v>
      </c>
      <c r="F285" t="str">
        <f>"56 708"</f>
        <v>56 708</v>
      </c>
      <c r="G285" s="2">
        <v>250</v>
      </c>
      <c r="H285" t="str">
        <f>"56 708"</f>
        <v>56 708</v>
      </c>
    </row>
    <row r="286" spans="1:8" x14ac:dyDescent="0.25">
      <c r="E286" t="str">
        <f>"201906049595"</f>
        <v>201906049595</v>
      </c>
      <c r="F286" t="str">
        <f>"56 701"</f>
        <v>56 701</v>
      </c>
      <c r="G286" s="2">
        <v>250</v>
      </c>
      <c r="H286" t="str">
        <f>"56 701"</f>
        <v>56 701</v>
      </c>
    </row>
    <row r="287" spans="1:8" x14ac:dyDescent="0.25">
      <c r="A287" t="s">
        <v>63</v>
      </c>
      <c r="B287">
        <v>946</v>
      </c>
      <c r="C287" s="2">
        <v>850</v>
      </c>
      <c r="D287" s="1">
        <v>43641</v>
      </c>
      <c r="E287" t="str">
        <f>"201906129767"</f>
        <v>201906129767</v>
      </c>
      <c r="F287" t="str">
        <f>"403099-10 925-352-3131 A001 19"</f>
        <v>403099-10 925-352-3131 A001 19</v>
      </c>
      <c r="G287" s="2">
        <v>250</v>
      </c>
      <c r="H287" t="str">
        <f>"403099-10 925-352-3131 A001 19"</f>
        <v>403099-10 925-352-3131 A001 19</v>
      </c>
    </row>
    <row r="288" spans="1:8" x14ac:dyDescent="0.25">
      <c r="E288" t="str">
        <f>"201906129768"</f>
        <v>201906129768</v>
      </c>
      <c r="F288" t="str">
        <f>"4020495  925-351-8561A001 19-S"</f>
        <v>4020495  925-351-8561A001 19-S</v>
      </c>
      <c r="G288" s="2">
        <v>125</v>
      </c>
      <c r="H288" t="str">
        <f>"4020495  925-351-8561A001 19-S"</f>
        <v>4020495  925-351-8561A001 19-S</v>
      </c>
    </row>
    <row r="289" spans="1:9" x14ac:dyDescent="0.25">
      <c r="E289" t="str">
        <f>"201906129769"</f>
        <v>201906129769</v>
      </c>
      <c r="F289" t="str">
        <f>"02-0123-1 925-351-7530-A001 TX"</f>
        <v>02-0123-1 925-351-7530-A001 TX</v>
      </c>
      <c r="G289" s="2">
        <v>375</v>
      </c>
      <c r="H289" t="str">
        <f>"02-0123-1 925-351-7530-A001 TX"</f>
        <v>02-0123-1 925-351-7530-A001 TX</v>
      </c>
    </row>
    <row r="290" spans="1:9" x14ac:dyDescent="0.25">
      <c r="E290" t="str">
        <f>"201906129770"</f>
        <v>201906129770</v>
      </c>
      <c r="F290" t="str">
        <f>"18-19410"</f>
        <v>18-19410</v>
      </c>
      <c r="G290" s="2">
        <v>100</v>
      </c>
      <c r="H290" t="str">
        <f>"18-19410"</f>
        <v>18-19410</v>
      </c>
    </row>
    <row r="291" spans="1:9" x14ac:dyDescent="0.25">
      <c r="A291" t="s">
        <v>64</v>
      </c>
      <c r="B291">
        <v>82643</v>
      </c>
      <c r="C291" s="2">
        <v>289.12</v>
      </c>
      <c r="D291" s="1">
        <v>43640</v>
      </c>
      <c r="E291" t="str">
        <f>"201906189938"</f>
        <v>201906189938</v>
      </c>
      <c r="F291" t="str">
        <f>"CRIMESTOPPER FEES FOR MAY 2019"</f>
        <v>CRIMESTOPPER FEES FOR MAY 2019</v>
      </c>
      <c r="G291" s="2">
        <v>289.12</v>
      </c>
      <c r="H291" t="str">
        <f>"CRIMESTOPPER FEES FOR MAY 2019"</f>
        <v>CRIMESTOPPER FEES FOR MAY 2019</v>
      </c>
    </row>
    <row r="292" spans="1:9" x14ac:dyDescent="0.25">
      <c r="A292" t="s">
        <v>65</v>
      </c>
      <c r="B292">
        <v>82613</v>
      </c>
      <c r="C292" s="2">
        <v>3065.64</v>
      </c>
      <c r="D292" s="1">
        <v>43628</v>
      </c>
      <c r="E292" t="str">
        <f>"201906129759"</f>
        <v>201906129759</v>
      </c>
      <c r="F292" t="str">
        <f>"ACCT #5000057374 / 06042019"</f>
        <v>ACCT #5000057374 / 06042019</v>
      </c>
      <c r="G292" s="2">
        <v>3065.64</v>
      </c>
      <c r="H292" t="str">
        <f>"ACCT #5000057374 / 06042019"</f>
        <v>ACCT #5000057374 / 06042019</v>
      </c>
    </row>
    <row r="293" spans="1:9" x14ac:dyDescent="0.25">
      <c r="E293" t="str">
        <f>""</f>
        <v/>
      </c>
      <c r="F293" t="str">
        <f>""</f>
        <v/>
      </c>
      <c r="H293" t="str">
        <f>"ACCT #5000057374 / 06042019"</f>
        <v>ACCT #5000057374 / 06042019</v>
      </c>
    </row>
    <row r="294" spans="1:9" x14ac:dyDescent="0.25">
      <c r="E294" t="str">
        <f>""</f>
        <v/>
      </c>
      <c r="F294" t="str">
        <f>""</f>
        <v/>
      </c>
      <c r="H294" t="str">
        <f>"ACCT #5000057374 / 06042019"</f>
        <v>ACCT #5000057374 / 06042019</v>
      </c>
    </row>
    <row r="295" spans="1:9" x14ac:dyDescent="0.25">
      <c r="E295" t="str">
        <f>""</f>
        <v/>
      </c>
      <c r="F295" t="str">
        <f>""</f>
        <v/>
      </c>
      <c r="H295" t="str">
        <f>"ACCT #5000057374 / 06042019"</f>
        <v>ACCT #5000057374 / 06042019</v>
      </c>
    </row>
    <row r="296" spans="1:9" x14ac:dyDescent="0.25">
      <c r="A296" t="s">
        <v>65</v>
      </c>
      <c r="B296">
        <v>82615</v>
      </c>
      <c r="C296" s="2">
        <v>2029.68</v>
      </c>
      <c r="D296" s="1">
        <v>43630</v>
      </c>
      <c r="E296" t="str">
        <f>"60254795"</f>
        <v>60254795</v>
      </c>
      <c r="F296" t="str">
        <f>"Contract # 5000057374"</f>
        <v>Contract # 5000057374</v>
      </c>
      <c r="G296" s="2">
        <v>2029.68</v>
      </c>
      <c r="H296" t="str">
        <f>"Contract # 5000057374"</f>
        <v>Contract # 5000057374</v>
      </c>
    </row>
    <row r="297" spans="1:9" x14ac:dyDescent="0.25">
      <c r="A297" t="s">
        <v>66</v>
      </c>
      <c r="B297">
        <v>82644</v>
      </c>
      <c r="C297" s="2">
        <v>150</v>
      </c>
      <c r="D297" s="1">
        <v>43640</v>
      </c>
      <c r="E297" t="s">
        <v>67</v>
      </c>
      <c r="F297" t="s">
        <v>68</v>
      </c>
      <c r="G297" s="2" t="str">
        <f>"RESTITUTION-M. SELF"</f>
        <v>RESTITUTION-M. SELF</v>
      </c>
      <c r="H297" t="str">
        <f>"210-0000"</f>
        <v>210-0000</v>
      </c>
      <c r="I297" t="str">
        <f>""</f>
        <v/>
      </c>
    </row>
    <row r="298" spans="1:9" x14ac:dyDescent="0.25">
      <c r="A298" t="s">
        <v>69</v>
      </c>
      <c r="B298">
        <v>920</v>
      </c>
      <c r="C298" s="2">
        <v>900</v>
      </c>
      <c r="D298" s="1">
        <v>43627</v>
      </c>
      <c r="E298" t="str">
        <f>"25052019"</f>
        <v>25052019</v>
      </c>
      <c r="F298" t="str">
        <f>"INV 25052019"</f>
        <v>INV 25052019</v>
      </c>
      <c r="G298" s="2">
        <v>900</v>
      </c>
      <c r="H298" t="str">
        <f>"INV 25052019"</f>
        <v>INV 25052019</v>
      </c>
    </row>
    <row r="299" spans="1:9" x14ac:dyDescent="0.25">
      <c r="A299" t="s">
        <v>69</v>
      </c>
      <c r="B299">
        <v>995</v>
      </c>
      <c r="C299" s="2">
        <v>16070.45</v>
      </c>
      <c r="D299" s="1">
        <v>43641</v>
      </c>
      <c r="E299" t="str">
        <f>"201906139897"</f>
        <v>201906139897</v>
      </c>
      <c r="F299" t="str">
        <f>"GRANT REIMBURSEMENT"</f>
        <v>GRANT REIMBURSEMENT</v>
      </c>
      <c r="G299" s="2">
        <v>16070.45</v>
      </c>
      <c r="H299" t="str">
        <f>"GRANT REIMBURSEMENT"</f>
        <v>GRANT REIMBURSEMENT</v>
      </c>
    </row>
    <row r="300" spans="1:9" x14ac:dyDescent="0.25">
      <c r="A300" t="s">
        <v>70</v>
      </c>
      <c r="B300">
        <v>82481</v>
      </c>
      <c r="C300" s="2">
        <v>1257</v>
      </c>
      <c r="D300" s="1">
        <v>43626</v>
      </c>
      <c r="E300" t="str">
        <f>"UT1000497816"</f>
        <v>UT1000497816</v>
      </c>
      <c r="F300" t="str">
        <f>"INV UT1000497816"</f>
        <v>INV UT1000497816</v>
      </c>
      <c r="G300" s="2">
        <v>1257</v>
      </c>
      <c r="H300" t="str">
        <f>"INV UT1000497816"</f>
        <v>INV UT1000497816</v>
      </c>
    </row>
    <row r="301" spans="1:9" x14ac:dyDescent="0.25">
      <c r="A301" t="s">
        <v>70</v>
      </c>
      <c r="B301">
        <v>82645</v>
      </c>
      <c r="C301" s="2">
        <v>558.27</v>
      </c>
      <c r="D301" s="1">
        <v>43640</v>
      </c>
      <c r="E301" t="str">
        <f>"UT1000497036/6985"</f>
        <v>UT1000497036/6985</v>
      </c>
      <c r="F301" t="str">
        <f>"INV UT1000497036"</f>
        <v>INV UT1000497036</v>
      </c>
      <c r="G301" s="2">
        <v>558.27</v>
      </c>
      <c r="H301" t="str">
        <f>"INV UT1000497036"</f>
        <v>INV UT1000497036</v>
      </c>
    </row>
    <row r="302" spans="1:9" x14ac:dyDescent="0.25">
      <c r="E302" t="str">
        <f>""</f>
        <v/>
      </c>
      <c r="F302" t="str">
        <f>""</f>
        <v/>
      </c>
      <c r="H302" t="str">
        <f>"INV UT1000496985"</f>
        <v>INV UT1000496985</v>
      </c>
    </row>
    <row r="303" spans="1:9" x14ac:dyDescent="0.25">
      <c r="A303" t="s">
        <v>71</v>
      </c>
      <c r="B303">
        <v>82646</v>
      </c>
      <c r="C303" s="2">
        <v>7</v>
      </c>
      <c r="D303" s="1">
        <v>43640</v>
      </c>
      <c r="E303" t="str">
        <f>"10817"</f>
        <v>10817</v>
      </c>
      <c r="F303" t="str">
        <f>"INV 10817/ UNIT 80"</f>
        <v>INV 10817/ UNIT 80</v>
      </c>
      <c r="G303" s="2">
        <v>7</v>
      </c>
      <c r="H303" t="str">
        <f>"INV 10817/ UNIT 80"</f>
        <v>INV 10817/ UNIT 80</v>
      </c>
    </row>
    <row r="304" spans="1:9" x14ac:dyDescent="0.25">
      <c r="A304" t="s">
        <v>72</v>
      </c>
      <c r="B304">
        <v>82482</v>
      </c>
      <c r="C304" s="2">
        <v>2044.84</v>
      </c>
      <c r="D304" s="1">
        <v>43626</v>
      </c>
      <c r="E304" t="str">
        <f>"CT175807"</f>
        <v>CT175807</v>
      </c>
      <c r="F304" t="str">
        <f>"ACCT#B02137/PCT#3"</f>
        <v>ACCT#B02137/PCT#3</v>
      </c>
      <c r="G304" s="2">
        <v>2044.84</v>
      </c>
      <c r="H304" t="str">
        <f>"ACCT#B02137/PCT#3"</f>
        <v>ACCT#B02137/PCT#3</v>
      </c>
    </row>
    <row r="305" spans="1:8" x14ac:dyDescent="0.25">
      <c r="A305" t="s">
        <v>72</v>
      </c>
      <c r="B305">
        <v>82647</v>
      </c>
      <c r="C305" s="2">
        <v>153.44</v>
      </c>
      <c r="D305" s="1">
        <v>43640</v>
      </c>
      <c r="E305" t="str">
        <f>"CT176432"</f>
        <v>CT176432</v>
      </c>
      <c r="F305" t="str">
        <f>"ACCT#B02137/FILTER/PCT#3"</f>
        <v>ACCT#B02137/FILTER/PCT#3</v>
      </c>
      <c r="G305" s="2">
        <v>19.04</v>
      </c>
      <c r="H305" t="str">
        <f>"ACCT#B02137/FILTER/PCT#3"</f>
        <v>ACCT#B02137/FILTER/PCT#3</v>
      </c>
    </row>
    <row r="306" spans="1:8" x14ac:dyDescent="0.25">
      <c r="E306" t="str">
        <f>"CT176593"</f>
        <v>CT176593</v>
      </c>
      <c r="F306" t="str">
        <f>"ACCT#B02137/FILTER/PCT#3"</f>
        <v>ACCT#B02137/FILTER/PCT#3</v>
      </c>
      <c r="G306" s="2">
        <v>134.4</v>
      </c>
      <c r="H306" t="str">
        <f>"ACCT#B02137/FILTER/PCT#3"</f>
        <v>ACCT#B02137/FILTER/PCT#3</v>
      </c>
    </row>
    <row r="307" spans="1:8" x14ac:dyDescent="0.25">
      <c r="A307" t="s">
        <v>73</v>
      </c>
      <c r="B307">
        <v>82483</v>
      </c>
      <c r="C307" s="2">
        <v>199.95</v>
      </c>
      <c r="D307" s="1">
        <v>43626</v>
      </c>
      <c r="E307" t="str">
        <f>"6392917"</f>
        <v>6392917</v>
      </c>
      <c r="F307" t="str">
        <f>"INV 6392917"</f>
        <v>INV 6392917</v>
      </c>
      <c r="G307" s="2">
        <v>199.95</v>
      </c>
      <c r="H307" t="str">
        <f>"INV 6392917"</f>
        <v>INV 6392917</v>
      </c>
    </row>
    <row r="308" spans="1:8" x14ac:dyDescent="0.25">
      <c r="A308" t="s">
        <v>74</v>
      </c>
      <c r="B308">
        <v>82484</v>
      </c>
      <c r="C308" s="2">
        <v>2732.39</v>
      </c>
      <c r="D308" s="1">
        <v>43626</v>
      </c>
      <c r="E308" t="str">
        <f>"101690"</f>
        <v>101690</v>
      </c>
      <c r="F308" t="str">
        <f>"ACCT#1268/PCT#3"</f>
        <v>ACCT#1268/PCT#3</v>
      </c>
      <c r="G308" s="2">
        <v>2171.0500000000002</v>
      </c>
      <c r="H308" t="str">
        <f>"ACCT#1268/PCT#3"</f>
        <v>ACCT#1268/PCT#3</v>
      </c>
    </row>
    <row r="309" spans="1:8" x14ac:dyDescent="0.25">
      <c r="E309" t="str">
        <f>"101846"</f>
        <v>101846</v>
      </c>
      <c r="F309" t="str">
        <f>"ACCT#1268/PCT#3"</f>
        <v>ACCT#1268/PCT#3</v>
      </c>
      <c r="G309" s="2">
        <v>561.34</v>
      </c>
      <c r="H309" t="str">
        <f>"ACCT#1268/PCT#3"</f>
        <v>ACCT#1268/PCT#3</v>
      </c>
    </row>
    <row r="310" spans="1:8" x14ac:dyDescent="0.25">
      <c r="A310" t="s">
        <v>74</v>
      </c>
      <c r="B310">
        <v>82648</v>
      </c>
      <c r="C310" s="2">
        <v>1510.15</v>
      </c>
      <c r="D310" s="1">
        <v>43640</v>
      </c>
      <c r="E310" t="str">
        <f>"101996"</f>
        <v>101996</v>
      </c>
      <c r="F310" t="str">
        <f>"ACCT#1268/PCT#3"</f>
        <v>ACCT#1268/PCT#3</v>
      </c>
      <c r="G310" s="2">
        <v>853.08</v>
      </c>
      <c r="H310" t="str">
        <f>"ACCT#1268/PCT#3"</f>
        <v>ACCT#1268/PCT#3</v>
      </c>
    </row>
    <row r="311" spans="1:8" x14ac:dyDescent="0.25">
      <c r="E311" t="str">
        <f>"102165"</f>
        <v>102165</v>
      </c>
      <c r="F311" t="str">
        <f>"ACCT#1268/COMMER/PCT#3"</f>
        <v>ACCT#1268/COMMER/PCT#3</v>
      </c>
      <c r="G311" s="2">
        <v>657.07</v>
      </c>
      <c r="H311" t="str">
        <f>"ACCT#1268/COMMER/PCT#3"</f>
        <v>ACCT#1268/COMMER/PCT#3</v>
      </c>
    </row>
    <row r="312" spans="1:8" x14ac:dyDescent="0.25">
      <c r="A312" t="s">
        <v>75</v>
      </c>
      <c r="B312">
        <v>82485</v>
      </c>
      <c r="C312" s="2">
        <v>15</v>
      </c>
      <c r="D312" s="1">
        <v>43626</v>
      </c>
      <c r="E312" t="str">
        <f>"201906059685"</f>
        <v>201906059685</v>
      </c>
      <c r="F312" t="str">
        <f>"BRIAN LANGSTON"</f>
        <v>BRIAN LANGSTON</v>
      </c>
      <c r="G312" s="2">
        <v>15</v>
      </c>
      <c r="H312" t="str">
        <f>""</f>
        <v/>
      </c>
    </row>
    <row r="313" spans="1:8" x14ac:dyDescent="0.25">
      <c r="A313" t="s">
        <v>76</v>
      </c>
      <c r="B313">
        <v>925</v>
      </c>
      <c r="C313" s="2">
        <v>1625</v>
      </c>
      <c r="D313" s="1">
        <v>43627</v>
      </c>
      <c r="E313" t="str">
        <f>"201906049602"</f>
        <v>201906049602</v>
      </c>
      <c r="F313" t="str">
        <f>"56 869  JP4-403099-2"</f>
        <v>56 869  JP4-403099-2</v>
      </c>
      <c r="G313" s="2">
        <v>375</v>
      </c>
      <c r="H313" t="str">
        <f>"56 869  JP4-403099-2"</f>
        <v>56 869  JP4-403099-2</v>
      </c>
    </row>
    <row r="314" spans="1:8" x14ac:dyDescent="0.25">
      <c r="E314" t="str">
        <f>"201906049603"</f>
        <v>201906049603</v>
      </c>
      <c r="F314" t="str">
        <f>"56 637"</f>
        <v>56 637</v>
      </c>
      <c r="G314" s="2">
        <v>250</v>
      </c>
      <c r="H314" t="str">
        <f>"56 637"</f>
        <v>56 637</v>
      </c>
    </row>
    <row r="315" spans="1:8" x14ac:dyDescent="0.25">
      <c r="E315" t="str">
        <f>"201906049604"</f>
        <v>201906049604</v>
      </c>
      <c r="F315" t="str">
        <f>"410258.2"</f>
        <v>410258.2</v>
      </c>
      <c r="G315" s="2">
        <v>250</v>
      </c>
      <c r="H315" t="str">
        <f>"410258.2"</f>
        <v>410258.2</v>
      </c>
    </row>
    <row r="316" spans="1:8" x14ac:dyDescent="0.25">
      <c r="E316" t="str">
        <f>"201906049605"</f>
        <v>201906049605</v>
      </c>
      <c r="F316" t="str">
        <f>"201740527D 20170317A 20170317"</f>
        <v>201740527D 20170317A 20170317</v>
      </c>
      <c r="G316" s="2">
        <v>500</v>
      </c>
      <c r="H316" t="str">
        <f>"201740527D 20170317A 20170317"</f>
        <v>201740527D 20170317A 20170317</v>
      </c>
    </row>
    <row r="317" spans="1:8" x14ac:dyDescent="0.25">
      <c r="E317" t="str">
        <f>"201906049606"</f>
        <v>201906049606</v>
      </c>
      <c r="F317" t="str">
        <f>"402089.2"</f>
        <v>402089.2</v>
      </c>
      <c r="G317" s="2">
        <v>250</v>
      </c>
      <c r="H317" t="str">
        <f>"402089.2"</f>
        <v>402089.2</v>
      </c>
    </row>
    <row r="318" spans="1:8" x14ac:dyDescent="0.25">
      <c r="A318" t="s">
        <v>76</v>
      </c>
      <c r="B318">
        <v>1002</v>
      </c>
      <c r="C318" s="2">
        <v>250</v>
      </c>
      <c r="D318" s="1">
        <v>43641</v>
      </c>
      <c r="E318" t="str">
        <f>"201906129796"</f>
        <v>201906129796</v>
      </c>
      <c r="F318" t="str">
        <f>"1JP34017L"</f>
        <v>1JP34017L</v>
      </c>
      <c r="G318" s="2">
        <v>250</v>
      </c>
      <c r="H318" t="str">
        <f>"1JP34017L"</f>
        <v>1JP34017L</v>
      </c>
    </row>
    <row r="319" spans="1:8" x14ac:dyDescent="0.25">
      <c r="A319" t="s">
        <v>77</v>
      </c>
      <c r="B319">
        <v>82486</v>
      </c>
      <c r="C319" s="2">
        <v>30</v>
      </c>
      <c r="D319" s="1">
        <v>43626</v>
      </c>
      <c r="E319" t="str">
        <f>"19-19672"</f>
        <v>19-19672</v>
      </c>
      <c r="F319" t="str">
        <f>"CENTRAL ADOPTION REGISTRY FUND"</f>
        <v>CENTRAL ADOPTION REGISTRY FUND</v>
      </c>
      <c r="G319" s="2">
        <v>15</v>
      </c>
      <c r="H319" t="str">
        <f>"CENTRAL ADOPTION REGISTRY FUND"</f>
        <v>CENTRAL ADOPTION REGISTRY FUND</v>
      </c>
    </row>
    <row r="320" spans="1:8" x14ac:dyDescent="0.25">
      <c r="E320" t="str">
        <f>"423-6531"</f>
        <v>423-6531</v>
      </c>
      <c r="F320" t="str">
        <f>"CENTRAL ADOPTION REGISTRY FUND"</f>
        <v>CENTRAL ADOPTION REGISTRY FUND</v>
      </c>
      <c r="G320" s="2">
        <v>15</v>
      </c>
      <c r="H320" t="str">
        <f>"CENTRAL ADOPTION REGISTRY FUND"</f>
        <v>CENTRAL ADOPTION REGISTRY FUND</v>
      </c>
    </row>
    <row r="321" spans="1:8" x14ac:dyDescent="0.25">
      <c r="A321" t="s">
        <v>77</v>
      </c>
      <c r="B321">
        <v>82649</v>
      </c>
      <c r="C321" s="2">
        <v>45</v>
      </c>
      <c r="D321" s="1">
        <v>43640</v>
      </c>
      <c r="E321" t="str">
        <f>"19-19691"</f>
        <v>19-19691</v>
      </c>
      <c r="F321" t="str">
        <f>"CENTRAL ADOPTION REGISTRY FUND"</f>
        <v>CENTRAL ADOPTION REGISTRY FUND</v>
      </c>
      <c r="G321" s="2">
        <v>15</v>
      </c>
      <c r="H321" t="str">
        <f>"CENTRAL ADOPTION REGISTRY FUND"</f>
        <v>CENTRAL ADOPTION REGISTRY FUND</v>
      </c>
    </row>
    <row r="322" spans="1:8" x14ac:dyDescent="0.25">
      <c r="E322" t="str">
        <f>"19-19701"</f>
        <v>19-19701</v>
      </c>
      <c r="F322" t="str">
        <f>"CENTRAL ADOPTION REGISTRY FUND"</f>
        <v>CENTRAL ADOPTION REGISTRY FUND</v>
      </c>
      <c r="G322" s="2">
        <v>15</v>
      </c>
      <c r="H322" t="str">
        <f>"CENTRAL ADOPTION REGISTRY FUND"</f>
        <v>CENTRAL ADOPTION REGISTRY FUND</v>
      </c>
    </row>
    <row r="323" spans="1:8" x14ac:dyDescent="0.25">
      <c r="E323" t="str">
        <f>"423-6526"</f>
        <v>423-6526</v>
      </c>
      <c r="F323" t="str">
        <f>"CENTRAL ADOPTION REGISTRY FUND"</f>
        <v>CENTRAL ADOPTION REGISTRY FUND</v>
      </c>
      <c r="G323" s="2">
        <v>15</v>
      </c>
      <c r="H323" t="str">
        <f>"CENTRAL ADOPTION REGISTRY FUND"</f>
        <v>CENTRAL ADOPTION REGISTRY FUND</v>
      </c>
    </row>
    <row r="324" spans="1:8" x14ac:dyDescent="0.25">
      <c r="A324" t="s">
        <v>78</v>
      </c>
      <c r="B324">
        <v>82650</v>
      </c>
      <c r="C324" s="2">
        <v>295</v>
      </c>
      <c r="D324" s="1">
        <v>43640</v>
      </c>
      <c r="E324" t="str">
        <f>"201906200058"</f>
        <v>201906200058</v>
      </c>
      <c r="F324" t="str">
        <f t="shared" ref="F324:F329" si="13">"FERAL HOGS"</f>
        <v>FERAL HOGS</v>
      </c>
      <c r="G324" s="2">
        <v>25</v>
      </c>
      <c r="H324" t="str">
        <f t="shared" ref="H324:H329" si="14">"FERAL HOGS"</f>
        <v>FERAL HOGS</v>
      </c>
    </row>
    <row r="325" spans="1:8" x14ac:dyDescent="0.25">
      <c r="E325" t="str">
        <f>"201906200059"</f>
        <v>201906200059</v>
      </c>
      <c r="F325" t="str">
        <f t="shared" si="13"/>
        <v>FERAL HOGS</v>
      </c>
      <c r="G325" s="2">
        <v>35</v>
      </c>
      <c r="H325" t="str">
        <f t="shared" si="14"/>
        <v>FERAL HOGS</v>
      </c>
    </row>
    <row r="326" spans="1:8" x14ac:dyDescent="0.25">
      <c r="E326" t="str">
        <f>"201906200060"</f>
        <v>201906200060</v>
      </c>
      <c r="F326" t="str">
        <f t="shared" si="13"/>
        <v>FERAL HOGS</v>
      </c>
      <c r="G326" s="2">
        <v>65</v>
      </c>
      <c r="H326" t="str">
        <f t="shared" si="14"/>
        <v>FERAL HOGS</v>
      </c>
    </row>
    <row r="327" spans="1:8" x14ac:dyDescent="0.25">
      <c r="E327" t="str">
        <f>"201906200061"</f>
        <v>201906200061</v>
      </c>
      <c r="F327" t="str">
        <f t="shared" si="13"/>
        <v>FERAL HOGS</v>
      </c>
      <c r="G327" s="2">
        <v>50</v>
      </c>
      <c r="H327" t="str">
        <f t="shared" si="14"/>
        <v>FERAL HOGS</v>
      </c>
    </row>
    <row r="328" spans="1:8" x14ac:dyDescent="0.25">
      <c r="E328" t="str">
        <f>"201906200062"</f>
        <v>201906200062</v>
      </c>
      <c r="F328" t="str">
        <f t="shared" si="13"/>
        <v>FERAL HOGS</v>
      </c>
      <c r="G328" s="2">
        <v>25</v>
      </c>
      <c r="H328" t="str">
        <f t="shared" si="14"/>
        <v>FERAL HOGS</v>
      </c>
    </row>
    <row r="329" spans="1:8" x14ac:dyDescent="0.25">
      <c r="E329" t="str">
        <f>"201906200063"</f>
        <v>201906200063</v>
      </c>
      <c r="F329" t="str">
        <f t="shared" si="13"/>
        <v>FERAL HOGS</v>
      </c>
      <c r="G329" s="2">
        <v>95</v>
      </c>
      <c r="H329" t="str">
        <f t="shared" si="14"/>
        <v>FERAL HOGS</v>
      </c>
    </row>
    <row r="330" spans="1:8" x14ac:dyDescent="0.25">
      <c r="A330" t="s">
        <v>79</v>
      </c>
      <c r="B330">
        <v>82487</v>
      </c>
      <c r="C330" s="2">
        <v>239</v>
      </c>
      <c r="D330" s="1">
        <v>43626</v>
      </c>
      <c r="E330" t="str">
        <f>"2019 RTA"</f>
        <v>2019 RTA</v>
      </c>
      <c r="F330" t="str">
        <f>"INV 2019RTA 911"</f>
        <v>INV 2019RTA 911</v>
      </c>
      <c r="G330" s="2">
        <v>95</v>
      </c>
      <c r="H330" t="str">
        <f>"INV 2019RTA 911"</f>
        <v>INV 2019RTA 911</v>
      </c>
    </row>
    <row r="331" spans="1:8" x14ac:dyDescent="0.25">
      <c r="E331" t="str">
        <f>"26262"</f>
        <v>26262</v>
      </c>
      <c r="F331" t="str">
        <f>"TRAINING"</f>
        <v>TRAINING</v>
      </c>
      <c r="G331" s="2">
        <v>144</v>
      </c>
      <c r="H331" t="str">
        <f>"INV 26262  TRAINING"</f>
        <v>INV 26262  TRAINING</v>
      </c>
    </row>
    <row r="332" spans="1:8" x14ac:dyDescent="0.25">
      <c r="A332" t="s">
        <v>80</v>
      </c>
      <c r="B332">
        <v>971</v>
      </c>
      <c r="C332" s="2">
        <v>891.14</v>
      </c>
      <c r="D332" s="1">
        <v>43641</v>
      </c>
      <c r="E332" t="str">
        <f>"1633795"</f>
        <v>1633795</v>
      </c>
      <c r="F332" t="str">
        <f>"ACCT#000690/ORD#01388508/PCT#4"</f>
        <v>ACCT#000690/ORD#01388508/PCT#4</v>
      </c>
      <c r="G332" s="2">
        <v>359.36</v>
      </c>
      <c r="H332" t="str">
        <f>"ACCT#000690/ORD#01388508/PCT#4"</f>
        <v>ACCT#000690/ORD#01388508/PCT#4</v>
      </c>
    </row>
    <row r="333" spans="1:8" x14ac:dyDescent="0.25">
      <c r="E333" t="str">
        <f>"447630"</f>
        <v>447630</v>
      </c>
      <c r="F333" t="str">
        <f>"ACCT#000690/ORD#00420901/PCT#4"</f>
        <v>ACCT#000690/ORD#00420901/PCT#4</v>
      </c>
      <c r="G333" s="2">
        <v>531.78</v>
      </c>
      <c r="H333" t="str">
        <f>"ACCT#000690/ORD#00420901/PCT#4"</f>
        <v>ACCT#000690/ORD#00420901/PCT#4</v>
      </c>
    </row>
    <row r="334" spans="1:8" x14ac:dyDescent="0.25">
      <c r="A334" t="s">
        <v>80</v>
      </c>
      <c r="B334">
        <v>82488</v>
      </c>
      <c r="C334" s="2">
        <v>98.34</v>
      </c>
      <c r="D334" s="1">
        <v>43626</v>
      </c>
      <c r="E334" t="str">
        <f>"1632567"</f>
        <v>1632567</v>
      </c>
      <c r="F334" t="str">
        <f>"ACCT#000690/ORD#01387059/P4"</f>
        <v>ACCT#000690/ORD#01387059/P4</v>
      </c>
      <c r="G334" s="2">
        <v>98.34</v>
      </c>
      <c r="H334" t="str">
        <f>"ACCT#000690/ORD#01387059/P4"</f>
        <v>ACCT#000690/ORD#01387059/P4</v>
      </c>
    </row>
    <row r="335" spans="1:8" x14ac:dyDescent="0.25">
      <c r="A335" t="s">
        <v>81</v>
      </c>
      <c r="B335">
        <v>151</v>
      </c>
      <c r="C335" s="2">
        <v>6451.26</v>
      </c>
      <c r="D335" s="1">
        <v>43640</v>
      </c>
      <c r="E335" t="str">
        <f>"201906190057"</f>
        <v>201906190057</v>
      </c>
      <c r="F335" t="str">
        <f>"acct# 0058"</f>
        <v>acct# 0058</v>
      </c>
      <c r="G335" s="2">
        <v>6451.26</v>
      </c>
      <c r="H335" t="str">
        <f>"City Hall"</f>
        <v>City Hall</v>
      </c>
    </row>
    <row r="336" spans="1:8" x14ac:dyDescent="0.25">
      <c r="E336" t="str">
        <f>""</f>
        <v/>
      </c>
      <c r="F336" t="str">
        <f>""</f>
        <v/>
      </c>
      <c r="H336" t="str">
        <f t="shared" ref="H336:H343" si="15">"Hobby Lobby"</f>
        <v>Hobby Lobby</v>
      </c>
    </row>
    <row r="337" spans="5:8" x14ac:dyDescent="0.25">
      <c r="E337" t="str">
        <f>""</f>
        <v/>
      </c>
      <c r="F337" t="str">
        <f>""</f>
        <v/>
      </c>
      <c r="H337" t="str">
        <f t="shared" si="15"/>
        <v>Hobby Lobby</v>
      </c>
    </row>
    <row r="338" spans="5:8" x14ac:dyDescent="0.25">
      <c r="E338" t="str">
        <f>""</f>
        <v/>
      </c>
      <c r="F338" t="str">
        <f>""</f>
        <v/>
      </c>
      <c r="H338" t="str">
        <f t="shared" si="15"/>
        <v>Hobby Lobby</v>
      </c>
    </row>
    <row r="339" spans="5:8" x14ac:dyDescent="0.25">
      <c r="E339" t="str">
        <f>""</f>
        <v/>
      </c>
      <c r="F339" t="str">
        <f>""</f>
        <v/>
      </c>
      <c r="H339" t="str">
        <f t="shared" si="15"/>
        <v>Hobby Lobby</v>
      </c>
    </row>
    <row r="340" spans="5:8" x14ac:dyDescent="0.25">
      <c r="E340" t="str">
        <f>""</f>
        <v/>
      </c>
      <c r="F340" t="str">
        <f>""</f>
        <v/>
      </c>
      <c r="H340" t="str">
        <f t="shared" si="15"/>
        <v>Hobby Lobby</v>
      </c>
    </row>
    <row r="341" spans="5:8" x14ac:dyDescent="0.25">
      <c r="E341" t="str">
        <f>""</f>
        <v/>
      </c>
      <c r="F341" t="str">
        <f>""</f>
        <v/>
      </c>
      <c r="H341" t="str">
        <f t="shared" si="15"/>
        <v>Hobby Lobby</v>
      </c>
    </row>
    <row r="342" spans="5:8" x14ac:dyDescent="0.25">
      <c r="E342" t="str">
        <f>""</f>
        <v/>
      </c>
      <c r="F342" t="str">
        <f>""</f>
        <v/>
      </c>
      <c r="H342" t="str">
        <f t="shared" si="15"/>
        <v>Hobby Lobby</v>
      </c>
    </row>
    <row r="343" spans="5:8" x14ac:dyDescent="0.25">
      <c r="E343" t="str">
        <f>""</f>
        <v/>
      </c>
      <c r="F343" t="str">
        <f>""</f>
        <v/>
      </c>
      <c r="H343" t="str">
        <f t="shared" si="15"/>
        <v>Hobby Lobby</v>
      </c>
    </row>
    <row r="344" spans="5:8" x14ac:dyDescent="0.25">
      <c r="E344" t="str">
        <f>""</f>
        <v/>
      </c>
      <c r="F344" t="str">
        <f>""</f>
        <v/>
      </c>
      <c r="H344" t="str">
        <f>"HEB"</f>
        <v>HEB</v>
      </c>
    </row>
    <row r="345" spans="5:8" x14ac:dyDescent="0.25">
      <c r="E345" t="str">
        <f>""</f>
        <v/>
      </c>
      <c r="F345" t="str">
        <f>""</f>
        <v/>
      </c>
      <c r="H345" t="str">
        <f>"Active 911"</f>
        <v>Active 911</v>
      </c>
    </row>
    <row r="346" spans="5:8" x14ac:dyDescent="0.25">
      <c r="E346" t="str">
        <f>""</f>
        <v/>
      </c>
      <c r="F346" t="str">
        <f>""</f>
        <v/>
      </c>
      <c r="H346" t="str">
        <f>"ES College"</f>
        <v>ES College</v>
      </c>
    </row>
    <row r="347" spans="5:8" x14ac:dyDescent="0.25">
      <c r="E347" t="str">
        <f>""</f>
        <v/>
      </c>
      <c r="F347" t="str">
        <f>""</f>
        <v/>
      </c>
      <c r="H347" t="str">
        <f>"ES College"</f>
        <v>ES College</v>
      </c>
    </row>
    <row r="348" spans="5:8" x14ac:dyDescent="0.25">
      <c r="E348" t="str">
        <f>""</f>
        <v/>
      </c>
      <c r="F348" t="str">
        <f>""</f>
        <v/>
      </c>
      <c r="H348" t="str">
        <f>"PrinterSupply"</f>
        <v>PrinterSupply</v>
      </c>
    </row>
    <row r="349" spans="5:8" x14ac:dyDescent="0.25">
      <c r="E349" t="str">
        <f>""</f>
        <v/>
      </c>
      <c r="F349" t="str">
        <f>""</f>
        <v/>
      </c>
      <c r="H349" t="str">
        <f>"Google"</f>
        <v>Google</v>
      </c>
    </row>
    <row r="350" spans="5:8" x14ac:dyDescent="0.25">
      <c r="E350" t="str">
        <f>""</f>
        <v/>
      </c>
      <c r="F350" t="str">
        <f>""</f>
        <v/>
      </c>
      <c r="H350" t="str">
        <f>"WebEx"</f>
        <v>WebEx</v>
      </c>
    </row>
    <row r="351" spans="5:8" x14ac:dyDescent="0.25">
      <c r="E351" t="str">
        <f>""</f>
        <v/>
      </c>
      <c r="F351" t="str">
        <f>""</f>
        <v/>
      </c>
      <c r="H351" t="str">
        <f>"GoDaddy"</f>
        <v>GoDaddy</v>
      </c>
    </row>
    <row r="352" spans="5:8" x14ac:dyDescent="0.25">
      <c r="E352" t="str">
        <f>""</f>
        <v/>
      </c>
      <c r="F352" t="str">
        <f>""</f>
        <v/>
      </c>
      <c r="H352" t="str">
        <f>"TxTag"</f>
        <v>TxTag</v>
      </c>
    </row>
    <row r="353" spans="5:8" x14ac:dyDescent="0.25">
      <c r="E353" t="str">
        <f>""</f>
        <v/>
      </c>
      <c r="F353" t="str">
        <f>""</f>
        <v/>
      </c>
      <c r="H353" t="str">
        <f>"RMA TOll"</f>
        <v>RMA TOll</v>
      </c>
    </row>
    <row r="354" spans="5:8" x14ac:dyDescent="0.25">
      <c r="E354" t="str">
        <f>""</f>
        <v/>
      </c>
      <c r="F354" t="str">
        <f>""</f>
        <v/>
      </c>
      <c r="H354" t="str">
        <f>"TxTag"</f>
        <v>TxTag</v>
      </c>
    </row>
    <row r="355" spans="5:8" x14ac:dyDescent="0.25">
      <c r="E355" t="str">
        <f>""</f>
        <v/>
      </c>
      <c r="F355" t="str">
        <f>""</f>
        <v/>
      </c>
      <c r="H355" t="str">
        <f>"Erika DeJesus"</f>
        <v>Erika DeJesus</v>
      </c>
    </row>
    <row r="356" spans="5:8" x14ac:dyDescent="0.25">
      <c r="E356" t="str">
        <f>""</f>
        <v/>
      </c>
      <c r="F356" t="str">
        <f>""</f>
        <v/>
      </c>
      <c r="H356" t="str">
        <f>"Rosanna Garza"</f>
        <v>Rosanna Garza</v>
      </c>
    </row>
    <row r="357" spans="5:8" x14ac:dyDescent="0.25">
      <c r="E357" t="str">
        <f>""</f>
        <v/>
      </c>
      <c r="F357" t="str">
        <f>""</f>
        <v/>
      </c>
      <c r="H357" t="str">
        <f>"Robert Bennet"</f>
        <v>Robert Bennet</v>
      </c>
    </row>
    <row r="358" spans="5:8" x14ac:dyDescent="0.25">
      <c r="E358" t="str">
        <f>""</f>
        <v/>
      </c>
      <c r="F358" t="str">
        <f>""</f>
        <v/>
      </c>
      <c r="H358" t="str">
        <f>"Annette Murley"</f>
        <v>Annette Murley</v>
      </c>
    </row>
    <row r="359" spans="5:8" x14ac:dyDescent="0.25">
      <c r="E359" t="str">
        <f>""</f>
        <v/>
      </c>
      <c r="F359" t="str">
        <f>""</f>
        <v/>
      </c>
      <c r="H359" t="str">
        <f>"Kenneth Leatherwood"</f>
        <v>Kenneth Leatherwood</v>
      </c>
    </row>
    <row r="360" spans="5:8" x14ac:dyDescent="0.25">
      <c r="E360" t="str">
        <f>""</f>
        <v/>
      </c>
      <c r="F360" t="str">
        <f>""</f>
        <v/>
      </c>
      <c r="H360" t="str">
        <f>"Walmart"</f>
        <v>Walmart</v>
      </c>
    </row>
    <row r="361" spans="5:8" x14ac:dyDescent="0.25">
      <c r="E361" t="str">
        <f>""</f>
        <v/>
      </c>
      <c r="F361" t="str">
        <f>""</f>
        <v/>
      </c>
      <c r="H361" t="str">
        <f>"WebbSupply"</f>
        <v>WebbSupply</v>
      </c>
    </row>
    <row r="362" spans="5:8" x14ac:dyDescent="0.25">
      <c r="E362" t="str">
        <f>""</f>
        <v/>
      </c>
      <c r="F362" t="str">
        <f>""</f>
        <v/>
      </c>
      <c r="H362" t="str">
        <f>"Cornerstone"</f>
        <v>Cornerstone</v>
      </c>
    </row>
    <row r="363" spans="5:8" x14ac:dyDescent="0.25">
      <c r="E363" t="str">
        <f>""</f>
        <v/>
      </c>
      <c r="F363" t="str">
        <f>""</f>
        <v/>
      </c>
      <c r="H363" t="str">
        <f>"Hilton"</f>
        <v>Hilton</v>
      </c>
    </row>
    <row r="364" spans="5:8" x14ac:dyDescent="0.25">
      <c r="E364" t="str">
        <f>""</f>
        <v/>
      </c>
      <c r="F364" t="str">
        <f>""</f>
        <v/>
      </c>
      <c r="H364" t="str">
        <f>"exon"</f>
        <v>exon</v>
      </c>
    </row>
    <row r="365" spans="5:8" x14ac:dyDescent="0.25">
      <c r="E365" t="str">
        <f>""</f>
        <v/>
      </c>
      <c r="F365" t="str">
        <f>""</f>
        <v/>
      </c>
      <c r="H365" t="str">
        <f>"RMA"</f>
        <v>RMA</v>
      </c>
    </row>
    <row r="366" spans="5:8" x14ac:dyDescent="0.25">
      <c r="E366" t="str">
        <f>""</f>
        <v/>
      </c>
      <c r="F366" t="str">
        <f>""</f>
        <v/>
      </c>
      <c r="H366" t="str">
        <f>"RMA Toll"</f>
        <v>RMA Toll</v>
      </c>
    </row>
    <row r="367" spans="5:8" x14ac:dyDescent="0.25">
      <c r="E367" t="str">
        <f>""</f>
        <v/>
      </c>
      <c r="F367" t="str">
        <f>""</f>
        <v/>
      </c>
      <c r="H367" t="str">
        <f>"RMA Toll"</f>
        <v>RMA Toll</v>
      </c>
    </row>
    <row r="368" spans="5:8" x14ac:dyDescent="0.25">
      <c r="E368" t="str">
        <f>""</f>
        <v/>
      </c>
      <c r="F368" t="str">
        <f>""</f>
        <v/>
      </c>
      <c r="H368" t="str">
        <f>"PHillips"</f>
        <v>PHillips</v>
      </c>
    </row>
    <row r="369" spans="5:8" x14ac:dyDescent="0.25">
      <c r="E369" t="str">
        <f>""</f>
        <v/>
      </c>
      <c r="F369" t="str">
        <f>""</f>
        <v/>
      </c>
      <c r="H369" t="str">
        <f>"Phillips"</f>
        <v>Phillips</v>
      </c>
    </row>
    <row r="370" spans="5:8" x14ac:dyDescent="0.25">
      <c r="E370" t="str">
        <f>""</f>
        <v/>
      </c>
      <c r="F370" t="str">
        <f>""</f>
        <v/>
      </c>
      <c r="H370" t="str">
        <f>"Holiday Inn"</f>
        <v>Holiday Inn</v>
      </c>
    </row>
    <row r="371" spans="5:8" x14ac:dyDescent="0.25">
      <c r="E371" t="str">
        <f>""</f>
        <v/>
      </c>
      <c r="F371" t="str">
        <f>""</f>
        <v/>
      </c>
      <c r="H371" t="str">
        <f>"walmart"</f>
        <v>walmart</v>
      </c>
    </row>
    <row r="372" spans="5:8" x14ac:dyDescent="0.25">
      <c r="E372" t="str">
        <f>""</f>
        <v/>
      </c>
      <c r="F372" t="str">
        <f>""</f>
        <v/>
      </c>
      <c r="H372" t="str">
        <f>"TxTag"</f>
        <v>TxTag</v>
      </c>
    </row>
    <row r="373" spans="5:8" x14ac:dyDescent="0.25">
      <c r="E373" t="str">
        <f>""</f>
        <v/>
      </c>
      <c r="F373" t="str">
        <f>""</f>
        <v/>
      </c>
      <c r="H373" t="str">
        <f>"Academy"</f>
        <v>Academy</v>
      </c>
    </row>
    <row r="374" spans="5:8" x14ac:dyDescent="0.25">
      <c r="E374" t="str">
        <f>""</f>
        <v/>
      </c>
      <c r="F374" t="str">
        <f>""</f>
        <v/>
      </c>
      <c r="H374" t="str">
        <f>"Election"</f>
        <v>Election</v>
      </c>
    </row>
    <row r="375" spans="5:8" x14ac:dyDescent="0.25">
      <c r="E375" t="str">
        <f>""</f>
        <v/>
      </c>
      <c r="F375" t="str">
        <f>""</f>
        <v/>
      </c>
      <c r="H375" t="str">
        <f>"TxTag"</f>
        <v>TxTag</v>
      </c>
    </row>
    <row r="376" spans="5:8" x14ac:dyDescent="0.25">
      <c r="E376" t="str">
        <f>""</f>
        <v/>
      </c>
      <c r="F376" t="str">
        <f>""</f>
        <v/>
      </c>
      <c r="H376" t="str">
        <f>"NTTA"</f>
        <v>NTTA</v>
      </c>
    </row>
    <row r="377" spans="5:8" x14ac:dyDescent="0.25">
      <c r="E377" t="str">
        <f>""</f>
        <v/>
      </c>
      <c r="F377" t="str">
        <f>""</f>
        <v/>
      </c>
      <c r="H377" t="str">
        <f>"TxTag"</f>
        <v>TxTag</v>
      </c>
    </row>
    <row r="378" spans="5:8" x14ac:dyDescent="0.25">
      <c r="E378" t="str">
        <f>""</f>
        <v/>
      </c>
      <c r="F378" t="str">
        <f>""</f>
        <v/>
      </c>
      <c r="H378" t="str">
        <f>"HD SUpply"</f>
        <v>HD SUpply</v>
      </c>
    </row>
    <row r="379" spans="5:8" x14ac:dyDescent="0.25">
      <c r="E379" t="str">
        <f>""</f>
        <v/>
      </c>
      <c r="F379" t="str">
        <f>""</f>
        <v/>
      </c>
      <c r="H379" t="str">
        <f>"Tractor Suppluy"</f>
        <v>Tractor Suppluy</v>
      </c>
    </row>
    <row r="380" spans="5:8" x14ac:dyDescent="0.25">
      <c r="E380" t="str">
        <f>""</f>
        <v/>
      </c>
      <c r="F380" t="str">
        <f>""</f>
        <v/>
      </c>
      <c r="H380" t="str">
        <f>"TxTag"</f>
        <v>TxTag</v>
      </c>
    </row>
    <row r="381" spans="5:8" x14ac:dyDescent="0.25">
      <c r="E381" t="str">
        <f>""</f>
        <v/>
      </c>
      <c r="F381" t="str">
        <f>""</f>
        <v/>
      </c>
      <c r="H381" t="str">
        <f>"Walmart"</f>
        <v>Walmart</v>
      </c>
    </row>
    <row r="382" spans="5:8" x14ac:dyDescent="0.25">
      <c r="E382" t="str">
        <f>""</f>
        <v/>
      </c>
      <c r="F382" t="str">
        <f>""</f>
        <v/>
      </c>
      <c r="H382" t="str">
        <f>"RMA Toll"</f>
        <v>RMA Toll</v>
      </c>
    </row>
    <row r="383" spans="5:8" x14ac:dyDescent="0.25">
      <c r="E383" t="str">
        <f>""</f>
        <v/>
      </c>
      <c r="F383" t="str">
        <f>""</f>
        <v/>
      </c>
      <c r="H383" t="str">
        <f>"RMA Toll"</f>
        <v>RMA Toll</v>
      </c>
    </row>
    <row r="384" spans="5:8" x14ac:dyDescent="0.25">
      <c r="E384" t="str">
        <f>""</f>
        <v/>
      </c>
      <c r="F384" t="str">
        <f>""</f>
        <v/>
      </c>
      <c r="H384" t="str">
        <f>"rma toll"</f>
        <v>rma toll</v>
      </c>
    </row>
    <row r="385" spans="1:8" x14ac:dyDescent="0.25">
      <c r="E385" t="str">
        <f>""</f>
        <v/>
      </c>
      <c r="F385" t="str">
        <f>""</f>
        <v/>
      </c>
      <c r="H385" t="str">
        <f>"rma toll"</f>
        <v>rma toll</v>
      </c>
    </row>
    <row r="386" spans="1:8" x14ac:dyDescent="0.25">
      <c r="E386" t="str">
        <f>""</f>
        <v/>
      </c>
      <c r="F386" t="str">
        <f>""</f>
        <v/>
      </c>
      <c r="H386" t="str">
        <f>"TxTag"</f>
        <v>TxTag</v>
      </c>
    </row>
    <row r="387" spans="1:8" x14ac:dyDescent="0.25">
      <c r="E387" t="str">
        <f>""</f>
        <v/>
      </c>
      <c r="F387" t="str">
        <f>""</f>
        <v/>
      </c>
      <c r="H387" t="str">
        <f>"TxTag"</f>
        <v>TxTag</v>
      </c>
    </row>
    <row r="388" spans="1:8" x14ac:dyDescent="0.25">
      <c r="E388" t="str">
        <f>""</f>
        <v/>
      </c>
      <c r="F388" t="str">
        <f>""</f>
        <v/>
      </c>
      <c r="H388" t="str">
        <f>"RMA TOll"</f>
        <v>RMA TOll</v>
      </c>
    </row>
    <row r="389" spans="1:8" x14ac:dyDescent="0.25">
      <c r="E389" t="str">
        <f>""</f>
        <v/>
      </c>
      <c r="F389" t="str">
        <f>""</f>
        <v/>
      </c>
      <c r="H389" t="str">
        <f>"TxTag"</f>
        <v>TxTag</v>
      </c>
    </row>
    <row r="390" spans="1:8" x14ac:dyDescent="0.25">
      <c r="E390" t="str">
        <f>""</f>
        <v/>
      </c>
      <c r="F390" t="str">
        <f>""</f>
        <v/>
      </c>
      <c r="H390" t="str">
        <f>"Discount Tire"</f>
        <v>Discount Tire</v>
      </c>
    </row>
    <row r="391" spans="1:8" x14ac:dyDescent="0.25">
      <c r="E391" t="str">
        <f>""</f>
        <v/>
      </c>
      <c r="F391" t="str">
        <f>""</f>
        <v/>
      </c>
      <c r="H391" t="str">
        <f>"Hilton"</f>
        <v>Hilton</v>
      </c>
    </row>
    <row r="392" spans="1:8" x14ac:dyDescent="0.25">
      <c r="E392" t="str">
        <f>""</f>
        <v/>
      </c>
      <c r="F392" t="str">
        <f>""</f>
        <v/>
      </c>
      <c r="H392" t="str">
        <f>"Hilton"</f>
        <v>Hilton</v>
      </c>
    </row>
    <row r="393" spans="1:8" x14ac:dyDescent="0.25">
      <c r="A393" t="s">
        <v>81</v>
      </c>
      <c r="B393">
        <v>145</v>
      </c>
      <c r="C393" s="2">
        <v>1937.19</v>
      </c>
      <c r="D393" s="1">
        <v>43626</v>
      </c>
      <c r="E393" t="str">
        <f>"201906059691"</f>
        <v>201906059691</v>
      </c>
      <c r="F393" t="str">
        <f>"05/23/2019 STATEMENT #057"</f>
        <v>05/23/2019 STATEMENT #057</v>
      </c>
      <c r="G393" s="2">
        <v>1937.19</v>
      </c>
      <c r="H393" t="str">
        <f>"COMFORT INN TEXAS CI"</f>
        <v>COMFORT INN TEXAS CI</v>
      </c>
    </row>
    <row r="394" spans="1:8" x14ac:dyDescent="0.25">
      <c r="E394" t="str">
        <f>""</f>
        <v/>
      </c>
      <c r="F394" t="str">
        <f>""</f>
        <v/>
      </c>
      <c r="H394" t="str">
        <f>"COMFORT INN TEXAS CI"</f>
        <v>COMFORT INN TEXAS CI</v>
      </c>
    </row>
    <row r="395" spans="1:8" x14ac:dyDescent="0.25">
      <c r="E395" t="str">
        <f>""</f>
        <v/>
      </c>
      <c r="F395" t="str">
        <f>""</f>
        <v/>
      </c>
      <c r="H395" t="str">
        <f>"COMFORT STE NEW BRAU"</f>
        <v>COMFORT STE NEW BRAU</v>
      </c>
    </row>
    <row r="396" spans="1:8" x14ac:dyDescent="0.25">
      <c r="E396" t="str">
        <f>""</f>
        <v/>
      </c>
      <c r="F396" t="str">
        <f>""</f>
        <v/>
      </c>
      <c r="H396" t="str">
        <f>"SOUTHWEST AIRLINE"</f>
        <v>SOUTHWEST AIRLINE</v>
      </c>
    </row>
    <row r="397" spans="1:8" x14ac:dyDescent="0.25">
      <c r="E397" t="str">
        <f>""</f>
        <v/>
      </c>
      <c r="F397" t="str">
        <f>""</f>
        <v/>
      </c>
      <c r="H397" t="str">
        <f>"HOLIDAY INN HUMBLE"</f>
        <v>HOLIDAY INN HUMBLE</v>
      </c>
    </row>
    <row r="398" spans="1:8" x14ac:dyDescent="0.25">
      <c r="E398" t="str">
        <f>""</f>
        <v/>
      </c>
      <c r="F398" t="str">
        <f>""</f>
        <v/>
      </c>
      <c r="H398" t="str">
        <f>"COMFORT STE NEW BRAU"</f>
        <v>COMFORT STE NEW BRAU</v>
      </c>
    </row>
    <row r="399" spans="1:8" x14ac:dyDescent="0.25">
      <c r="E399" t="str">
        <f>""</f>
        <v/>
      </c>
      <c r="F399" t="str">
        <f>""</f>
        <v/>
      </c>
      <c r="H399" t="str">
        <f>"COMFORT INN TEXAS CI"</f>
        <v>COMFORT INN TEXAS CI</v>
      </c>
    </row>
    <row r="400" spans="1:8" x14ac:dyDescent="0.25">
      <c r="E400" t="str">
        <f>""</f>
        <v/>
      </c>
      <c r="F400" t="str">
        <f>""</f>
        <v/>
      </c>
      <c r="H400" t="str">
        <f>"COMFORT STE NEW BRAU"</f>
        <v>COMFORT STE NEW BRAU</v>
      </c>
    </row>
    <row r="401" spans="1:8" x14ac:dyDescent="0.25">
      <c r="E401" t="str">
        <f>""</f>
        <v/>
      </c>
      <c r="F401" t="str">
        <f>""</f>
        <v/>
      </c>
      <c r="H401" t="str">
        <f>"TPA ANNUAL TRAINING"</f>
        <v>TPA ANNUAL TRAINING</v>
      </c>
    </row>
    <row r="402" spans="1:8" x14ac:dyDescent="0.25">
      <c r="E402" t="str">
        <f>""</f>
        <v/>
      </c>
      <c r="F402" t="str">
        <f>""</f>
        <v/>
      </c>
      <c r="H402" t="str">
        <f>"TEX BUTANE CO."</f>
        <v>TEX BUTANE CO.</v>
      </c>
    </row>
    <row r="403" spans="1:8" x14ac:dyDescent="0.25">
      <c r="A403" t="s">
        <v>82</v>
      </c>
      <c r="B403">
        <v>82651</v>
      </c>
      <c r="C403" s="2">
        <v>240</v>
      </c>
      <c r="D403" s="1">
        <v>43640</v>
      </c>
      <c r="E403" t="str">
        <f>"201906200065"</f>
        <v>201906200065</v>
      </c>
      <c r="F403" t="str">
        <f>"FERAL HOGS"</f>
        <v>FERAL HOGS</v>
      </c>
      <c r="G403" s="2">
        <v>240</v>
      </c>
      <c r="H403" t="str">
        <f>"FERAL HOGS"</f>
        <v>FERAL HOGS</v>
      </c>
    </row>
    <row r="404" spans="1:8" x14ac:dyDescent="0.25">
      <c r="A404" t="s">
        <v>83</v>
      </c>
      <c r="B404">
        <v>993</v>
      </c>
      <c r="C404" s="2">
        <v>534.15</v>
      </c>
      <c r="D404" s="1">
        <v>43641</v>
      </c>
      <c r="E404" t="str">
        <f>"SNC9536"</f>
        <v>SNC9536</v>
      </c>
      <c r="F404" t="str">
        <f>"Outdoor Intercom"</f>
        <v>Outdoor Intercom</v>
      </c>
      <c r="G404" s="2">
        <v>534.15</v>
      </c>
      <c r="H404" t="str">
        <f>"PART# 5129611"</f>
        <v>PART# 5129611</v>
      </c>
    </row>
    <row r="405" spans="1:8" x14ac:dyDescent="0.25">
      <c r="A405" t="s">
        <v>84</v>
      </c>
      <c r="B405">
        <v>974</v>
      </c>
      <c r="C405" s="2">
        <v>12242.5</v>
      </c>
      <c r="D405" s="1">
        <v>43641</v>
      </c>
      <c r="E405" t="str">
        <f>"201906139883"</f>
        <v>201906139883</v>
      </c>
      <c r="F405" t="str">
        <f>"15 914  10/25/18-05/23/19"</f>
        <v>15 914  10/25/18-05/23/19</v>
      </c>
      <c r="G405" s="2">
        <v>12242.5</v>
      </c>
      <c r="H405" t="str">
        <f>"15 914  10/25/18-05/23/19"</f>
        <v>15 914  10/25/18-05/23/19</v>
      </c>
    </row>
    <row r="406" spans="1:8" x14ac:dyDescent="0.25">
      <c r="A406" t="s">
        <v>85</v>
      </c>
      <c r="B406">
        <v>82840</v>
      </c>
      <c r="C406" s="2">
        <v>1522.5</v>
      </c>
      <c r="D406" s="1">
        <v>43642</v>
      </c>
      <c r="E406" t="str">
        <f>"201906260106"</f>
        <v>201906260106</v>
      </c>
      <c r="F406" t="str">
        <f>"ACCT#8000081165-5 / 06202019"</f>
        <v>ACCT#8000081165-5 / 06202019</v>
      </c>
      <c r="G406" s="2">
        <v>1522.5</v>
      </c>
      <c r="H406" t="str">
        <f>"ACCT#8000081165-5 / 06202019"</f>
        <v>ACCT#8000081165-5 / 06202019</v>
      </c>
    </row>
    <row r="407" spans="1:8" x14ac:dyDescent="0.25">
      <c r="E407" t="str">
        <f>""</f>
        <v/>
      </c>
      <c r="F407" t="str">
        <f>""</f>
        <v/>
      </c>
      <c r="H407" t="str">
        <f>"ACCT#8000081165-5 / 06202019"</f>
        <v>ACCT#8000081165-5 / 06202019</v>
      </c>
    </row>
    <row r="408" spans="1:8" x14ac:dyDescent="0.25">
      <c r="A408" t="s">
        <v>86</v>
      </c>
      <c r="B408">
        <v>82489</v>
      </c>
      <c r="C408" s="2">
        <v>2100</v>
      </c>
      <c r="D408" s="1">
        <v>43626</v>
      </c>
      <c r="E408" t="str">
        <f>"12769"</f>
        <v>12769</v>
      </c>
      <c r="F408" t="str">
        <f>"CTA 414-18 - K.A. HOLLIDAY"</f>
        <v>CTA 414-18 - K.A. HOLLIDAY</v>
      </c>
      <c r="G408" s="2">
        <v>2100</v>
      </c>
      <c r="H408" t="str">
        <f>"CTA 414-18 - K.A. HOLLIDAY"</f>
        <v>CTA 414-18 - K.A. HOLLIDAY</v>
      </c>
    </row>
    <row r="409" spans="1:8" x14ac:dyDescent="0.25">
      <c r="A409" t="s">
        <v>87</v>
      </c>
      <c r="B409">
        <v>82490</v>
      </c>
      <c r="C409" s="2">
        <v>250</v>
      </c>
      <c r="D409" s="1">
        <v>43626</v>
      </c>
      <c r="E409" t="str">
        <f>"201906049640"</f>
        <v>201906049640</v>
      </c>
      <c r="F409" t="str">
        <f>"AC-2019-0227A"</f>
        <v>AC-2019-0227A</v>
      </c>
      <c r="G409" s="2">
        <v>250</v>
      </c>
      <c r="H409" t="str">
        <f>"AC-2019-0227A"</f>
        <v>AC-2019-0227A</v>
      </c>
    </row>
    <row r="410" spans="1:8" x14ac:dyDescent="0.25">
      <c r="A410" t="s">
        <v>87</v>
      </c>
      <c r="B410">
        <v>82652</v>
      </c>
      <c r="C410" s="2">
        <v>1075</v>
      </c>
      <c r="D410" s="1">
        <v>43640</v>
      </c>
      <c r="E410" t="str">
        <f>"201906129802"</f>
        <v>201906129802</v>
      </c>
      <c r="F410" t="str">
        <f>"18-19239"</f>
        <v>18-19239</v>
      </c>
      <c r="G410" s="2">
        <v>100</v>
      </c>
      <c r="H410" t="str">
        <f>"18-19239"</f>
        <v>18-19239</v>
      </c>
    </row>
    <row r="411" spans="1:8" x14ac:dyDescent="0.25">
      <c r="E411" t="str">
        <f>"201906129803"</f>
        <v>201906129803</v>
      </c>
      <c r="F411" t="str">
        <f>"18-19094"</f>
        <v>18-19094</v>
      </c>
      <c r="G411" s="2">
        <v>100</v>
      </c>
      <c r="H411" t="str">
        <f>"18-19094"</f>
        <v>18-19094</v>
      </c>
    </row>
    <row r="412" spans="1:8" x14ac:dyDescent="0.25">
      <c r="E412" t="str">
        <f>"201906129804"</f>
        <v>201906129804</v>
      </c>
      <c r="F412" t="str">
        <f>"19-19684"</f>
        <v>19-19684</v>
      </c>
      <c r="G412" s="2">
        <v>100</v>
      </c>
      <c r="H412" t="str">
        <f>"19-19684"</f>
        <v>19-19684</v>
      </c>
    </row>
    <row r="413" spans="1:8" x14ac:dyDescent="0.25">
      <c r="E413" t="str">
        <f>"201906129805"</f>
        <v>201906129805</v>
      </c>
      <c r="F413" t="str">
        <f>"17-18229"</f>
        <v>17-18229</v>
      </c>
      <c r="G413" s="2">
        <v>100</v>
      </c>
      <c r="H413" t="str">
        <f>"17-18229"</f>
        <v>17-18229</v>
      </c>
    </row>
    <row r="414" spans="1:8" x14ac:dyDescent="0.25">
      <c r="E414" t="str">
        <f>"201906129806"</f>
        <v>201906129806</v>
      </c>
      <c r="F414" t="str">
        <f>"17-18764"</f>
        <v>17-18764</v>
      </c>
      <c r="G414" s="2">
        <v>100</v>
      </c>
      <c r="H414" t="str">
        <f>"17-18764"</f>
        <v>17-18764</v>
      </c>
    </row>
    <row r="415" spans="1:8" x14ac:dyDescent="0.25">
      <c r="E415" t="str">
        <f>"201906189959"</f>
        <v>201906189959</v>
      </c>
      <c r="F415" t="str">
        <f>"19-19423"</f>
        <v>19-19423</v>
      </c>
      <c r="G415" s="2">
        <v>75</v>
      </c>
      <c r="H415" t="str">
        <f>"19-19423"</f>
        <v>19-19423</v>
      </c>
    </row>
    <row r="416" spans="1:8" x14ac:dyDescent="0.25">
      <c r="E416" t="str">
        <f>"201906189960"</f>
        <v>201906189960</v>
      </c>
      <c r="F416" t="str">
        <f>"02-1015-1"</f>
        <v>02-1015-1</v>
      </c>
      <c r="G416" s="2">
        <v>250</v>
      </c>
      <c r="H416" t="str">
        <f>"02-1015-1"</f>
        <v>02-1015-1</v>
      </c>
    </row>
    <row r="417" spans="1:8" x14ac:dyDescent="0.25">
      <c r="E417" t="str">
        <f>"201906189999"</f>
        <v>201906189999</v>
      </c>
      <c r="F417" t="str">
        <f>"403069-1"</f>
        <v>403069-1</v>
      </c>
      <c r="G417" s="2">
        <v>250</v>
      </c>
      <c r="H417" t="str">
        <f>"403069-1"</f>
        <v>403069-1</v>
      </c>
    </row>
    <row r="418" spans="1:8" x14ac:dyDescent="0.25">
      <c r="A418" t="s">
        <v>88</v>
      </c>
      <c r="B418">
        <v>916</v>
      </c>
      <c r="C418" s="2">
        <v>392</v>
      </c>
      <c r="D418" s="1">
        <v>43627</v>
      </c>
      <c r="E418" t="str">
        <f>"019-0934-IN"</f>
        <v>019-0934-IN</v>
      </c>
      <c r="F418" t="str">
        <f>"INV 019-0934-IN"</f>
        <v>INV 019-0934-IN</v>
      </c>
      <c r="G418" s="2">
        <v>392</v>
      </c>
      <c r="H418" t="str">
        <f>"INV 019-0934-IN"</f>
        <v>INV 019-0934-IN</v>
      </c>
    </row>
    <row r="419" spans="1:8" x14ac:dyDescent="0.25">
      <c r="A419" t="s">
        <v>89</v>
      </c>
      <c r="B419">
        <v>924</v>
      </c>
      <c r="C419" s="2">
        <v>3125</v>
      </c>
      <c r="D419" s="1">
        <v>43627</v>
      </c>
      <c r="E419" t="str">
        <f>"201905299497"</f>
        <v>201905299497</v>
      </c>
      <c r="F419" t="str">
        <f>"16 614"</f>
        <v>16 614</v>
      </c>
      <c r="G419" s="2">
        <v>400</v>
      </c>
      <c r="H419" t="str">
        <f>"16 614"</f>
        <v>16 614</v>
      </c>
    </row>
    <row r="420" spans="1:8" x14ac:dyDescent="0.25">
      <c r="E420" t="str">
        <f>"201905299498"</f>
        <v>201905299498</v>
      </c>
      <c r="F420" t="str">
        <f>"16 578  16 575  411277-9"</f>
        <v>16 578  16 575  411277-9</v>
      </c>
      <c r="G420" s="2">
        <v>800</v>
      </c>
      <c r="H420" t="str">
        <f>"16 578  16 575  411277-9"</f>
        <v>16 578  16 575  411277-9</v>
      </c>
    </row>
    <row r="421" spans="1:8" x14ac:dyDescent="0.25">
      <c r="E421" t="str">
        <f>"201905309522"</f>
        <v>201905309522</v>
      </c>
      <c r="F421" t="str">
        <f>"16 163"</f>
        <v>16 163</v>
      </c>
      <c r="G421" s="2">
        <v>400</v>
      </c>
      <c r="H421" t="str">
        <f>"16 163"</f>
        <v>16 163</v>
      </c>
    </row>
    <row r="422" spans="1:8" x14ac:dyDescent="0.25">
      <c r="E422" t="str">
        <f>"201906049659"</f>
        <v>201906049659</v>
      </c>
      <c r="F422" t="str">
        <f>"19-19627"</f>
        <v>19-19627</v>
      </c>
      <c r="G422" s="2">
        <v>100</v>
      </c>
      <c r="H422" t="str">
        <f>"19-19627"</f>
        <v>19-19627</v>
      </c>
    </row>
    <row r="423" spans="1:8" x14ac:dyDescent="0.25">
      <c r="E423" t="str">
        <f>"201906049660"</f>
        <v>201906049660</v>
      </c>
      <c r="F423" t="str">
        <f>"18-19182"</f>
        <v>18-19182</v>
      </c>
      <c r="G423" s="2">
        <v>100</v>
      </c>
      <c r="H423" t="str">
        <f>"18-19182"</f>
        <v>18-19182</v>
      </c>
    </row>
    <row r="424" spans="1:8" x14ac:dyDescent="0.25">
      <c r="E424" t="str">
        <f>"201906049661"</f>
        <v>201906049661</v>
      </c>
      <c r="F424" t="str">
        <f>"18-18960"</f>
        <v>18-18960</v>
      </c>
      <c r="G424" s="2">
        <v>100</v>
      </c>
      <c r="H424" t="str">
        <f>"18-18960"</f>
        <v>18-18960</v>
      </c>
    </row>
    <row r="425" spans="1:8" x14ac:dyDescent="0.25">
      <c r="E425" t="str">
        <f>"201906049662"</f>
        <v>201906049662</v>
      </c>
      <c r="F425" t="str">
        <f>"19-19639"</f>
        <v>19-19639</v>
      </c>
      <c r="G425" s="2">
        <v>100</v>
      </c>
      <c r="H425" t="str">
        <f>"19-19639"</f>
        <v>19-19639</v>
      </c>
    </row>
    <row r="426" spans="1:8" x14ac:dyDescent="0.25">
      <c r="E426" t="str">
        <f>"201906049663"</f>
        <v>201906049663</v>
      </c>
      <c r="F426" t="str">
        <f>"411277-2 411272-11"</f>
        <v>411277-2 411272-11</v>
      </c>
      <c r="G426" s="2">
        <v>375</v>
      </c>
      <c r="H426" t="str">
        <f>"411277-2 411272-11"</f>
        <v>411277-2 411272-11</v>
      </c>
    </row>
    <row r="427" spans="1:8" x14ac:dyDescent="0.25">
      <c r="E427" t="str">
        <f>"201906049664"</f>
        <v>201906049664</v>
      </c>
      <c r="F427" t="str">
        <f>"20160766"</f>
        <v>20160766</v>
      </c>
      <c r="G427" s="2">
        <v>250</v>
      </c>
      <c r="H427" t="str">
        <f>"20160766"</f>
        <v>20160766</v>
      </c>
    </row>
    <row r="428" spans="1:8" x14ac:dyDescent="0.25">
      <c r="E428" t="str">
        <f>"201906049665"</f>
        <v>201906049665</v>
      </c>
      <c r="F428" t="str">
        <f>"56 827"</f>
        <v>56 827</v>
      </c>
      <c r="G428" s="2">
        <v>250</v>
      </c>
      <c r="H428" t="str">
        <f>"56 827"</f>
        <v>56 827</v>
      </c>
    </row>
    <row r="429" spans="1:8" x14ac:dyDescent="0.25">
      <c r="E429" t="str">
        <f>"201906049666"</f>
        <v>201906049666</v>
      </c>
      <c r="F429" t="str">
        <f>"56 823"</f>
        <v>56 823</v>
      </c>
      <c r="G429" s="2">
        <v>250</v>
      </c>
      <c r="H429" t="str">
        <f>"56 823"</f>
        <v>56 823</v>
      </c>
    </row>
    <row r="430" spans="1:8" x14ac:dyDescent="0.25">
      <c r="A430" t="s">
        <v>89</v>
      </c>
      <c r="B430">
        <v>1001</v>
      </c>
      <c r="C430" s="2">
        <v>3250</v>
      </c>
      <c r="D430" s="1">
        <v>43641</v>
      </c>
      <c r="E430" t="str">
        <f>"201906129808"</f>
        <v>201906129808</v>
      </c>
      <c r="F430" t="str">
        <f>"301162019B"</f>
        <v>301162019B</v>
      </c>
      <c r="G430" s="2">
        <v>250</v>
      </c>
      <c r="H430" t="str">
        <f>"301162019B"</f>
        <v>301162019B</v>
      </c>
    </row>
    <row r="431" spans="1:8" x14ac:dyDescent="0.25">
      <c r="E431" t="str">
        <f>"201906129809"</f>
        <v>201906129809</v>
      </c>
      <c r="F431" t="str">
        <f>"18-19182"</f>
        <v>18-19182</v>
      </c>
      <c r="G431" s="2">
        <v>250</v>
      </c>
      <c r="H431" t="str">
        <f>"18-19182"</f>
        <v>18-19182</v>
      </c>
    </row>
    <row r="432" spans="1:8" x14ac:dyDescent="0.25">
      <c r="E432" t="str">
        <f>"201906129810"</f>
        <v>201906129810</v>
      </c>
      <c r="F432" t="str">
        <f>"19-19572"</f>
        <v>19-19572</v>
      </c>
      <c r="G432" s="2">
        <v>250</v>
      </c>
      <c r="H432" t="str">
        <f>"19-19572"</f>
        <v>19-19572</v>
      </c>
    </row>
    <row r="433" spans="1:8" x14ac:dyDescent="0.25">
      <c r="E433" t="str">
        <f>"201906129811"</f>
        <v>201906129811</v>
      </c>
      <c r="F433" t="str">
        <f>"15-19365"</f>
        <v>15-19365</v>
      </c>
      <c r="G433" s="2">
        <v>100</v>
      </c>
      <c r="H433" t="str">
        <f>"15-19365"</f>
        <v>15-19365</v>
      </c>
    </row>
    <row r="434" spans="1:8" x14ac:dyDescent="0.25">
      <c r="E434" t="str">
        <f>"201906129812"</f>
        <v>201906129812</v>
      </c>
      <c r="F434" t="str">
        <f>"17-18764"</f>
        <v>17-18764</v>
      </c>
      <c r="G434" s="2">
        <v>100</v>
      </c>
      <c r="H434" t="str">
        <f>"17-18764"</f>
        <v>17-18764</v>
      </c>
    </row>
    <row r="435" spans="1:8" x14ac:dyDescent="0.25">
      <c r="E435" t="str">
        <f>"201906129813"</f>
        <v>201906129813</v>
      </c>
      <c r="F435" t="str">
        <f>"17-18672"</f>
        <v>17-18672</v>
      </c>
      <c r="G435" s="2">
        <v>100</v>
      </c>
      <c r="H435" t="str">
        <f>"17-18672"</f>
        <v>17-18672</v>
      </c>
    </row>
    <row r="436" spans="1:8" x14ac:dyDescent="0.25">
      <c r="E436" t="str">
        <f>"201906139887"</f>
        <v>201906139887</v>
      </c>
      <c r="F436" t="str">
        <f>"16 483"</f>
        <v>16 483</v>
      </c>
      <c r="G436" s="2">
        <v>400</v>
      </c>
      <c r="H436" t="str">
        <f>"16 483"</f>
        <v>16 483</v>
      </c>
    </row>
    <row r="437" spans="1:8" x14ac:dyDescent="0.25">
      <c r="E437" t="str">
        <f>"201906139888"</f>
        <v>201906139888</v>
      </c>
      <c r="F437" t="str">
        <f>"16 610"</f>
        <v>16 610</v>
      </c>
      <c r="G437" s="2">
        <v>400</v>
      </c>
      <c r="H437" t="str">
        <f>"16 610"</f>
        <v>16 610</v>
      </c>
    </row>
    <row r="438" spans="1:8" x14ac:dyDescent="0.25">
      <c r="E438" t="str">
        <f>"201906139889"</f>
        <v>201906139889</v>
      </c>
      <c r="F438" t="str">
        <f>"16 765  20180439"</f>
        <v>16 765  20180439</v>
      </c>
      <c r="G438" s="2">
        <v>600</v>
      </c>
      <c r="H438" t="str">
        <f>"16 765  20180439"</f>
        <v>16 765  20180439</v>
      </c>
    </row>
    <row r="439" spans="1:8" x14ac:dyDescent="0.25">
      <c r="E439" t="str">
        <f>"201906139890"</f>
        <v>201906139890</v>
      </c>
      <c r="F439" t="str">
        <f>"16 532"</f>
        <v>16 532</v>
      </c>
      <c r="G439" s="2">
        <v>400</v>
      </c>
      <c r="H439" t="str">
        <f>"16 532"</f>
        <v>16 532</v>
      </c>
    </row>
    <row r="440" spans="1:8" x14ac:dyDescent="0.25">
      <c r="E440" t="str">
        <f>"201906139891"</f>
        <v>201906139891</v>
      </c>
      <c r="F440" t="str">
        <f>"16 600"</f>
        <v>16 600</v>
      </c>
      <c r="G440" s="2">
        <v>400</v>
      </c>
      <c r="H440" t="str">
        <f>"16 600"</f>
        <v>16 600</v>
      </c>
    </row>
    <row r="441" spans="1:8" x14ac:dyDescent="0.25">
      <c r="A441" t="s">
        <v>90</v>
      </c>
      <c r="B441">
        <v>82653</v>
      </c>
      <c r="C441" s="2">
        <v>50</v>
      </c>
      <c r="D441" s="1">
        <v>43640</v>
      </c>
      <c r="E441" t="str">
        <f>"201906190055"</f>
        <v>201906190055</v>
      </c>
      <c r="F441" t="str">
        <f>"REFUND-ADOPTION FEE"</f>
        <v>REFUND-ADOPTION FEE</v>
      </c>
      <c r="G441" s="2">
        <v>50</v>
      </c>
      <c r="H441" t="str">
        <f>"REFUND-ADOPTION FEE"</f>
        <v>REFUND-ADOPTION FEE</v>
      </c>
    </row>
    <row r="442" spans="1:8" x14ac:dyDescent="0.25">
      <c r="A442" t="s">
        <v>91</v>
      </c>
      <c r="B442">
        <v>82491</v>
      </c>
      <c r="C442" s="2">
        <v>108.25</v>
      </c>
      <c r="D442" s="1">
        <v>43626</v>
      </c>
      <c r="E442" t="str">
        <f>"9052854292"</f>
        <v>9052854292</v>
      </c>
      <c r="F442" t="str">
        <f>"INV 9052854292"</f>
        <v>INV 9052854292</v>
      </c>
      <c r="G442" s="2">
        <v>108.25</v>
      </c>
      <c r="H442" t="str">
        <f>"INV 9052854292 / LE"</f>
        <v>INV 9052854292 / LE</v>
      </c>
    </row>
    <row r="443" spans="1:8" x14ac:dyDescent="0.25">
      <c r="E443" t="str">
        <f>""</f>
        <v/>
      </c>
      <c r="F443" t="str">
        <f>""</f>
        <v/>
      </c>
      <c r="H443" t="str">
        <f>"INV 9052854292 / JAI"</f>
        <v>INV 9052854292 / JAI</v>
      </c>
    </row>
    <row r="444" spans="1:8" x14ac:dyDescent="0.25">
      <c r="A444" t="s">
        <v>91</v>
      </c>
      <c r="B444">
        <v>82654</v>
      </c>
      <c r="C444" s="2">
        <v>72.599999999999994</v>
      </c>
      <c r="D444" s="1">
        <v>43640</v>
      </c>
      <c r="E444" t="str">
        <f>"5013897163"</f>
        <v>5013897163</v>
      </c>
      <c r="F444" t="str">
        <f>"CUST#0011167190/PCT#1"</f>
        <v>CUST#0011167190/PCT#1</v>
      </c>
      <c r="G444" s="2">
        <v>72.599999999999994</v>
      </c>
      <c r="H444" t="str">
        <f>"CUST#0011167190/PCT#1"</f>
        <v>CUST#0011167190/PCT#1</v>
      </c>
    </row>
    <row r="445" spans="1:8" x14ac:dyDescent="0.25">
      <c r="A445" t="s">
        <v>92</v>
      </c>
      <c r="B445">
        <v>82492</v>
      </c>
      <c r="C445" s="2">
        <v>378.39</v>
      </c>
      <c r="D445" s="1">
        <v>43626</v>
      </c>
      <c r="E445" t="str">
        <f>"8404148243"</f>
        <v>8404148243</v>
      </c>
      <c r="F445" t="str">
        <f>"CUST#10377368/PCT#3"</f>
        <v>CUST#10377368/PCT#3</v>
      </c>
      <c r="G445" s="2">
        <v>378.39</v>
      </c>
      <c r="H445" t="str">
        <f>"CUST#10377368/PCT#3"</f>
        <v>CUST#10377368/PCT#3</v>
      </c>
    </row>
    <row r="446" spans="1:8" x14ac:dyDescent="0.25">
      <c r="A446" t="s">
        <v>93</v>
      </c>
      <c r="B446">
        <v>82493</v>
      </c>
      <c r="C446" s="2">
        <v>268.57</v>
      </c>
      <c r="D446" s="1">
        <v>43626</v>
      </c>
      <c r="E446" t="str">
        <f>"201906059694"</f>
        <v>201906059694</v>
      </c>
      <c r="F446" t="str">
        <f>"PAYER#14108463/ANIMAL SHELTER"</f>
        <v>PAYER#14108463/ANIMAL SHELTER</v>
      </c>
      <c r="G446" s="2">
        <v>268.57</v>
      </c>
      <c r="H446" t="str">
        <f>"PAYER#14108463/ANIMAL SHELTER"</f>
        <v>PAYER#14108463/ANIMAL SHELTER</v>
      </c>
    </row>
    <row r="447" spans="1:8" x14ac:dyDescent="0.25">
      <c r="A447" t="s">
        <v>92</v>
      </c>
      <c r="B447">
        <v>82655</v>
      </c>
      <c r="C447" s="2">
        <v>103.43</v>
      </c>
      <c r="D447" s="1">
        <v>43640</v>
      </c>
      <c r="E447" t="str">
        <f>"8404178501"</f>
        <v>8404178501</v>
      </c>
      <c r="F447" t="str">
        <f>"CUST#10377368/PCT#2"</f>
        <v>CUST#10377368/PCT#2</v>
      </c>
      <c r="G447" s="2">
        <v>103.43</v>
      </c>
      <c r="H447" t="str">
        <f>"CUST#10377368/PCT#2"</f>
        <v>CUST#10377368/PCT#2</v>
      </c>
    </row>
    <row r="448" spans="1:8" x14ac:dyDescent="0.25">
      <c r="A448" t="s">
        <v>93</v>
      </c>
      <c r="B448">
        <v>82656</v>
      </c>
      <c r="C448" s="2">
        <v>3143.87</v>
      </c>
      <c r="D448" s="1">
        <v>43640</v>
      </c>
      <c r="E448" t="str">
        <f>"201906129753"</f>
        <v>201906129753</v>
      </c>
      <c r="F448" t="str">
        <f>"PAYER#14108367/PCT#2"</f>
        <v>PAYER#14108367/PCT#2</v>
      </c>
      <c r="G448" s="2">
        <v>890.96</v>
      </c>
      <c r="H448" t="str">
        <f>"PAYER#14108367/PCT#2"</f>
        <v>PAYER#14108367/PCT#2</v>
      </c>
    </row>
    <row r="449" spans="1:8" x14ac:dyDescent="0.25">
      <c r="E449" t="str">
        <f>"201906129756"</f>
        <v>201906129756</v>
      </c>
      <c r="F449" t="str">
        <f>"PAYER#14108430/PCT#4"</f>
        <v>PAYER#14108430/PCT#4</v>
      </c>
      <c r="G449" s="2">
        <v>1558.85</v>
      </c>
      <c r="H449" t="str">
        <f>"PAYER#14108430/PCT#4"</f>
        <v>PAYER#14108430/PCT#4</v>
      </c>
    </row>
    <row r="450" spans="1:8" x14ac:dyDescent="0.25">
      <c r="E450" t="str">
        <f>"201906129758"</f>
        <v>201906129758</v>
      </c>
      <c r="F450" t="str">
        <f>"PAYER#14108431/SIGN SHOP"</f>
        <v>PAYER#14108431/SIGN SHOP</v>
      </c>
      <c r="G450" s="2">
        <v>55.56</v>
      </c>
      <c r="H450" t="str">
        <f>"PAYER#14108431/SIGN SHOP"</f>
        <v>PAYER#14108431/SIGN SHOP</v>
      </c>
    </row>
    <row r="451" spans="1:8" x14ac:dyDescent="0.25">
      <c r="E451" t="str">
        <f>"201906129761"</f>
        <v>201906129761</v>
      </c>
      <c r="F451" t="str">
        <f>"PAYER#14108431/PCT#1"</f>
        <v>PAYER#14108431/PCT#1</v>
      </c>
      <c r="G451" s="2">
        <v>638.5</v>
      </c>
      <c r="H451" t="str">
        <f>"PAYER#14108431/PCT#1"</f>
        <v>PAYER#14108431/PCT#1</v>
      </c>
    </row>
    <row r="452" spans="1:8" x14ac:dyDescent="0.25">
      <c r="A452" t="s">
        <v>94</v>
      </c>
      <c r="B452">
        <v>82616</v>
      </c>
      <c r="C452" s="2">
        <v>48411.26</v>
      </c>
      <c r="D452" s="1">
        <v>43630</v>
      </c>
      <c r="E452" t="str">
        <f>"201906149899"</f>
        <v>201906149899</v>
      </c>
      <c r="F452" t="str">
        <f>"ACCT#02-2083-04 / 05292019"</f>
        <v>ACCT#02-2083-04 / 05292019</v>
      </c>
      <c r="G452" s="2">
        <v>4316.82</v>
      </c>
      <c r="H452" t="str">
        <f>"ACCT#02-2083-04 / 05292019"</f>
        <v>ACCT#02-2083-04 / 05292019</v>
      </c>
    </row>
    <row r="453" spans="1:8" x14ac:dyDescent="0.25">
      <c r="E453" t="str">
        <f>"201906149900"</f>
        <v>201906149900</v>
      </c>
      <c r="F453" t="str">
        <f>"COUNTY / 05292019"</f>
        <v>COUNTY / 05292019</v>
      </c>
      <c r="G453" s="2">
        <v>28229.73</v>
      </c>
      <c r="H453" t="str">
        <f>"COUNTY / 05292019"</f>
        <v>COUNTY / 05292019</v>
      </c>
    </row>
    <row r="454" spans="1:8" x14ac:dyDescent="0.25">
      <c r="E454" t="str">
        <f>"201906149901"</f>
        <v>201906149901</v>
      </c>
      <c r="F454" t="str">
        <f>"BASTROP CO / 05292019"</f>
        <v>BASTROP CO / 05292019</v>
      </c>
      <c r="G454" s="2">
        <v>15864.71</v>
      </c>
      <c r="H454" t="str">
        <f>"BASTROP CO / 05292019"</f>
        <v>BASTROP CO / 05292019</v>
      </c>
    </row>
    <row r="455" spans="1:8" x14ac:dyDescent="0.25">
      <c r="A455" t="s">
        <v>94</v>
      </c>
      <c r="B455">
        <v>82657</v>
      </c>
      <c r="C455" s="2">
        <v>750</v>
      </c>
      <c r="D455" s="1">
        <v>43640</v>
      </c>
      <c r="E455" t="str">
        <f>"201906119728"</f>
        <v>201906119728</v>
      </c>
      <c r="F455" t="str">
        <f>"RENTAL-PARKING LOT"</f>
        <v>RENTAL-PARKING LOT</v>
      </c>
      <c r="G455" s="2">
        <v>750</v>
      </c>
      <c r="H455" t="str">
        <f>"RENTAL-PARKING LOT"</f>
        <v>RENTAL-PARKING LOT</v>
      </c>
    </row>
    <row r="456" spans="1:8" x14ac:dyDescent="0.25">
      <c r="A456" t="s">
        <v>95</v>
      </c>
      <c r="B456">
        <v>82658</v>
      </c>
      <c r="C456" s="2">
        <v>705.04</v>
      </c>
      <c r="D456" s="1">
        <v>43640</v>
      </c>
      <c r="E456" t="str">
        <f>"201906179924"</f>
        <v>201906179924</v>
      </c>
      <c r="F456" t="str">
        <f>"REIMBURSE HOTEL/MEALS"</f>
        <v>REIMBURSE HOTEL/MEALS</v>
      </c>
      <c r="G456" s="2">
        <v>689.04</v>
      </c>
      <c r="H456" t="str">
        <f>"REIMBURSE HOTEL/MEALS"</f>
        <v>REIMBURSE HOTEL/MEALS</v>
      </c>
    </row>
    <row r="457" spans="1:8" x14ac:dyDescent="0.25">
      <c r="E457" t="str">
        <f>"201906189992"</f>
        <v>201906189992</v>
      </c>
      <c r="F457" t="str">
        <f>"REIMBURSE-PARKING"</f>
        <v>REIMBURSE-PARKING</v>
      </c>
      <c r="G457" s="2">
        <v>16</v>
      </c>
      <c r="H457" t="str">
        <f>"REIMBURSE-PARKING"</f>
        <v>REIMBURSE-PARKING</v>
      </c>
    </row>
    <row r="458" spans="1:8" x14ac:dyDescent="0.25">
      <c r="A458" t="s">
        <v>96</v>
      </c>
      <c r="B458">
        <v>973</v>
      </c>
      <c r="C458" s="2">
        <v>643.16999999999996</v>
      </c>
      <c r="D458" s="1">
        <v>43641</v>
      </c>
      <c r="E458" t="str">
        <f>"201905-0"</f>
        <v>201905-0</v>
      </c>
      <c r="F458" t="str">
        <f>"INV 201905-0"</f>
        <v>INV 201905-0</v>
      </c>
      <c r="G458" s="2">
        <v>122.15</v>
      </c>
      <c r="H458" t="str">
        <f>"INV 201905-0"</f>
        <v>INV 201905-0</v>
      </c>
    </row>
    <row r="459" spans="1:8" x14ac:dyDescent="0.25">
      <c r="E459" t="str">
        <f>"201906180010"</f>
        <v>201906180010</v>
      </c>
      <c r="F459" t="str">
        <f>"INDIGENT HEALTH"</f>
        <v>INDIGENT HEALTH</v>
      </c>
      <c r="G459" s="2">
        <v>521.02</v>
      </c>
      <c r="H459" t="str">
        <f>"INDIGENT HEALTH"</f>
        <v>INDIGENT HEALTH</v>
      </c>
    </row>
    <row r="460" spans="1:8" x14ac:dyDescent="0.25">
      <c r="A460" t="s">
        <v>97</v>
      </c>
      <c r="B460">
        <v>82659</v>
      </c>
      <c r="C460" s="2">
        <v>87.14</v>
      </c>
      <c r="D460" s="1">
        <v>43640</v>
      </c>
      <c r="E460" t="str">
        <f>"201906180009"</f>
        <v>201906180009</v>
      </c>
      <c r="F460" t="str">
        <f>"INDIGENT HEALTH"</f>
        <v>INDIGENT HEALTH</v>
      </c>
      <c r="G460" s="2">
        <v>87.14</v>
      </c>
      <c r="H460" t="str">
        <f>"INDIGENT HEALTH"</f>
        <v>INDIGENT HEALTH</v>
      </c>
    </row>
    <row r="461" spans="1:8" x14ac:dyDescent="0.25">
      <c r="A461" t="s">
        <v>98</v>
      </c>
      <c r="B461">
        <v>82660</v>
      </c>
      <c r="C461" s="2">
        <v>445</v>
      </c>
      <c r="D461" s="1">
        <v>43640</v>
      </c>
      <c r="E461" t="str">
        <f>"221345-003"</f>
        <v>221345-003</v>
      </c>
      <c r="F461" t="str">
        <f>"INV 221345-003"</f>
        <v>INV 221345-003</v>
      </c>
      <c r="G461" s="2">
        <v>445</v>
      </c>
      <c r="H461" t="str">
        <f>"INV 221345-003"</f>
        <v>INV 221345-003</v>
      </c>
    </row>
    <row r="462" spans="1:8" x14ac:dyDescent="0.25">
      <c r="A462" t="s">
        <v>99</v>
      </c>
      <c r="B462">
        <v>82661</v>
      </c>
      <c r="C462" s="2">
        <v>400</v>
      </c>
      <c r="D462" s="1">
        <v>43640</v>
      </c>
      <c r="E462" t="str">
        <f>"201906139898"</f>
        <v>201906139898</v>
      </c>
      <c r="F462" t="str">
        <f>"BOND#61117614-MARY LYNN HARMON"</f>
        <v>BOND#61117614-MARY LYNN HARMON</v>
      </c>
      <c r="G462" s="2">
        <v>50</v>
      </c>
      <c r="H462" t="str">
        <f>"BOND#61117614-MARY LYNN HARMON"</f>
        <v>BOND#61117614-MARY LYNN HARMON</v>
      </c>
    </row>
    <row r="463" spans="1:8" x14ac:dyDescent="0.25">
      <c r="E463" t="str">
        <f>"201906189987"</f>
        <v>201906189987</v>
      </c>
      <c r="F463" t="str">
        <f>"BOND#13748237-BENTON ESKEW"</f>
        <v>BOND#13748237-BENTON ESKEW</v>
      </c>
      <c r="G463" s="2">
        <v>350</v>
      </c>
      <c r="H463" t="str">
        <f>"BOND#13748237-BENTON ESKEW"</f>
        <v>BOND#13748237-BENTON ESKEW</v>
      </c>
    </row>
    <row r="464" spans="1:8" x14ac:dyDescent="0.25">
      <c r="A464" t="s">
        <v>100</v>
      </c>
      <c r="B464">
        <v>82494</v>
      </c>
      <c r="C464" s="2">
        <v>1499.3</v>
      </c>
      <c r="D464" s="1">
        <v>43626</v>
      </c>
      <c r="E464" t="str">
        <f>"269782"</f>
        <v>269782</v>
      </c>
      <c r="F464" t="str">
        <f>"CUST#1321/PCT#1"</f>
        <v>CUST#1321/PCT#1</v>
      </c>
      <c r="G464" s="2">
        <v>1499.3</v>
      </c>
      <c r="H464" t="str">
        <f>"CUST#1321/PCT#1"</f>
        <v>CUST#1321/PCT#1</v>
      </c>
    </row>
    <row r="465" spans="1:9" x14ac:dyDescent="0.25">
      <c r="A465" t="s">
        <v>101</v>
      </c>
      <c r="B465">
        <v>82662</v>
      </c>
      <c r="C465" s="2">
        <v>330</v>
      </c>
      <c r="D465" s="1">
        <v>43640</v>
      </c>
      <c r="E465" t="str">
        <f>"31022"</f>
        <v>31022</v>
      </c>
      <c r="F465" t="str">
        <f>"INV 31022"</f>
        <v>INV 31022</v>
      </c>
      <c r="G465" s="2">
        <v>330</v>
      </c>
      <c r="H465" t="str">
        <f>"INV 31022"</f>
        <v>INV 31022</v>
      </c>
    </row>
    <row r="466" spans="1:9" x14ac:dyDescent="0.25">
      <c r="A466" t="s">
        <v>102</v>
      </c>
      <c r="B466">
        <v>883</v>
      </c>
      <c r="C466" s="2">
        <v>272</v>
      </c>
      <c r="D466" s="1">
        <v>43627</v>
      </c>
      <c r="E466" t="str">
        <f>"12457914145"</f>
        <v>12457914145</v>
      </c>
      <c r="F466" t="str">
        <f>"INV 12457914145"</f>
        <v>INV 12457914145</v>
      </c>
      <c r="G466" s="2">
        <v>272</v>
      </c>
      <c r="H466" t="str">
        <f>"INV 12457914145"</f>
        <v>INV 12457914145</v>
      </c>
    </row>
    <row r="467" spans="1:9" x14ac:dyDescent="0.25">
      <c r="A467" t="s">
        <v>103</v>
      </c>
      <c r="B467">
        <v>893</v>
      </c>
      <c r="C467" s="2">
        <v>48.97</v>
      </c>
      <c r="D467" s="1">
        <v>43627</v>
      </c>
      <c r="E467" t="str">
        <f>"4533*145*1"</f>
        <v>4533*145*1</v>
      </c>
      <c r="F467" t="str">
        <f>"JAIL MEDICAL"</f>
        <v>JAIL MEDICAL</v>
      </c>
      <c r="G467" s="2">
        <v>48.97</v>
      </c>
      <c r="H467" t="str">
        <f>"JAIL MEDICAL"</f>
        <v>JAIL MEDICAL</v>
      </c>
    </row>
    <row r="468" spans="1:9" x14ac:dyDescent="0.25">
      <c r="A468" t="s">
        <v>103</v>
      </c>
      <c r="B468">
        <v>949</v>
      </c>
      <c r="C468" s="2">
        <v>574.41</v>
      </c>
      <c r="D468" s="1">
        <v>43641</v>
      </c>
      <c r="E468" t="str">
        <f>"201906180011"</f>
        <v>201906180011</v>
      </c>
      <c r="F468" t="str">
        <f>"INDIGENT HEALTH"</f>
        <v>INDIGENT HEALTH</v>
      </c>
      <c r="G468" s="2">
        <v>574.41</v>
      </c>
      <c r="H468" t="str">
        <f>"INDIGENT HEALTH"</f>
        <v>INDIGENT HEALTH</v>
      </c>
    </row>
    <row r="469" spans="1:9" x14ac:dyDescent="0.25">
      <c r="E469" t="str">
        <f>""</f>
        <v/>
      </c>
      <c r="F469" t="str">
        <f>""</f>
        <v/>
      </c>
      <c r="H469" t="str">
        <f>"INDIGENT HEALTH"</f>
        <v>INDIGENT HEALTH</v>
      </c>
    </row>
    <row r="470" spans="1:9" x14ac:dyDescent="0.25">
      <c r="E470" t="str">
        <f>""</f>
        <v/>
      </c>
      <c r="F470" t="str">
        <f>""</f>
        <v/>
      </c>
      <c r="H470" t="str">
        <f>"INDIGENT HEALTH"</f>
        <v>INDIGENT HEALTH</v>
      </c>
    </row>
    <row r="471" spans="1:9" x14ac:dyDescent="0.25">
      <c r="A471" t="s">
        <v>104</v>
      </c>
      <c r="B471">
        <v>82663</v>
      </c>
      <c r="C471" s="2">
        <v>25</v>
      </c>
      <c r="D471" s="1">
        <v>43640</v>
      </c>
      <c r="E471" t="s">
        <v>105</v>
      </c>
      <c r="F471" t="s">
        <v>106</v>
      </c>
      <c r="G471" s="2" t="str">
        <f>"RESTITUTION-K. PURCELL"</f>
        <v>RESTITUTION-K. PURCELL</v>
      </c>
      <c r="H471" t="str">
        <f>"210-0000"</f>
        <v>210-0000</v>
      </c>
      <c r="I471" t="str">
        <f>""</f>
        <v/>
      </c>
    </row>
    <row r="472" spans="1:9" x14ac:dyDescent="0.25">
      <c r="A472" t="s">
        <v>107</v>
      </c>
      <c r="B472">
        <v>82495</v>
      </c>
      <c r="C472" s="2">
        <v>1153.2</v>
      </c>
      <c r="D472" s="1">
        <v>43626</v>
      </c>
      <c r="E472" t="str">
        <f>"18479644"</f>
        <v>18479644</v>
      </c>
      <c r="F472" t="str">
        <f>"ACCT#434304/PCT#4"</f>
        <v>ACCT#434304/PCT#4</v>
      </c>
      <c r="G472" s="2">
        <v>1153.2</v>
      </c>
      <c r="H472" t="str">
        <f>"ACCT#434304/PCT#4"</f>
        <v>ACCT#434304/PCT#4</v>
      </c>
    </row>
    <row r="473" spans="1:9" x14ac:dyDescent="0.25">
      <c r="A473" t="s">
        <v>107</v>
      </c>
      <c r="B473">
        <v>82664</v>
      </c>
      <c r="C473" s="2">
        <v>3850.2</v>
      </c>
      <c r="D473" s="1">
        <v>43640</v>
      </c>
      <c r="E473" t="str">
        <f>"18534134"</f>
        <v>18534134</v>
      </c>
      <c r="F473" t="str">
        <f>"ACCT#434304/PCT#4"</f>
        <v>ACCT#434304/PCT#4</v>
      </c>
      <c r="G473" s="2">
        <v>2484</v>
      </c>
      <c r="H473" t="str">
        <f>"ACCT#434304/PCT#4"</f>
        <v>ACCT#434304/PCT#4</v>
      </c>
    </row>
    <row r="474" spans="1:9" x14ac:dyDescent="0.25">
      <c r="E474" t="str">
        <f>"18541082"</f>
        <v>18541082</v>
      </c>
      <c r="F474" t="str">
        <f>"ACCT#434304/PCT#4"</f>
        <v>ACCT#434304/PCT#4</v>
      </c>
      <c r="G474" s="2">
        <v>1366.2</v>
      </c>
      <c r="H474" t="str">
        <f>"ACCT#434304/PCT#4"</f>
        <v>ACCT#434304/PCT#4</v>
      </c>
    </row>
    <row r="475" spans="1:9" x14ac:dyDescent="0.25">
      <c r="A475" t="s">
        <v>108</v>
      </c>
      <c r="B475">
        <v>82665</v>
      </c>
      <c r="C475" s="2">
        <v>6469</v>
      </c>
      <c r="D475" s="1">
        <v>43640</v>
      </c>
      <c r="E475" t="str">
        <f>"19905"</f>
        <v>19905</v>
      </c>
      <c r="F475" t="str">
        <f>"MATERIAL/LABOR"</f>
        <v>MATERIAL/LABOR</v>
      </c>
      <c r="G475" s="2">
        <v>456</v>
      </c>
      <c r="H475" t="str">
        <f>"MATERIAL/LABOR"</f>
        <v>MATERIAL/LABOR</v>
      </c>
    </row>
    <row r="476" spans="1:9" x14ac:dyDescent="0.25">
      <c r="E476" t="str">
        <f>"20028"</f>
        <v>20028</v>
      </c>
      <c r="F476" t="str">
        <f>"INv# 20028"</f>
        <v>INv# 20028</v>
      </c>
      <c r="G476" s="2">
        <v>6013</v>
      </c>
      <c r="H476" t="str">
        <f>"INv# 20028"</f>
        <v>INv# 20028</v>
      </c>
    </row>
    <row r="477" spans="1:9" x14ac:dyDescent="0.25">
      <c r="A477" t="s">
        <v>109</v>
      </c>
      <c r="B477">
        <v>903</v>
      </c>
      <c r="C477" s="2">
        <v>2174.27</v>
      </c>
      <c r="D477" s="1">
        <v>43627</v>
      </c>
      <c r="E477" t="str">
        <f>"IN49273"</f>
        <v>IN49273</v>
      </c>
      <c r="F477" t="str">
        <f>"ACCT#353/PCT#3"</f>
        <v>ACCT#353/PCT#3</v>
      </c>
      <c r="G477" s="2">
        <v>538.78</v>
      </c>
      <c r="H477" t="str">
        <f>"ACCT#353/PCT#3"</f>
        <v>ACCT#353/PCT#3</v>
      </c>
    </row>
    <row r="478" spans="1:9" x14ac:dyDescent="0.25">
      <c r="E478" t="str">
        <f>"IN49324"</f>
        <v>IN49324</v>
      </c>
      <c r="F478" t="str">
        <f>"ACCT#353/PCT#1"</f>
        <v>ACCT#353/PCT#1</v>
      </c>
      <c r="G478" s="2">
        <v>738.25</v>
      </c>
      <c r="H478" t="str">
        <f>"ACCT#353/PCT#1"</f>
        <v>ACCT#353/PCT#1</v>
      </c>
    </row>
    <row r="479" spans="1:9" x14ac:dyDescent="0.25">
      <c r="E479" t="str">
        <f>"WS19177"</f>
        <v>WS19177</v>
      </c>
      <c r="F479" t="str">
        <f>"ACCT#353/PCT#1"</f>
        <v>ACCT#353/PCT#1</v>
      </c>
      <c r="G479" s="2">
        <v>897.24</v>
      </c>
      <c r="H479" t="str">
        <f>"ACCT#353/PCT#1"</f>
        <v>ACCT#353/PCT#1</v>
      </c>
    </row>
    <row r="480" spans="1:9" x14ac:dyDescent="0.25">
      <c r="A480" t="s">
        <v>109</v>
      </c>
      <c r="B480">
        <v>972</v>
      </c>
      <c r="C480" s="2">
        <v>551.13</v>
      </c>
      <c r="D480" s="1">
        <v>43641</v>
      </c>
      <c r="E480" t="str">
        <f>"WS19308"</f>
        <v>WS19308</v>
      </c>
      <c r="F480" t="str">
        <f>"ACCT#353/TRAVEL/LABOR/PCT#3"</f>
        <v>ACCT#353/TRAVEL/LABOR/PCT#3</v>
      </c>
      <c r="G480" s="2">
        <v>551.13</v>
      </c>
      <c r="H480" t="str">
        <f>"ACCT#353/TRAVEL/LABOR/PCT#3"</f>
        <v>ACCT#353/TRAVEL/LABOR/PCT#3</v>
      </c>
    </row>
    <row r="481" spans="1:8" x14ac:dyDescent="0.25">
      <c r="A481" t="s">
        <v>110</v>
      </c>
      <c r="B481">
        <v>82666</v>
      </c>
      <c r="C481" s="2">
        <v>128.85</v>
      </c>
      <c r="D481" s="1">
        <v>43640</v>
      </c>
      <c r="E481" t="str">
        <f>"T300-142773"</f>
        <v>T300-142773</v>
      </c>
      <c r="F481" t="str">
        <f>"ACCT#BAST676/PCT#4"</f>
        <v>ACCT#BAST676/PCT#4</v>
      </c>
      <c r="G481" s="2">
        <v>128.85</v>
      </c>
      <c r="H481" t="str">
        <f>"ACCT#BAST676/PCT#4"</f>
        <v>ACCT#BAST676/PCT#4</v>
      </c>
    </row>
    <row r="482" spans="1:8" x14ac:dyDescent="0.25">
      <c r="A482" t="s">
        <v>111</v>
      </c>
      <c r="B482">
        <v>82496</v>
      </c>
      <c r="C482" s="2">
        <v>75</v>
      </c>
      <c r="D482" s="1">
        <v>43626</v>
      </c>
      <c r="E482" t="str">
        <f>"13116"</f>
        <v>13116</v>
      </c>
      <c r="F482" t="str">
        <f>"SERVICE"</f>
        <v>SERVICE</v>
      </c>
      <c r="G482" s="2">
        <v>75</v>
      </c>
      <c r="H482" t="str">
        <f>"SERVICE"</f>
        <v>SERVICE</v>
      </c>
    </row>
    <row r="483" spans="1:8" x14ac:dyDescent="0.25">
      <c r="A483" t="s">
        <v>112</v>
      </c>
      <c r="B483">
        <v>82667</v>
      </c>
      <c r="C483" s="2">
        <v>720</v>
      </c>
      <c r="D483" s="1">
        <v>43640</v>
      </c>
      <c r="E483" t="str">
        <f>"I-00091178"</f>
        <v>I-00091178</v>
      </c>
      <c r="F483" t="str">
        <f>"Cradlepoint renewal"</f>
        <v>Cradlepoint renewal</v>
      </c>
      <c r="G483" s="2">
        <v>720</v>
      </c>
      <c r="H483" t="str">
        <f>"Cradlepoint renewal"</f>
        <v>Cradlepoint renewal</v>
      </c>
    </row>
    <row r="484" spans="1:8" x14ac:dyDescent="0.25">
      <c r="E484" t="str">
        <f>""</f>
        <v/>
      </c>
      <c r="F484" t="str">
        <f>""</f>
        <v/>
      </c>
      <c r="H484" t="str">
        <f>"Cradlepoint renewal"</f>
        <v>Cradlepoint renewal</v>
      </c>
    </row>
    <row r="485" spans="1:8" x14ac:dyDescent="0.25">
      <c r="A485" t="s">
        <v>113</v>
      </c>
      <c r="B485">
        <v>82497</v>
      </c>
      <c r="C485" s="2">
        <v>1500</v>
      </c>
      <c r="D485" s="1">
        <v>43626</v>
      </c>
      <c r="E485" t="str">
        <f>"201906059688"</f>
        <v>201906059688</v>
      </c>
      <c r="F485" t="str">
        <f>"MAY INVOICE"</f>
        <v>MAY INVOICE</v>
      </c>
      <c r="G485" s="2">
        <v>1500</v>
      </c>
      <c r="H485" t="str">
        <f>"MAY INVOICE"</f>
        <v>MAY INVOICE</v>
      </c>
    </row>
    <row r="486" spans="1:8" x14ac:dyDescent="0.25">
      <c r="A486" t="s">
        <v>114</v>
      </c>
      <c r="B486">
        <v>82498</v>
      </c>
      <c r="C486" s="2">
        <v>160</v>
      </c>
      <c r="D486" s="1">
        <v>43626</v>
      </c>
      <c r="E486" t="str">
        <f>"12122"</f>
        <v>12122</v>
      </c>
      <c r="F486" t="str">
        <f>"SERVICE"</f>
        <v>SERVICE</v>
      </c>
      <c r="G486" s="2">
        <v>160</v>
      </c>
      <c r="H486" t="str">
        <f>"SERVICE"</f>
        <v>SERVICE</v>
      </c>
    </row>
    <row r="487" spans="1:8" x14ac:dyDescent="0.25">
      <c r="A487" t="s">
        <v>114</v>
      </c>
      <c r="B487">
        <v>82668</v>
      </c>
      <c r="C487" s="2">
        <v>80</v>
      </c>
      <c r="D487" s="1">
        <v>43640</v>
      </c>
      <c r="E487" t="str">
        <f>"12718"</f>
        <v>12718</v>
      </c>
      <c r="F487" t="str">
        <f>"SERVICE  04/04/19"</f>
        <v>SERVICE  04/04/19</v>
      </c>
      <c r="G487" s="2">
        <v>80</v>
      </c>
      <c r="H487" t="str">
        <f>"SERVICE  04/04/19"</f>
        <v>SERVICE  04/04/19</v>
      </c>
    </row>
    <row r="488" spans="1:8" x14ac:dyDescent="0.25">
      <c r="A488" t="s">
        <v>115</v>
      </c>
      <c r="B488">
        <v>82669</v>
      </c>
      <c r="C488" s="2">
        <v>960</v>
      </c>
      <c r="D488" s="1">
        <v>43640</v>
      </c>
      <c r="E488" t="str">
        <f>"201906180039"</f>
        <v>201906180039</v>
      </c>
      <c r="F488" t="str">
        <f>"TRAINING"</f>
        <v>TRAINING</v>
      </c>
      <c r="G488" s="2">
        <v>960</v>
      </c>
      <c r="H488" t="str">
        <f>"TRAINING"</f>
        <v>TRAINING</v>
      </c>
    </row>
    <row r="489" spans="1:8" x14ac:dyDescent="0.25">
      <c r="A489" t="s">
        <v>116</v>
      </c>
      <c r="B489">
        <v>82670</v>
      </c>
      <c r="C489" s="2">
        <v>50</v>
      </c>
      <c r="D489" s="1">
        <v>43640</v>
      </c>
      <c r="E489" t="str">
        <f>"201906200064"</f>
        <v>201906200064</v>
      </c>
      <c r="F489" t="str">
        <f>"FERAL HOGS"</f>
        <v>FERAL HOGS</v>
      </c>
      <c r="G489" s="2">
        <v>50</v>
      </c>
      <c r="H489" t="str">
        <f>"FERAL HOGS"</f>
        <v>FERAL HOGS</v>
      </c>
    </row>
    <row r="490" spans="1:8" x14ac:dyDescent="0.25">
      <c r="A490" t="s">
        <v>117</v>
      </c>
      <c r="B490">
        <v>82499</v>
      </c>
      <c r="C490" s="2">
        <v>100</v>
      </c>
      <c r="D490" s="1">
        <v>43626</v>
      </c>
      <c r="E490" t="str">
        <f>"201906059680"</f>
        <v>201906059680</v>
      </c>
      <c r="F490" t="str">
        <f>"CONSULT SVCS-MAY 2019"</f>
        <v>CONSULT SVCS-MAY 2019</v>
      </c>
      <c r="G490" s="2">
        <v>100</v>
      </c>
      <c r="H490" t="str">
        <f>"CONSULT SVCS-MAY 2019"</f>
        <v>CONSULT SVCS-MAY 2019</v>
      </c>
    </row>
    <row r="491" spans="1:8" x14ac:dyDescent="0.25">
      <c r="A491" t="s">
        <v>118</v>
      </c>
      <c r="B491">
        <v>888</v>
      </c>
      <c r="C491" s="2">
        <v>545</v>
      </c>
      <c r="D491" s="1">
        <v>43627</v>
      </c>
      <c r="E491" t="str">
        <f>"201906049656"</f>
        <v>201906049656</v>
      </c>
      <c r="F491" t="str">
        <f>"18-19306"</f>
        <v>18-19306</v>
      </c>
      <c r="G491" s="2">
        <v>75</v>
      </c>
      <c r="H491" t="str">
        <f>"18-19306"</f>
        <v>18-19306</v>
      </c>
    </row>
    <row r="492" spans="1:8" x14ac:dyDescent="0.25">
      <c r="E492" t="str">
        <f>"201906049657"</f>
        <v>201906049657</v>
      </c>
      <c r="F492" t="str">
        <f>"18-19392"</f>
        <v>18-19392</v>
      </c>
      <c r="G492" s="2">
        <v>302.5</v>
      </c>
      <c r="H492" t="str">
        <f>"18-19392"</f>
        <v>18-19392</v>
      </c>
    </row>
    <row r="493" spans="1:8" x14ac:dyDescent="0.25">
      <c r="E493" t="str">
        <f>"201906049658"</f>
        <v>201906049658</v>
      </c>
      <c r="F493" t="str">
        <f>"15-17513"</f>
        <v>15-17513</v>
      </c>
      <c r="G493" s="2">
        <v>167.5</v>
      </c>
      <c r="H493" t="str">
        <f>"15-17513"</f>
        <v>15-17513</v>
      </c>
    </row>
    <row r="494" spans="1:8" x14ac:dyDescent="0.25">
      <c r="A494" t="s">
        <v>118</v>
      </c>
      <c r="B494">
        <v>944</v>
      </c>
      <c r="C494" s="2">
        <v>665</v>
      </c>
      <c r="D494" s="1">
        <v>43641</v>
      </c>
      <c r="E494" t="str">
        <f>"201906129807"</f>
        <v>201906129807</v>
      </c>
      <c r="F494" t="str">
        <f>"18-19190"</f>
        <v>18-19190</v>
      </c>
      <c r="G494" s="2">
        <v>100</v>
      </c>
      <c r="H494" t="str">
        <f>"18-19190"</f>
        <v>18-19190</v>
      </c>
    </row>
    <row r="495" spans="1:8" x14ac:dyDescent="0.25">
      <c r="E495" t="str">
        <f>"201906189983"</f>
        <v>201906189983</v>
      </c>
      <c r="F495" t="str">
        <f>"18-18864"</f>
        <v>18-18864</v>
      </c>
      <c r="G495" s="2">
        <v>565</v>
      </c>
      <c r="H495" t="str">
        <f>"18-18864"</f>
        <v>18-18864</v>
      </c>
    </row>
    <row r="496" spans="1:8" x14ac:dyDescent="0.25">
      <c r="A496" t="s">
        <v>119</v>
      </c>
      <c r="B496">
        <v>82500</v>
      </c>
      <c r="C496" s="2">
        <v>473</v>
      </c>
      <c r="D496" s="1">
        <v>43626</v>
      </c>
      <c r="E496" t="str">
        <f>"135845"</f>
        <v>135845</v>
      </c>
      <c r="F496" t="str">
        <f>"INV 135845"</f>
        <v>INV 135845</v>
      </c>
      <c r="G496" s="2">
        <v>473</v>
      </c>
      <c r="H496" t="str">
        <f>"INV 135845"</f>
        <v>INV 135845</v>
      </c>
    </row>
    <row r="497" spans="1:8" x14ac:dyDescent="0.25">
      <c r="A497" t="s">
        <v>120</v>
      </c>
      <c r="B497">
        <v>82501</v>
      </c>
      <c r="C497" s="2">
        <v>12789.2</v>
      </c>
      <c r="D497" s="1">
        <v>43626</v>
      </c>
      <c r="E497" t="str">
        <f>"10317204102"</f>
        <v>10317204102</v>
      </c>
      <c r="F497" t="str">
        <f>"Computers for Communicati"</f>
        <v>Computers for Communicati</v>
      </c>
      <c r="G497" s="2">
        <v>9936.16</v>
      </c>
      <c r="H497" t="str">
        <f>"Preceision 3630 Towe"</f>
        <v>Preceision 3630 Towe</v>
      </c>
    </row>
    <row r="498" spans="1:8" x14ac:dyDescent="0.25">
      <c r="E498" t="str">
        <f>""</f>
        <v/>
      </c>
      <c r="F498" t="str">
        <f>""</f>
        <v/>
      </c>
      <c r="H498" t="str">
        <f>"Monitor"</f>
        <v>Monitor</v>
      </c>
    </row>
    <row r="499" spans="1:8" x14ac:dyDescent="0.25">
      <c r="E499" t="str">
        <f>""</f>
        <v/>
      </c>
      <c r="F499" t="str">
        <f>""</f>
        <v/>
      </c>
      <c r="H499" t="str">
        <f>"Keyboar"</f>
        <v>Keyboar</v>
      </c>
    </row>
    <row r="500" spans="1:8" x14ac:dyDescent="0.25">
      <c r="E500" t="str">
        <f>""</f>
        <v/>
      </c>
      <c r="F500" t="str">
        <f>""</f>
        <v/>
      </c>
      <c r="H500" t="str">
        <f>"Sound Bar"</f>
        <v>Sound Bar</v>
      </c>
    </row>
    <row r="501" spans="1:8" x14ac:dyDescent="0.25">
      <c r="E501" t="str">
        <f>"10317441574"</f>
        <v>10317441574</v>
      </c>
      <c r="F501" t="str">
        <f>"Monitor &amp; Dock for Heathe"</f>
        <v>Monitor &amp; Dock for Heathe</v>
      </c>
      <c r="G501" s="2">
        <v>553.85</v>
      </c>
      <c r="H501" t="str">
        <f>"Dell Part# : 452-BBP"</f>
        <v>Dell Part# : 452-BBP</v>
      </c>
    </row>
    <row r="502" spans="1:8" x14ac:dyDescent="0.25">
      <c r="E502" t="str">
        <f>""</f>
        <v/>
      </c>
      <c r="F502" t="str">
        <f>""</f>
        <v/>
      </c>
      <c r="H502" t="str">
        <f>"Discount"</f>
        <v>Discount</v>
      </c>
    </row>
    <row r="503" spans="1:8" x14ac:dyDescent="0.25">
      <c r="E503" t="str">
        <f>""</f>
        <v/>
      </c>
      <c r="F503" t="str">
        <f>""</f>
        <v/>
      </c>
      <c r="H503" t="str">
        <f>"Dell 24 Monitor - P2"</f>
        <v>Dell 24 Monitor - P2</v>
      </c>
    </row>
    <row r="504" spans="1:8" x14ac:dyDescent="0.25">
      <c r="E504" t="str">
        <f>""</f>
        <v/>
      </c>
      <c r="F504" t="str">
        <f>""</f>
        <v/>
      </c>
      <c r="H504" t="str">
        <f>"Discount"</f>
        <v>Discount</v>
      </c>
    </row>
    <row r="505" spans="1:8" x14ac:dyDescent="0.25">
      <c r="E505" t="str">
        <f>"10317669359"</f>
        <v>10317669359</v>
      </c>
      <c r="F505" t="str">
        <f>"Quote number: 10283505184"</f>
        <v>Quote number: 10283505184</v>
      </c>
      <c r="G505" s="2">
        <v>1288.29</v>
      </c>
      <c r="H505" t="str">
        <f>"Dell 24 Monitor - P2"</f>
        <v>Dell 24 Monitor - P2</v>
      </c>
    </row>
    <row r="506" spans="1:8" x14ac:dyDescent="0.25">
      <c r="E506" t="str">
        <f>""</f>
        <v/>
      </c>
      <c r="F506" t="str">
        <f>""</f>
        <v/>
      </c>
      <c r="H506" t="str">
        <f>"Discount"</f>
        <v>Discount</v>
      </c>
    </row>
    <row r="507" spans="1:8" x14ac:dyDescent="0.25">
      <c r="E507" t="str">
        <f>""</f>
        <v/>
      </c>
      <c r="F507" t="str">
        <f>""</f>
        <v/>
      </c>
      <c r="H507" t="str">
        <f>"Dell Business Dock -"</f>
        <v>Dell Business Dock -</v>
      </c>
    </row>
    <row r="508" spans="1:8" x14ac:dyDescent="0.25">
      <c r="E508" t="str">
        <f>""</f>
        <v/>
      </c>
      <c r="F508" t="str">
        <f>""</f>
        <v/>
      </c>
      <c r="H508" t="str">
        <f>"Discount"</f>
        <v>Discount</v>
      </c>
    </row>
    <row r="509" spans="1:8" x14ac:dyDescent="0.25">
      <c r="E509" t="str">
        <f>""</f>
        <v/>
      </c>
      <c r="F509" t="str">
        <f>""</f>
        <v/>
      </c>
      <c r="H509" t="str">
        <f>"Dell Latitude 5590"</f>
        <v>Dell Latitude 5590</v>
      </c>
    </row>
    <row r="510" spans="1:8" x14ac:dyDescent="0.25">
      <c r="E510" t="str">
        <f>""</f>
        <v/>
      </c>
      <c r="F510" t="str">
        <f>""</f>
        <v/>
      </c>
      <c r="H510" t="str">
        <f>"Discount"</f>
        <v>Discount</v>
      </c>
    </row>
    <row r="511" spans="1:8" x14ac:dyDescent="0.25">
      <c r="E511" t="str">
        <f>"10318855816"</f>
        <v>10318855816</v>
      </c>
      <c r="F511" t="str">
        <f>"IT Desktop"</f>
        <v>IT Desktop</v>
      </c>
      <c r="G511" s="2">
        <v>1010.9</v>
      </c>
      <c r="H511" t="str">
        <f>"OptiPlex 7060 Micro"</f>
        <v>OptiPlex 7060 Micro</v>
      </c>
    </row>
    <row r="512" spans="1:8" x14ac:dyDescent="0.25">
      <c r="E512" t="str">
        <f>""</f>
        <v/>
      </c>
      <c r="F512" t="str">
        <f>""</f>
        <v/>
      </c>
      <c r="H512" t="str">
        <f>"Discount"</f>
        <v>Discount</v>
      </c>
    </row>
    <row r="513" spans="1:8" x14ac:dyDescent="0.25">
      <c r="A513" t="s">
        <v>120</v>
      </c>
      <c r="B513">
        <v>82671</v>
      </c>
      <c r="C513" s="2">
        <v>1434.34</v>
      </c>
      <c r="D513" s="1">
        <v>43640</v>
      </c>
      <c r="E513" t="str">
        <f>"10309308506"</f>
        <v>10309308506</v>
      </c>
      <c r="F513" t="str">
        <f>"Dell Memory Upgrade 8GB"</f>
        <v>Dell Memory Upgrade 8GB</v>
      </c>
      <c r="G513" s="2">
        <v>131.66999999999999</v>
      </c>
      <c r="H513" t="str">
        <f>"Part# A7022339"</f>
        <v>Part# A7022339</v>
      </c>
    </row>
    <row r="514" spans="1:8" x14ac:dyDescent="0.25">
      <c r="E514" t="str">
        <f>""</f>
        <v/>
      </c>
      <c r="F514" t="str">
        <f>""</f>
        <v/>
      </c>
      <c r="H514" t="str">
        <f>"Discount"</f>
        <v>Discount</v>
      </c>
    </row>
    <row r="515" spans="1:8" x14ac:dyDescent="0.25">
      <c r="E515" t="str">
        <f>"10320210769"</f>
        <v>10320210769</v>
      </c>
      <c r="F515" t="str">
        <f>"Monitor for JP1"</f>
        <v>Monitor for JP1</v>
      </c>
      <c r="G515" s="2">
        <v>178.09</v>
      </c>
      <c r="H515" t="str">
        <f>"Dell 23 Monitor – P2"</f>
        <v>Dell 23 Monitor – P2</v>
      </c>
    </row>
    <row r="516" spans="1:8" x14ac:dyDescent="0.25">
      <c r="E516" t="str">
        <f>""</f>
        <v/>
      </c>
      <c r="F516" t="str">
        <f>""</f>
        <v/>
      </c>
      <c r="H516" t="str">
        <f>"Discount"</f>
        <v>Discount</v>
      </c>
    </row>
    <row r="517" spans="1:8" x14ac:dyDescent="0.25">
      <c r="E517" t="str">
        <f>"10320503404"</f>
        <v>10320503404</v>
      </c>
      <c r="F517" t="str">
        <f>"Laptop for Elections"</f>
        <v>Laptop for Elections</v>
      </c>
      <c r="G517" s="2">
        <v>1124.58</v>
      </c>
      <c r="H517" t="str">
        <f>"Dell Latitude 5500"</f>
        <v>Dell Latitude 5500</v>
      </c>
    </row>
    <row r="518" spans="1:8" x14ac:dyDescent="0.25">
      <c r="A518" t="s">
        <v>121</v>
      </c>
      <c r="B518">
        <v>82672</v>
      </c>
      <c r="C518" s="2">
        <v>345</v>
      </c>
      <c r="D518" s="1">
        <v>43640</v>
      </c>
      <c r="E518" t="str">
        <f>"201906180033"</f>
        <v>201906180033</v>
      </c>
      <c r="F518" t="str">
        <f>"SANE EXAM 19-S-02950"</f>
        <v>SANE EXAM 19-S-02950</v>
      </c>
      <c r="G518" s="2">
        <v>40</v>
      </c>
      <c r="H518" t="str">
        <f>"SANE EXAM 19-S-02950"</f>
        <v>SANE EXAM 19-S-02950</v>
      </c>
    </row>
    <row r="519" spans="1:8" x14ac:dyDescent="0.25">
      <c r="E519" t="str">
        <f>"201906180034"</f>
        <v>201906180034</v>
      </c>
      <c r="F519" t="str">
        <f>"SANE EXAM 19-S-01827"</f>
        <v>SANE EXAM 19-S-01827</v>
      </c>
      <c r="G519" s="2">
        <v>40</v>
      </c>
      <c r="H519" t="str">
        <f>"SANE EXAM 19-S-01827"</f>
        <v>SANE EXAM 19-S-01827</v>
      </c>
    </row>
    <row r="520" spans="1:8" x14ac:dyDescent="0.25">
      <c r="E520" t="str">
        <f>"201906180035"</f>
        <v>201906180035</v>
      </c>
      <c r="F520" t="str">
        <f>"SANE EXAM 19-S-02297"</f>
        <v>SANE EXAM 19-S-02297</v>
      </c>
      <c r="G520" s="2">
        <v>265</v>
      </c>
      <c r="H520" t="str">
        <f>"SANE EXAM 19-S-02297"</f>
        <v>SANE EXAM 19-S-02297</v>
      </c>
    </row>
    <row r="521" spans="1:8" x14ac:dyDescent="0.25">
      <c r="A521" t="s">
        <v>122</v>
      </c>
      <c r="B521">
        <v>975</v>
      </c>
      <c r="C521" s="2">
        <v>2260</v>
      </c>
      <c r="D521" s="1">
        <v>43641</v>
      </c>
      <c r="E521" t="str">
        <f>"BATX016139"</f>
        <v>BATX016139</v>
      </c>
      <c r="F521" t="str">
        <f>"INV BATX016139"</f>
        <v>INV BATX016139</v>
      </c>
      <c r="G521" s="2">
        <v>2260</v>
      </c>
      <c r="H521" t="str">
        <f>"INV BATX016139"</f>
        <v>INV BATX016139</v>
      </c>
    </row>
    <row r="522" spans="1:8" x14ac:dyDescent="0.25">
      <c r="A522" t="s">
        <v>123</v>
      </c>
      <c r="B522">
        <v>82673</v>
      </c>
      <c r="C522" s="2">
        <v>150</v>
      </c>
      <c r="D522" s="1">
        <v>43640</v>
      </c>
      <c r="E522" t="str">
        <f>"201906189990"</f>
        <v>201906189990</v>
      </c>
      <c r="F522" t="str">
        <f>"REFUND-MOBILE FOOD PERMIT"</f>
        <v>REFUND-MOBILE FOOD PERMIT</v>
      </c>
      <c r="G522" s="2">
        <v>150</v>
      </c>
      <c r="H522" t="str">
        <f>"REFUND-MOBILE FOOD PERMIT"</f>
        <v>REFUND-MOBILE FOOD PERMIT</v>
      </c>
    </row>
    <row r="523" spans="1:8" x14ac:dyDescent="0.25">
      <c r="A523" t="s">
        <v>124</v>
      </c>
      <c r="B523">
        <v>82502</v>
      </c>
      <c r="C523" s="2">
        <v>160.4</v>
      </c>
      <c r="D523" s="1">
        <v>43626</v>
      </c>
      <c r="E523" t="str">
        <f>"25516"</f>
        <v>25516</v>
      </c>
      <c r="F523" t="str">
        <f>"DUPLICATE KEYS/JP1"</f>
        <v>DUPLICATE KEYS/JP1</v>
      </c>
      <c r="G523" s="2">
        <v>13.5</v>
      </c>
      <c r="H523" t="str">
        <f>"DUPLICATE KEYS/JP1"</f>
        <v>DUPLICATE KEYS/JP1</v>
      </c>
    </row>
    <row r="524" spans="1:8" x14ac:dyDescent="0.25">
      <c r="E524" t="str">
        <f>"25545"</f>
        <v>25545</v>
      </c>
      <c r="F524" t="str">
        <f>"DUPLICATE KEYS/AGRILIFE/P1"</f>
        <v>DUPLICATE KEYS/AGRILIFE/P1</v>
      </c>
      <c r="G524" s="2">
        <v>31.5</v>
      </c>
      <c r="H524" t="str">
        <f>"DUPLICATE KEYS/AGRILIFE/P1"</f>
        <v>DUPLICATE KEYS/AGRILIFE/P1</v>
      </c>
    </row>
    <row r="525" spans="1:8" x14ac:dyDescent="0.25">
      <c r="E525" t="str">
        <f>"25555"</f>
        <v>25555</v>
      </c>
      <c r="F525" t="str">
        <f>"INV 25555"</f>
        <v>INV 25555</v>
      </c>
      <c r="G525" s="2">
        <v>115.4</v>
      </c>
      <c r="H525" t="str">
        <f>"INV 25555"</f>
        <v>INV 25555</v>
      </c>
    </row>
    <row r="526" spans="1:8" x14ac:dyDescent="0.25">
      <c r="A526" t="s">
        <v>125</v>
      </c>
      <c r="B526">
        <v>82674</v>
      </c>
      <c r="C526" s="2">
        <v>25</v>
      </c>
      <c r="D526" s="1">
        <v>43640</v>
      </c>
      <c r="E526" t="str">
        <f>"201906189991"</f>
        <v>201906189991</v>
      </c>
      <c r="F526" t="str">
        <f>"REFUND-DRIVEWAY PERMIT"</f>
        <v>REFUND-DRIVEWAY PERMIT</v>
      </c>
      <c r="G526" s="2">
        <v>25</v>
      </c>
      <c r="H526" t="str">
        <f>"REFUND-DRIVEWAY PERMIT"</f>
        <v>REFUND-DRIVEWAY PERMIT</v>
      </c>
    </row>
    <row r="527" spans="1:8" x14ac:dyDescent="0.25">
      <c r="A527" t="s">
        <v>126</v>
      </c>
      <c r="B527">
        <v>82503</v>
      </c>
      <c r="C527" s="2">
        <v>337.7</v>
      </c>
      <c r="D527" s="1">
        <v>43626</v>
      </c>
      <c r="E527" t="str">
        <f>"1611"</f>
        <v>1611</v>
      </c>
      <c r="F527" t="str">
        <f>"INV 1611"</f>
        <v>INV 1611</v>
      </c>
      <c r="G527" s="2">
        <v>337.7</v>
      </c>
      <c r="H527" t="str">
        <f>"INV 1611 - K9"</f>
        <v>INV 1611 - K9</v>
      </c>
    </row>
    <row r="528" spans="1:8" x14ac:dyDescent="0.25">
      <c r="E528" t="str">
        <f>""</f>
        <v/>
      </c>
      <c r="F528" t="str">
        <f>""</f>
        <v/>
      </c>
      <c r="H528" t="str">
        <f>"INV 1611 - ESTRAY"</f>
        <v>INV 1611 - ESTRAY</v>
      </c>
    </row>
    <row r="529" spans="1:8" x14ac:dyDescent="0.25">
      <c r="A529" t="s">
        <v>127</v>
      </c>
      <c r="B529">
        <v>82504</v>
      </c>
      <c r="C529" s="2">
        <v>159.76</v>
      </c>
      <c r="D529" s="1">
        <v>43626</v>
      </c>
      <c r="E529" t="str">
        <f>"2787113"</f>
        <v>2787113</v>
      </c>
      <c r="F529" t="str">
        <f>"INV 2787113 / unit 8427"</f>
        <v>INV 2787113 / unit 8427</v>
      </c>
      <c r="G529" s="2">
        <v>159.76</v>
      </c>
      <c r="H529" t="str">
        <f>"INV 2787113"</f>
        <v>INV 2787113</v>
      </c>
    </row>
    <row r="530" spans="1:8" x14ac:dyDescent="0.25">
      <c r="A530" t="s">
        <v>127</v>
      </c>
      <c r="B530">
        <v>82675</v>
      </c>
      <c r="C530" s="2">
        <v>93.27</v>
      </c>
      <c r="D530" s="1">
        <v>43640</v>
      </c>
      <c r="E530" t="str">
        <f>"2789937"</f>
        <v>2789937</v>
      </c>
      <c r="F530" t="str">
        <f>"ACCT#27917/2009 FORD F150"</f>
        <v>ACCT#27917/2009 FORD F150</v>
      </c>
      <c r="G530" s="2">
        <v>93.27</v>
      </c>
      <c r="H530" t="str">
        <f>"ACCT#27917/2009 FORD F150"</f>
        <v>ACCT#27917/2009 FORD F150</v>
      </c>
    </row>
    <row r="531" spans="1:8" x14ac:dyDescent="0.25">
      <c r="A531" t="s">
        <v>128</v>
      </c>
      <c r="B531">
        <v>82676</v>
      </c>
      <c r="C531" s="2">
        <v>887.55</v>
      </c>
      <c r="D531" s="1">
        <v>43640</v>
      </c>
      <c r="E531" t="str">
        <f>"201906179925"</f>
        <v>201906179925</v>
      </c>
      <c r="F531" t="str">
        <f>"REIMBURSE MEALS/HOTEL"</f>
        <v>REIMBURSE MEALS/HOTEL</v>
      </c>
      <c r="G531" s="2">
        <v>887.55</v>
      </c>
      <c r="H531" t="str">
        <f>"REIMBURSE MEALS/HOTEL"</f>
        <v>REIMBURSE MEALS/HOTEL</v>
      </c>
    </row>
    <row r="532" spans="1:8" x14ac:dyDescent="0.25">
      <c r="A532" t="s">
        <v>129</v>
      </c>
      <c r="B532">
        <v>82841</v>
      </c>
      <c r="C532" s="2">
        <v>749.4</v>
      </c>
      <c r="D532" s="1">
        <v>43642</v>
      </c>
      <c r="E532" t="str">
        <f>"201906260107"</f>
        <v>201906260107</v>
      </c>
      <c r="F532" t="str">
        <f>"ACCT#405900029213 / 07012019"</f>
        <v>ACCT#405900029213 / 07012019</v>
      </c>
      <c r="G532" s="2">
        <v>374.7</v>
      </c>
      <c r="H532" t="str">
        <f>"ACCT#405900029213 / 07012019"</f>
        <v>ACCT#405900029213 / 07012019</v>
      </c>
    </row>
    <row r="533" spans="1:8" x14ac:dyDescent="0.25">
      <c r="E533" t="str">
        <f>"201906260108"</f>
        <v>201906260108</v>
      </c>
      <c r="F533" t="str">
        <f>"ACCT#405900029225 / 07012019"</f>
        <v>ACCT#405900029225 / 07012019</v>
      </c>
      <c r="G533" s="2">
        <v>187.35</v>
      </c>
      <c r="H533" t="str">
        <f>"ACCT#405900029225 / 07012019"</f>
        <v>ACCT#405900029225 / 07012019</v>
      </c>
    </row>
    <row r="534" spans="1:8" x14ac:dyDescent="0.25">
      <c r="E534" t="str">
        <f>"201906260109"</f>
        <v>201906260109</v>
      </c>
      <c r="F534" t="str">
        <f>"ACCT#405900028789 / 07012019"</f>
        <v>ACCT#405900028789 / 07012019</v>
      </c>
      <c r="G534" s="2">
        <v>187.35</v>
      </c>
      <c r="H534" t="str">
        <f>"ACCT#405900028789 / 07012019"</f>
        <v>ACCT#405900028789 / 07012019</v>
      </c>
    </row>
    <row r="535" spans="1:8" x14ac:dyDescent="0.25">
      <c r="A535" t="s">
        <v>130</v>
      </c>
      <c r="B535">
        <v>959</v>
      </c>
      <c r="C535" s="2">
        <v>1302.9000000000001</v>
      </c>
      <c r="D535" s="1">
        <v>43641</v>
      </c>
      <c r="E535" t="str">
        <f>"29025A"</f>
        <v>29025A</v>
      </c>
      <c r="F535" t="str">
        <f>"INV 29025A"</f>
        <v>INV 29025A</v>
      </c>
      <c r="G535" s="2">
        <v>1302.9000000000001</v>
      </c>
      <c r="H535" t="str">
        <f>"INV 29025A"</f>
        <v>INV 29025A</v>
      </c>
    </row>
    <row r="536" spans="1:8" x14ac:dyDescent="0.25">
      <c r="A536" t="s">
        <v>131</v>
      </c>
      <c r="B536">
        <v>926</v>
      </c>
      <c r="C536" s="2">
        <v>2475</v>
      </c>
      <c r="D536" s="1">
        <v>43627</v>
      </c>
      <c r="E536" t="str">
        <f>"201906049644"</f>
        <v>201906049644</v>
      </c>
      <c r="F536" t="str">
        <f>"18-18960"</f>
        <v>18-18960</v>
      </c>
      <c r="G536" s="2">
        <v>100</v>
      </c>
      <c r="H536" t="str">
        <f>"18-18960"</f>
        <v>18-18960</v>
      </c>
    </row>
    <row r="537" spans="1:8" x14ac:dyDescent="0.25">
      <c r="E537" t="str">
        <f>"201906049645"</f>
        <v>201906049645</v>
      </c>
      <c r="F537" t="str">
        <f>"19-19537"</f>
        <v>19-19537</v>
      </c>
      <c r="G537" s="2">
        <v>325</v>
      </c>
      <c r="H537" t="str">
        <f>"19-19537"</f>
        <v>19-19537</v>
      </c>
    </row>
    <row r="538" spans="1:8" x14ac:dyDescent="0.25">
      <c r="E538" t="str">
        <f>"201906049646"</f>
        <v>201906049646</v>
      </c>
      <c r="F538" t="str">
        <f>"18-19291"</f>
        <v>18-19291</v>
      </c>
      <c r="G538" s="2">
        <v>100</v>
      </c>
      <c r="H538" t="str">
        <f>"18-19291"</f>
        <v>18-19291</v>
      </c>
    </row>
    <row r="539" spans="1:8" x14ac:dyDescent="0.25">
      <c r="E539" t="str">
        <f>"201906049648"</f>
        <v>201906049648</v>
      </c>
      <c r="F539" t="str">
        <f>"19-19628"</f>
        <v>19-19628</v>
      </c>
      <c r="G539" s="2">
        <v>187.5</v>
      </c>
      <c r="H539" t="str">
        <f>"19-19628"</f>
        <v>19-19628</v>
      </c>
    </row>
    <row r="540" spans="1:8" x14ac:dyDescent="0.25">
      <c r="E540" t="str">
        <f>"201906049649"</f>
        <v>201906049649</v>
      </c>
      <c r="F540" t="str">
        <f>"18-19166"</f>
        <v>18-19166</v>
      </c>
      <c r="G540" s="2">
        <v>175</v>
      </c>
      <c r="H540" t="str">
        <f>"18-19166"</f>
        <v>18-19166</v>
      </c>
    </row>
    <row r="541" spans="1:8" x14ac:dyDescent="0.25">
      <c r="E541" t="str">
        <f>"201906049650"</f>
        <v>201906049650</v>
      </c>
      <c r="F541" t="str">
        <f>"18-19166"</f>
        <v>18-19166</v>
      </c>
      <c r="G541" s="2">
        <v>287.5</v>
      </c>
      <c r="H541" t="str">
        <f>"18-19166"</f>
        <v>18-19166</v>
      </c>
    </row>
    <row r="542" spans="1:8" x14ac:dyDescent="0.25">
      <c r="E542" t="str">
        <f>"201906049651"</f>
        <v>201906049651</v>
      </c>
      <c r="F542" t="str">
        <f>"304232019C 304232019D 30423201"</f>
        <v>304232019C 304232019D 30423201</v>
      </c>
      <c r="G542" s="2">
        <v>300</v>
      </c>
      <c r="H542" t="str">
        <f>"304232019C 304232019D 30423201"</f>
        <v>304232019C 304232019D 30423201</v>
      </c>
    </row>
    <row r="543" spans="1:8" x14ac:dyDescent="0.25">
      <c r="E543" t="str">
        <f>"201906049652"</f>
        <v>201906049652</v>
      </c>
      <c r="F543" t="str">
        <f>"C190038  WRIT#19-19664"</f>
        <v>C190038  WRIT#19-19664</v>
      </c>
      <c r="G543" s="2">
        <v>100</v>
      </c>
      <c r="H543" t="str">
        <f>"C190038  WRIT#19-19664"</f>
        <v>C190038  WRIT#19-19664</v>
      </c>
    </row>
    <row r="544" spans="1:8" x14ac:dyDescent="0.25">
      <c r="E544" t="str">
        <f>"201906049653"</f>
        <v>201906049653</v>
      </c>
      <c r="F544" t="str">
        <f>"JP1051120019H/J/L/F"</f>
        <v>JP1051120019H/J/L/F</v>
      </c>
      <c r="G544" s="2">
        <v>400</v>
      </c>
      <c r="H544" t="str">
        <f>"JP1051120019H/J/L/F"</f>
        <v>JP1051120019H/J/L/F</v>
      </c>
    </row>
    <row r="545" spans="1:8" x14ac:dyDescent="0.25">
      <c r="E545" t="str">
        <f>"201906049654"</f>
        <v>201906049654</v>
      </c>
      <c r="F545" t="str">
        <f>"52047"</f>
        <v>52047</v>
      </c>
      <c r="G545" s="2">
        <v>250</v>
      </c>
      <c r="H545" t="str">
        <f>"52047"</f>
        <v>52047</v>
      </c>
    </row>
    <row r="546" spans="1:8" x14ac:dyDescent="0.25">
      <c r="E546" t="str">
        <f>"201906049655"</f>
        <v>201906049655</v>
      </c>
      <c r="F546" t="str">
        <f>"30322019H"</f>
        <v>30322019H</v>
      </c>
      <c r="G546" s="2">
        <v>250</v>
      </c>
      <c r="H546" t="str">
        <f>"30322019H"</f>
        <v>30322019H</v>
      </c>
    </row>
    <row r="547" spans="1:8" x14ac:dyDescent="0.25">
      <c r="A547" t="s">
        <v>131</v>
      </c>
      <c r="B547">
        <v>1003</v>
      </c>
      <c r="C547" s="2">
        <v>5337.5</v>
      </c>
      <c r="D547" s="1">
        <v>43641</v>
      </c>
      <c r="E547" t="str">
        <f>"201906129784"</f>
        <v>201906129784</v>
      </c>
      <c r="F547" t="str">
        <f>"312282018J"</f>
        <v>312282018J</v>
      </c>
      <c r="G547" s="2">
        <v>250</v>
      </c>
      <c r="H547" t="str">
        <f>"312282018J"</f>
        <v>312282018J</v>
      </c>
    </row>
    <row r="548" spans="1:8" x14ac:dyDescent="0.25">
      <c r="E548" t="str">
        <f>"201906129785"</f>
        <v>201906129785</v>
      </c>
      <c r="F548" t="str">
        <f>"17-18764"</f>
        <v>17-18764</v>
      </c>
      <c r="G548" s="2">
        <v>137.5</v>
      </c>
      <c r="H548" t="str">
        <f>"17-18764"</f>
        <v>17-18764</v>
      </c>
    </row>
    <row r="549" spans="1:8" x14ac:dyDescent="0.25">
      <c r="E549" t="str">
        <f>"201906179910"</f>
        <v>201906179910</v>
      </c>
      <c r="F549" t="str">
        <f>"1JP112818A"</f>
        <v>1JP112818A</v>
      </c>
      <c r="G549" s="2">
        <v>400</v>
      </c>
      <c r="H549" t="str">
        <f>"1JP112818A"</f>
        <v>1JP112818A</v>
      </c>
    </row>
    <row r="550" spans="1:8" x14ac:dyDescent="0.25">
      <c r="E550" t="str">
        <f>"201906179911"</f>
        <v>201906179911</v>
      </c>
      <c r="F550" t="str">
        <f>"16764"</f>
        <v>16764</v>
      </c>
      <c r="G550" s="2">
        <v>600</v>
      </c>
      <c r="H550" t="str">
        <f>"16764"</f>
        <v>16764</v>
      </c>
    </row>
    <row r="551" spans="1:8" x14ac:dyDescent="0.25">
      <c r="E551" t="str">
        <f>"201906179912"</f>
        <v>201906179912</v>
      </c>
      <c r="F551" t="str">
        <f>"CC20181028"</f>
        <v>CC20181028</v>
      </c>
      <c r="G551" s="2">
        <v>400</v>
      </c>
      <c r="H551" t="str">
        <f>"CC20181028"</f>
        <v>CC20181028</v>
      </c>
    </row>
    <row r="552" spans="1:8" x14ac:dyDescent="0.25">
      <c r="E552" t="str">
        <f>"201906179913"</f>
        <v>201906179913</v>
      </c>
      <c r="F552" t="str">
        <f>"AC-2018-0420W"</f>
        <v>AC-2018-0420W</v>
      </c>
      <c r="G552" s="2">
        <v>800</v>
      </c>
      <c r="H552" t="str">
        <f>"AC-2018-0420W"</f>
        <v>AC-2018-0420W</v>
      </c>
    </row>
    <row r="553" spans="1:8" x14ac:dyDescent="0.25">
      <c r="E553" t="str">
        <f>"201906189949"</f>
        <v>201906189949</v>
      </c>
      <c r="F553" t="str">
        <f>"07-12097"</f>
        <v>07-12097</v>
      </c>
      <c r="G553" s="2">
        <v>100</v>
      </c>
      <c r="H553" t="str">
        <f>"07-12097"</f>
        <v>07-12097</v>
      </c>
    </row>
    <row r="554" spans="1:8" x14ac:dyDescent="0.25">
      <c r="E554" t="str">
        <f>"201906189950"</f>
        <v>201906189950</v>
      </c>
      <c r="F554" t="str">
        <f>"405029-2"</f>
        <v>405029-2</v>
      </c>
      <c r="G554" s="2">
        <v>250</v>
      </c>
      <c r="H554" t="str">
        <f>"405029-2"</f>
        <v>405029-2</v>
      </c>
    </row>
    <row r="555" spans="1:8" x14ac:dyDescent="0.25">
      <c r="E555" t="str">
        <f>"201906189951"</f>
        <v>201906189951</v>
      </c>
      <c r="F555" t="str">
        <f>"18-19239"</f>
        <v>18-19239</v>
      </c>
      <c r="G555" s="2">
        <v>100</v>
      </c>
      <c r="H555" t="str">
        <f>"18-19239"</f>
        <v>18-19239</v>
      </c>
    </row>
    <row r="556" spans="1:8" x14ac:dyDescent="0.25">
      <c r="E556" t="str">
        <f>"201906189952"</f>
        <v>201906189952</v>
      </c>
      <c r="F556" t="str">
        <f>"19-19684"</f>
        <v>19-19684</v>
      </c>
      <c r="G556" s="2">
        <v>175</v>
      </c>
      <c r="H556" t="str">
        <f>"19-19684"</f>
        <v>19-19684</v>
      </c>
    </row>
    <row r="557" spans="1:8" x14ac:dyDescent="0.25">
      <c r="E557" t="str">
        <f>"201906189953"</f>
        <v>201906189953</v>
      </c>
      <c r="F557" t="str">
        <f>"56944  304232019D  304232019E"</f>
        <v>56944  304232019D  304232019E</v>
      </c>
      <c r="G557" s="2">
        <v>500</v>
      </c>
      <c r="H557" t="str">
        <f>"56944  304232019D  304232019E"</f>
        <v>56944  304232019D  304232019E</v>
      </c>
    </row>
    <row r="558" spans="1:8" x14ac:dyDescent="0.25">
      <c r="E558" t="str">
        <f>"201906189954"</f>
        <v>201906189954</v>
      </c>
      <c r="F558" t="str">
        <f>"56629"</f>
        <v>56629</v>
      </c>
      <c r="G558" s="2">
        <v>375</v>
      </c>
      <c r="H558" t="str">
        <f>"56629"</f>
        <v>56629</v>
      </c>
    </row>
    <row r="559" spans="1:8" x14ac:dyDescent="0.25">
      <c r="E559" t="str">
        <f>"201906189955"</f>
        <v>201906189955</v>
      </c>
      <c r="F559" t="str">
        <f>"56874  AC-2018-1101A"</f>
        <v>56874  AC-2018-1101A</v>
      </c>
      <c r="G559" s="2">
        <v>375</v>
      </c>
      <c r="H559" t="str">
        <f>"56874  AC-2018-1101A"</f>
        <v>56874  AC-2018-1101A</v>
      </c>
    </row>
    <row r="560" spans="1:8" x14ac:dyDescent="0.25">
      <c r="E560" t="str">
        <f>"201906189956"</f>
        <v>201906189956</v>
      </c>
      <c r="F560" t="str">
        <f>"02-0409-2"</f>
        <v>02-0409-2</v>
      </c>
      <c r="G560" s="2">
        <v>250</v>
      </c>
      <c r="H560" t="str">
        <f>"02-0409-2"</f>
        <v>02-0409-2</v>
      </c>
    </row>
    <row r="561" spans="1:8" x14ac:dyDescent="0.25">
      <c r="E561" t="str">
        <f>"201906189957"</f>
        <v>201906189957</v>
      </c>
      <c r="F561" t="str">
        <f>"02-1211-2"</f>
        <v>02-1211-2</v>
      </c>
      <c r="G561" s="2">
        <v>250</v>
      </c>
      <c r="H561" t="str">
        <f>"02-1211-2"</f>
        <v>02-1211-2</v>
      </c>
    </row>
    <row r="562" spans="1:8" x14ac:dyDescent="0.25">
      <c r="E562" t="str">
        <f>"201906189958"</f>
        <v>201906189958</v>
      </c>
      <c r="F562" t="str">
        <f>"AC-2018-0802  AC-2018-0802A"</f>
        <v>AC-2018-0802  AC-2018-0802A</v>
      </c>
      <c r="G562" s="2">
        <v>375</v>
      </c>
      <c r="H562" t="str">
        <f>"AC-2018-0802  AC-2018-0802A"</f>
        <v>AC-2018-0802  AC-2018-0802A</v>
      </c>
    </row>
    <row r="563" spans="1:8" x14ac:dyDescent="0.25">
      <c r="A563" t="s">
        <v>132</v>
      </c>
      <c r="B563">
        <v>82677</v>
      </c>
      <c r="C563" s="2">
        <v>35</v>
      </c>
      <c r="D563" s="1">
        <v>43640</v>
      </c>
      <c r="E563" t="str">
        <f>"201906200066"</f>
        <v>201906200066</v>
      </c>
      <c r="F563" t="str">
        <f>"FERAL HOGS"</f>
        <v>FERAL HOGS</v>
      </c>
      <c r="G563" s="2">
        <v>35</v>
      </c>
      <c r="H563" t="str">
        <f>"FERAL HOGS"</f>
        <v>FERAL HOGS</v>
      </c>
    </row>
    <row r="564" spans="1:8" x14ac:dyDescent="0.25">
      <c r="A564" t="s">
        <v>133</v>
      </c>
      <c r="B564">
        <v>82505</v>
      </c>
      <c r="C564" s="2">
        <v>300</v>
      </c>
      <c r="D564" s="1">
        <v>43626</v>
      </c>
      <c r="E564" t="str">
        <f>"201906049561"</f>
        <v>201906049561</v>
      </c>
      <c r="F564" t="str">
        <f>"EXHIBITOR-EARTHX-2020"</f>
        <v>EXHIBITOR-EARTHX-2020</v>
      </c>
      <c r="G564" s="2">
        <v>300</v>
      </c>
      <c r="H564" t="str">
        <f>"EXHIBITOR-EARTHX-2020"</f>
        <v>EXHIBITOR-EARTHX-2020</v>
      </c>
    </row>
    <row r="565" spans="1:8" x14ac:dyDescent="0.25">
      <c r="A565" t="s">
        <v>134</v>
      </c>
      <c r="B565">
        <v>905</v>
      </c>
      <c r="C565" s="2">
        <v>1255.55</v>
      </c>
      <c r="D565" s="1">
        <v>43627</v>
      </c>
      <c r="E565" t="str">
        <f>"3521666"</f>
        <v>3521666</v>
      </c>
      <c r="F565" t="str">
        <f>"INV 3521666"</f>
        <v>INV 3521666</v>
      </c>
      <c r="G565" s="2">
        <v>1255.55</v>
      </c>
      <c r="H565" t="str">
        <f>"INV 3521666"</f>
        <v>INV 3521666</v>
      </c>
    </row>
    <row r="566" spans="1:8" x14ac:dyDescent="0.25">
      <c r="A566" t="s">
        <v>134</v>
      </c>
      <c r="B566">
        <v>977</v>
      </c>
      <c r="C566" s="2">
        <v>2247.21</v>
      </c>
      <c r="D566" s="1">
        <v>43641</v>
      </c>
      <c r="E566" t="str">
        <f>"3634125"</f>
        <v>3634125</v>
      </c>
      <c r="F566" t="str">
        <f>"INV 3634125"</f>
        <v>INV 3634125</v>
      </c>
      <c r="G566" s="2">
        <v>1461.28</v>
      </c>
      <c r="H566" t="str">
        <f>"INV 3634125"</f>
        <v>INV 3634125</v>
      </c>
    </row>
    <row r="567" spans="1:8" x14ac:dyDescent="0.25">
      <c r="E567" t="str">
        <f>"3634127"</f>
        <v>3634127</v>
      </c>
      <c r="F567" t="str">
        <f>"INV 3634127"</f>
        <v>INV 3634127</v>
      </c>
      <c r="G567" s="2">
        <v>785.93</v>
      </c>
      <c r="H567" t="str">
        <f>"INV 3634127"</f>
        <v>INV 3634127</v>
      </c>
    </row>
    <row r="568" spans="1:8" x14ac:dyDescent="0.25">
      <c r="A568" t="s">
        <v>135</v>
      </c>
      <c r="B568">
        <v>82506</v>
      </c>
      <c r="C568" s="2">
        <v>3160.04</v>
      </c>
      <c r="D568" s="1">
        <v>43626</v>
      </c>
      <c r="E568" t="str">
        <f>"1089274"</f>
        <v>1089274</v>
      </c>
      <c r="F568" t="str">
        <f>"ACCT#B06875/ELECTIONS"</f>
        <v>ACCT#B06875/ELECTIONS</v>
      </c>
      <c r="G568" s="2">
        <v>806.5</v>
      </c>
      <c r="H568" t="str">
        <f>"ACCT#B06875/ELECTIONS"</f>
        <v>ACCT#B06875/ELECTIONS</v>
      </c>
    </row>
    <row r="569" spans="1:8" x14ac:dyDescent="0.25">
      <c r="E569" t="str">
        <f>"1089392"</f>
        <v>1089392</v>
      </c>
      <c r="F569" t="str">
        <f>"ACCT#B06875/ELECTIONS"</f>
        <v>ACCT#B06875/ELECTIONS</v>
      </c>
      <c r="G569" s="2">
        <v>1335.56</v>
      </c>
      <c r="H569" t="str">
        <f>"ACCT#B06875/ELECTIONS"</f>
        <v>ACCT#B06875/ELECTIONS</v>
      </c>
    </row>
    <row r="570" spans="1:8" x14ac:dyDescent="0.25">
      <c r="E570" t="str">
        <f>"1089556"</f>
        <v>1089556</v>
      </c>
      <c r="F570" t="str">
        <f>"ACCT#B06875/ELECTIONS"</f>
        <v>ACCT#B06875/ELECTIONS</v>
      </c>
      <c r="G570" s="2">
        <v>274.36</v>
      </c>
      <c r="H570" t="str">
        <f>"ACCT#B06875/ELECTIONS"</f>
        <v>ACCT#B06875/ELECTIONS</v>
      </c>
    </row>
    <row r="571" spans="1:8" x14ac:dyDescent="0.25">
      <c r="E571" t="str">
        <f>"1089612"</f>
        <v>1089612</v>
      </c>
      <c r="F571" t="str">
        <f>"ACCT#B06875/ELECTIONS"</f>
        <v>ACCT#B06875/ELECTIONS</v>
      </c>
      <c r="G571" s="2">
        <v>281.3</v>
      </c>
      <c r="H571" t="str">
        <f>"ACCT#B06875/ELECTIONS"</f>
        <v>ACCT#B06875/ELECTIONS</v>
      </c>
    </row>
    <row r="572" spans="1:8" x14ac:dyDescent="0.25">
      <c r="E572" t="str">
        <f>"1089643"</f>
        <v>1089643</v>
      </c>
      <c r="F572" t="str">
        <f>"ACCT#B06875/ORD#1185491/ELECT"</f>
        <v>ACCT#B06875/ORD#1185491/ELECT</v>
      </c>
      <c r="G572" s="2">
        <v>425.57</v>
      </c>
      <c r="H572" t="str">
        <f>"ACCT#B06875/ORD#1185491/ELECT"</f>
        <v>ACCT#B06875/ORD#1185491/ELECT</v>
      </c>
    </row>
    <row r="573" spans="1:8" x14ac:dyDescent="0.25">
      <c r="E573" t="str">
        <f>"1089681"</f>
        <v>1089681</v>
      </c>
      <c r="F573" t="str">
        <f>"ACCT#B06875/LAYOUT CHARGE"</f>
        <v>ACCT#B06875/LAYOUT CHARGE</v>
      </c>
      <c r="G573" s="2">
        <v>36.75</v>
      </c>
      <c r="H573" t="str">
        <f>"ACCT#B06875/LAYOUT CHARGE"</f>
        <v>ACCT#B06875/LAYOUT CHARGE</v>
      </c>
    </row>
    <row r="574" spans="1:8" x14ac:dyDescent="0.25">
      <c r="A574" t="s">
        <v>136</v>
      </c>
      <c r="B574">
        <v>82507</v>
      </c>
      <c r="C574" s="2">
        <v>736.18</v>
      </c>
      <c r="D574" s="1">
        <v>43626</v>
      </c>
      <c r="E574" t="str">
        <f>"19-44267"</f>
        <v>19-44267</v>
      </c>
      <c r="F574" t="str">
        <f>"VOTE HERE BANNER"</f>
        <v>VOTE HERE BANNER</v>
      </c>
      <c r="G574" s="2">
        <v>736.18</v>
      </c>
      <c r="H574" t="str">
        <f>"VOTE HERE BANNER"</f>
        <v>VOTE HERE BANNER</v>
      </c>
    </row>
    <row r="575" spans="1:8" x14ac:dyDescent="0.25">
      <c r="A575" t="s">
        <v>137</v>
      </c>
      <c r="B575">
        <v>904</v>
      </c>
      <c r="C575" s="2">
        <v>1001</v>
      </c>
      <c r="D575" s="1">
        <v>43627</v>
      </c>
      <c r="E575" t="str">
        <f>"053019"</f>
        <v>053019</v>
      </c>
      <c r="F575" t="str">
        <f>"1YR SUBSCRIPTION RENEWAL #3387"</f>
        <v>1YR SUBSCRIPTION RENEWAL #3387</v>
      </c>
      <c r="G575" s="2">
        <v>41</v>
      </c>
      <c r="H575" t="str">
        <f>"1YR SUBSCRIPTION RENEWAL #3387"</f>
        <v>1YR SUBSCRIPTION RENEWAL #3387</v>
      </c>
    </row>
    <row r="576" spans="1:8" x14ac:dyDescent="0.25">
      <c r="E576" t="str">
        <f>"52421-17327-17329"</f>
        <v>52421-17327-17329</v>
      </c>
      <c r="F576" t="str">
        <f>"Public Notices - Insider"</f>
        <v>Public Notices - Insider</v>
      </c>
      <c r="G576" s="2">
        <v>375</v>
      </c>
      <c r="H576" t="str">
        <f>"RFB 19BCP04A"</f>
        <v>RFB 19BCP04A</v>
      </c>
    </row>
    <row r="577" spans="1:8" x14ac:dyDescent="0.25">
      <c r="E577" t="str">
        <f>""</f>
        <v/>
      </c>
      <c r="F577" t="str">
        <f>""</f>
        <v/>
      </c>
      <c r="H577" t="str">
        <f>"RFP 19BCP05J"</f>
        <v>RFP 19BCP05J</v>
      </c>
    </row>
    <row r="578" spans="1:8" x14ac:dyDescent="0.25">
      <c r="E578" t="str">
        <f>"52421-17416&amp;17417"</f>
        <v>52421-17416&amp;17417</v>
      </c>
      <c r="F578" t="str">
        <f>"RFB 19BCP05K"</f>
        <v>RFB 19BCP05K</v>
      </c>
      <c r="G578" s="2">
        <v>310</v>
      </c>
      <c r="H578" t="str">
        <f>"payment"</f>
        <v>payment</v>
      </c>
    </row>
    <row r="579" spans="1:8" x14ac:dyDescent="0.25">
      <c r="E579" t="str">
        <f>"52421-17429 17430"</f>
        <v>52421-17429 17430</v>
      </c>
      <c r="F579" t="str">
        <f>"BLACKLANDS PUBLICATIONS INC"</f>
        <v>BLACKLANDS PUBLICATIONS INC</v>
      </c>
      <c r="G579" s="2">
        <v>125</v>
      </c>
      <c r="H579" t="str">
        <f>"Employment Ad"</f>
        <v>Employment Ad</v>
      </c>
    </row>
    <row r="580" spans="1:8" x14ac:dyDescent="0.25">
      <c r="E580" t="str">
        <f>"52421-17546"</f>
        <v>52421-17546</v>
      </c>
      <c r="F580" t="str">
        <f>"BLACKLANDS PUBLICATIONS INC"</f>
        <v>BLACKLANDS PUBLICATIONS INC</v>
      </c>
      <c r="G580" s="2">
        <v>105</v>
      </c>
      <c r="H580" t="str">
        <f>"May 2019 Auction Ad"</f>
        <v>May 2019 Auction Ad</v>
      </c>
    </row>
    <row r="581" spans="1:8" x14ac:dyDescent="0.25">
      <c r="E581" t="str">
        <f>"52421-17661"</f>
        <v>52421-17661</v>
      </c>
      <c r="F581" t="str">
        <f>"Advertisment"</f>
        <v>Advertisment</v>
      </c>
      <c r="G581" s="2">
        <v>45</v>
      </c>
      <c r="H581" t="str">
        <f>"Tract 10 Replat"</f>
        <v>Tract 10 Replat</v>
      </c>
    </row>
    <row r="582" spans="1:8" x14ac:dyDescent="0.25">
      <c r="A582" t="s">
        <v>137</v>
      </c>
      <c r="B582">
        <v>976</v>
      </c>
      <c r="C582" s="2">
        <v>112.5</v>
      </c>
      <c r="D582" s="1">
        <v>43641</v>
      </c>
      <c r="E582" t="str">
        <f>"52421-17308"</f>
        <v>52421-17308</v>
      </c>
      <c r="F582" t="str">
        <f>"GRAND OPENING FIESTA/ANIMAL SV"</f>
        <v>GRAND OPENING FIESTA/ANIMAL SV</v>
      </c>
      <c r="G582" s="2">
        <v>112.5</v>
      </c>
      <c r="H582" t="str">
        <f>"GRAND OPENING FIESTA/ANIMAL SV"</f>
        <v>GRAND OPENING FIESTA/ANIMAL SV</v>
      </c>
    </row>
    <row r="583" spans="1:8" x14ac:dyDescent="0.25">
      <c r="A583" t="s">
        <v>138</v>
      </c>
      <c r="B583">
        <v>82678</v>
      </c>
      <c r="C583" s="2">
        <v>19.989999999999998</v>
      </c>
      <c r="D583" s="1">
        <v>43640</v>
      </c>
      <c r="E583" t="str">
        <f>"820102"</f>
        <v>820102</v>
      </c>
      <c r="F583" t="str">
        <f>"RUBBERBOOT/PCT#4"</f>
        <v>RUBBERBOOT/PCT#4</v>
      </c>
      <c r="G583" s="2">
        <v>19.989999999999998</v>
      </c>
      <c r="H583" t="str">
        <f>"RUBBERBOOT/PCT#4"</f>
        <v>RUBBERBOOT/PCT#4</v>
      </c>
    </row>
    <row r="584" spans="1:8" x14ac:dyDescent="0.25">
      <c r="A584" t="s">
        <v>139</v>
      </c>
      <c r="B584">
        <v>82679</v>
      </c>
      <c r="C584" s="2">
        <v>8500</v>
      </c>
      <c r="D584" s="1">
        <v>43640</v>
      </c>
      <c r="E584" t="str">
        <f>"201906129751"</f>
        <v>201906129751</v>
      </c>
      <c r="F584" t="str">
        <f>"FISCAL YEAR 2019"</f>
        <v>FISCAL YEAR 2019</v>
      </c>
      <c r="G584" s="2">
        <v>8500</v>
      </c>
      <c r="H584" t="str">
        <f>"FISCAL YEAR 2019"</f>
        <v>FISCAL YEAR 2019</v>
      </c>
    </row>
    <row r="585" spans="1:8" x14ac:dyDescent="0.25">
      <c r="A585" t="s">
        <v>140</v>
      </c>
      <c r="B585">
        <v>82442</v>
      </c>
      <c r="C585" s="2">
        <v>1583.32</v>
      </c>
      <c r="D585" s="1">
        <v>43621</v>
      </c>
      <c r="E585" t="str">
        <f>"201906059697"</f>
        <v>201906059697</v>
      </c>
      <c r="F585" t="str">
        <f>"ACCT#007-0008410-002/05312019"</f>
        <v>ACCT#007-0008410-002/05312019</v>
      </c>
      <c r="G585" s="2">
        <v>111.49</v>
      </c>
      <c r="H585" t="str">
        <f>"ACCT#007-0008410-002/05312019"</f>
        <v>ACCT#007-0008410-002/05312019</v>
      </c>
    </row>
    <row r="586" spans="1:8" x14ac:dyDescent="0.25">
      <c r="E586" t="str">
        <f>"201906059698"</f>
        <v>201906059698</v>
      </c>
      <c r="F586" t="str">
        <f>"ACCT#007-0011501-000/05312019"</f>
        <v>ACCT#007-0011501-000/05312019</v>
      </c>
      <c r="G586" s="2">
        <v>484.48</v>
      </c>
      <c r="H586" t="str">
        <f>"ACCT#007-0011501-000/05312019"</f>
        <v>ACCT#007-0011501-000/05312019</v>
      </c>
    </row>
    <row r="587" spans="1:8" x14ac:dyDescent="0.25">
      <c r="E587" t="str">
        <f>"201906059699"</f>
        <v>201906059699</v>
      </c>
      <c r="F587" t="str">
        <f>"ACCT#007-0011510-000/05312019"</f>
        <v>ACCT#007-0011510-000/05312019</v>
      </c>
      <c r="G587" s="2">
        <v>235.91</v>
      </c>
      <c r="H587" t="str">
        <f>"ACCT#007-0011510-000/05312019"</f>
        <v>ACCT#007-0011510-000/05312019</v>
      </c>
    </row>
    <row r="588" spans="1:8" x14ac:dyDescent="0.25">
      <c r="E588" t="str">
        <f>"201906059700"</f>
        <v>201906059700</v>
      </c>
      <c r="F588" t="str">
        <f>"ACCT#007-0011530-000/05312019"</f>
        <v>ACCT#007-0011530-000/05312019</v>
      </c>
      <c r="G588" s="2">
        <v>97.4</v>
      </c>
      <c r="H588" t="str">
        <f>"ACCT#007-0011530-000/05312019"</f>
        <v>ACCT#007-0011530-000/05312019</v>
      </c>
    </row>
    <row r="589" spans="1:8" x14ac:dyDescent="0.25">
      <c r="E589" t="str">
        <f>"201906059701"</f>
        <v>201906059701</v>
      </c>
      <c r="F589" t="str">
        <f>"ACCT#007-0011534-001/05312019"</f>
        <v>ACCT#007-0011534-001/05312019</v>
      </c>
      <c r="G589" s="2">
        <v>166.88</v>
      </c>
      <c r="H589" t="str">
        <f>"ACCT#007-0011534-001/05312019"</f>
        <v>ACCT#007-0011534-001/05312019</v>
      </c>
    </row>
    <row r="590" spans="1:8" x14ac:dyDescent="0.25">
      <c r="E590" t="str">
        <f>"201906059702"</f>
        <v>201906059702</v>
      </c>
      <c r="F590" t="str">
        <f>"ACCT#007-0011535-000/05312019"</f>
        <v>ACCT#007-0011535-000/05312019</v>
      </c>
      <c r="G590" s="2">
        <v>353.48</v>
      </c>
      <c r="H590" t="str">
        <f>"ACCT#007-0011535-000/05312019"</f>
        <v>ACCT#007-0011535-000/05312019</v>
      </c>
    </row>
    <row r="591" spans="1:8" x14ac:dyDescent="0.25">
      <c r="E591" t="str">
        <f>"201906059703"</f>
        <v>201906059703</v>
      </c>
      <c r="F591" t="str">
        <f>"ACCT#007-0011544-001/05312019"</f>
        <v>ACCT#007-0011544-001/05312019</v>
      </c>
      <c r="G591" s="2">
        <v>129.66999999999999</v>
      </c>
      <c r="H591" t="str">
        <f>"ACCT#007-0011544-001/05312019"</f>
        <v>ACCT#007-0011544-001/05312019</v>
      </c>
    </row>
    <row r="592" spans="1:8" x14ac:dyDescent="0.25">
      <c r="E592" t="str">
        <f>"201906059704"</f>
        <v>201906059704</v>
      </c>
      <c r="F592" t="str">
        <f>"ACCT#007-0071128-001/05312019"</f>
        <v>ACCT#007-0071128-001/05312019</v>
      </c>
      <c r="G592" s="2">
        <v>4.01</v>
      </c>
      <c r="H592" t="str">
        <f>"ACCT#007-0071128-001/05312019"</f>
        <v>ACCT#007-0071128-001/05312019</v>
      </c>
    </row>
    <row r="593" spans="1:8" x14ac:dyDescent="0.25">
      <c r="A593" t="s">
        <v>141</v>
      </c>
      <c r="B593">
        <v>82508</v>
      </c>
      <c r="C593" s="2">
        <v>592.41</v>
      </c>
      <c r="D593" s="1">
        <v>43626</v>
      </c>
      <c r="E593" t="str">
        <f>"145-27791-01/02/03"</f>
        <v>145-27791-01/02/03</v>
      </c>
      <c r="F593" t="str">
        <f>"INV 145-27791-01"</f>
        <v>INV 145-27791-01</v>
      </c>
      <c r="G593" s="2">
        <v>432.5</v>
      </c>
      <c r="H593" t="str">
        <f>"INV 145-27791-01"</f>
        <v>INV 145-27791-01</v>
      </c>
    </row>
    <row r="594" spans="1:8" x14ac:dyDescent="0.25">
      <c r="E594" t="str">
        <f>""</f>
        <v/>
      </c>
      <c r="F594" t="str">
        <f>""</f>
        <v/>
      </c>
      <c r="H594" t="str">
        <f>"INV 145-27791-02"</f>
        <v>INV 145-27791-02</v>
      </c>
    </row>
    <row r="595" spans="1:8" x14ac:dyDescent="0.25">
      <c r="E595" t="str">
        <f>""</f>
        <v/>
      </c>
      <c r="F595" t="str">
        <f>""</f>
        <v/>
      </c>
      <c r="H595" t="str">
        <f>"INV 145-27791-03"</f>
        <v>INV 145-27791-03</v>
      </c>
    </row>
    <row r="596" spans="1:8" x14ac:dyDescent="0.25">
      <c r="E596" t="str">
        <f>"201905309513"</f>
        <v>201905309513</v>
      </c>
      <c r="F596" t="str">
        <f>"CUST ID:0888336/GEN SVCS"</f>
        <v>CUST ID:0888336/GEN SVCS</v>
      </c>
      <c r="G596" s="2">
        <v>159.91</v>
      </c>
      <c r="H596" t="str">
        <f>"CUST ID:0888336/GEN SVCS"</f>
        <v>CUST ID:0888336/GEN SVCS</v>
      </c>
    </row>
    <row r="597" spans="1:8" x14ac:dyDescent="0.25">
      <c r="A597" t="s">
        <v>141</v>
      </c>
      <c r="B597">
        <v>82680</v>
      </c>
      <c r="C597" s="2">
        <v>538.12</v>
      </c>
      <c r="D597" s="1">
        <v>43640</v>
      </c>
      <c r="E597" t="str">
        <f>"145-28614-01"</f>
        <v>145-28614-01</v>
      </c>
      <c r="F597" t="str">
        <f>"CUST#0888336/TRASH CANS"</f>
        <v>CUST#0888336/TRASH CANS</v>
      </c>
      <c r="G597" s="2">
        <v>149.32</v>
      </c>
      <c r="H597" t="str">
        <f>"CUST#0888336/TRASH CANS"</f>
        <v>CUST#0888336/TRASH CANS</v>
      </c>
    </row>
    <row r="598" spans="1:8" x14ac:dyDescent="0.25">
      <c r="E598" t="str">
        <f>"145-28626-01"</f>
        <v>145-28626-01</v>
      </c>
      <c r="F598" t="str">
        <f>"INV 145-28626-01"</f>
        <v>INV 145-28626-01</v>
      </c>
      <c r="G598" s="2">
        <v>388.8</v>
      </c>
      <c r="H598" t="str">
        <f>"INV 145-28626-01"</f>
        <v>INV 145-28626-01</v>
      </c>
    </row>
    <row r="599" spans="1:8" x14ac:dyDescent="0.25">
      <c r="A599" t="s">
        <v>142</v>
      </c>
      <c r="B599">
        <v>82509</v>
      </c>
      <c r="C599" s="2">
        <v>65</v>
      </c>
      <c r="D599" s="1">
        <v>43626</v>
      </c>
      <c r="E599" t="str">
        <f>"201906059683"</f>
        <v>201906059683</v>
      </c>
      <c r="F599" t="str">
        <f>"PER DIEM"</f>
        <v>PER DIEM</v>
      </c>
      <c r="G599" s="2">
        <v>65</v>
      </c>
      <c r="H599" t="str">
        <f>"PER DIEM"</f>
        <v>PER DIEM</v>
      </c>
    </row>
    <row r="600" spans="1:8" x14ac:dyDescent="0.25">
      <c r="A600" t="s">
        <v>143</v>
      </c>
      <c r="B600">
        <v>82510</v>
      </c>
      <c r="C600" s="2">
        <v>53601.34</v>
      </c>
      <c r="D600" s="1">
        <v>43626</v>
      </c>
      <c r="E600" t="str">
        <f>"9402046651"</f>
        <v>9402046651</v>
      </c>
      <c r="F600" t="str">
        <f>"ACCT#912922/BOL#24547/PCT#1"</f>
        <v>ACCT#912922/BOL#24547/PCT#1</v>
      </c>
      <c r="G600" s="2">
        <v>11685.47</v>
      </c>
      <c r="H600" t="str">
        <f>"ACCT#912922/BOL#24547/PCT#1"</f>
        <v>ACCT#912922/BOL#24547/PCT#1</v>
      </c>
    </row>
    <row r="601" spans="1:8" x14ac:dyDescent="0.25">
      <c r="E601" t="str">
        <f>"9402047635"</f>
        <v>9402047635</v>
      </c>
      <c r="F601" t="str">
        <f>"ACCT#912897/BOL#24560/PCT#3"</f>
        <v>ACCT#912897/BOL#24560/PCT#3</v>
      </c>
      <c r="G601" s="2">
        <v>14125.6</v>
      </c>
      <c r="H601" t="str">
        <f>"ACCT#912897/BOL#24560/PCT#3"</f>
        <v>ACCT#912897/BOL#24560/PCT#3</v>
      </c>
    </row>
    <row r="602" spans="1:8" x14ac:dyDescent="0.25">
      <c r="E602" t="str">
        <f>"9402047636"</f>
        <v>9402047636</v>
      </c>
      <c r="F602" t="str">
        <f>"ACCT#912922/BOL#24572/PCT#1"</f>
        <v>ACCT#912922/BOL#24572/PCT#1</v>
      </c>
      <c r="G602" s="2">
        <v>3766.83</v>
      </c>
      <c r="H602" t="str">
        <f>"ACCT#912922/BOL#24572/PCT#1"</f>
        <v>ACCT#912922/BOL#24572/PCT#1</v>
      </c>
    </row>
    <row r="603" spans="1:8" x14ac:dyDescent="0.25">
      <c r="E603" t="str">
        <f>"9402047832"</f>
        <v>9402047832</v>
      </c>
      <c r="F603" t="str">
        <f>"ACCT#912897/BOL#24569/PCT#3"</f>
        <v>ACCT#912897/BOL#24569/PCT#3</v>
      </c>
      <c r="G603" s="2">
        <v>12410.29</v>
      </c>
      <c r="H603" t="str">
        <f>"ACCT#912897/BOL#24569/PCT#3"</f>
        <v>ACCT#912897/BOL#24569/PCT#3</v>
      </c>
    </row>
    <row r="604" spans="1:8" x14ac:dyDescent="0.25">
      <c r="E604" t="str">
        <f>"9402048767"</f>
        <v>9402048767</v>
      </c>
      <c r="F604" t="str">
        <f>"ACCT#912922/BOL#24572/PCT#1"</f>
        <v>ACCT#912922/BOL#24572/PCT#1</v>
      </c>
      <c r="G604" s="2">
        <v>11613.15</v>
      </c>
      <c r="H604" t="str">
        <f>"ACCT#912922/BOL#24572/PCT#1"</f>
        <v>ACCT#912922/BOL#24572/PCT#1</v>
      </c>
    </row>
    <row r="605" spans="1:8" x14ac:dyDescent="0.25">
      <c r="A605" t="s">
        <v>143</v>
      </c>
      <c r="B605">
        <v>82681</v>
      </c>
      <c r="C605" s="2">
        <v>76079.039999999994</v>
      </c>
      <c r="D605" s="1">
        <v>43640</v>
      </c>
      <c r="E605" t="str">
        <f>"9402051843"</f>
        <v>9402051843</v>
      </c>
      <c r="F605" t="str">
        <f>"ACCT#912923/BOL#24613/PCT#4"</f>
        <v>ACCT#912923/BOL#24613/PCT#4</v>
      </c>
      <c r="G605" s="2">
        <v>6844.03</v>
      </c>
      <c r="H605" t="str">
        <f>"ACCT#912923/BOL#24613/PCT#4"</f>
        <v>ACCT#912923/BOL#24613/PCT#4</v>
      </c>
    </row>
    <row r="606" spans="1:8" x14ac:dyDescent="0.25">
      <c r="E606" t="str">
        <f>"9402052663"</f>
        <v>9402052663</v>
      </c>
      <c r="F606" t="str">
        <f>"ACCT#912922/BOL#24650/PCT#1"</f>
        <v>ACCT#912922/BOL#24650/PCT#1</v>
      </c>
      <c r="G606" s="2">
        <v>4809.5</v>
      </c>
      <c r="H606" t="str">
        <f>"ACCT#912922/BOL#24650/PCT#1"</f>
        <v>ACCT#912922/BOL#24650/PCT#1</v>
      </c>
    </row>
    <row r="607" spans="1:8" x14ac:dyDescent="0.25">
      <c r="E607" t="str">
        <f>"9402053416"</f>
        <v>9402053416</v>
      </c>
      <c r="F607" t="str">
        <f>"ACCT#912897/BOL#24560/PCT#3"</f>
        <v>ACCT#912897/BOL#24560/PCT#3</v>
      </c>
      <c r="G607" s="2">
        <v>340</v>
      </c>
      <c r="H607" t="str">
        <f>"ACCT#912897/BOL#24560/PCT#3"</f>
        <v>ACCT#912897/BOL#24560/PCT#3</v>
      </c>
    </row>
    <row r="608" spans="1:8" x14ac:dyDescent="0.25">
      <c r="E608" t="str">
        <f>"9402055248"</f>
        <v>9402055248</v>
      </c>
      <c r="F608" t="str">
        <f>"ACCT#912922/BOL#24650/PCT#1"</f>
        <v>ACCT#912922/BOL#24650/PCT#1</v>
      </c>
      <c r="G608" s="2">
        <v>14536.9</v>
      </c>
      <c r="H608" t="str">
        <f>"ACCT#912922/BOL#24650/PCT#1"</f>
        <v>ACCT#912922/BOL#24650/PCT#1</v>
      </c>
    </row>
    <row r="609" spans="1:8" x14ac:dyDescent="0.25">
      <c r="E609" t="str">
        <f>"9402057094"</f>
        <v>9402057094</v>
      </c>
      <c r="F609" t="str">
        <f>"ACCT#912922/PUMP CHRGS/PCT#1"</f>
        <v>ACCT#912922/PUMP CHRGS/PCT#1</v>
      </c>
      <c r="G609" s="2">
        <v>90</v>
      </c>
      <c r="H609" t="str">
        <f>"ACCT#912922/PUMP CHRGS/PCT#1"</f>
        <v>ACCT#912922/PUMP CHRGS/PCT#1</v>
      </c>
    </row>
    <row r="610" spans="1:8" x14ac:dyDescent="0.25">
      <c r="E610" t="str">
        <f>"9402060242"</f>
        <v>9402060242</v>
      </c>
      <c r="F610" t="str">
        <f>"ACCT#912897/BOL#24713/PCT#3"</f>
        <v>ACCT#912897/BOL#24713/PCT#3</v>
      </c>
      <c r="G610" s="2">
        <v>17260.07</v>
      </c>
      <c r="H610" t="str">
        <f>"ACCT#912897/BOL#24713/PCT#3"</f>
        <v>ACCT#912897/BOL#24713/PCT#3</v>
      </c>
    </row>
    <row r="611" spans="1:8" x14ac:dyDescent="0.25">
      <c r="E611" t="str">
        <f>"9402060979"</f>
        <v>9402060979</v>
      </c>
      <c r="F611" t="str">
        <f>"ACCT#912922/BOL#24716/PCT#1"</f>
        <v>ACCT#912922/BOL#24716/PCT#1</v>
      </c>
      <c r="G611" s="2">
        <v>14918.18</v>
      </c>
      <c r="H611" t="str">
        <f>"ACCT#912922/BOL#24716/PCT#1"</f>
        <v>ACCT#912922/BOL#24716/PCT#1</v>
      </c>
    </row>
    <row r="612" spans="1:8" x14ac:dyDescent="0.25">
      <c r="E612" t="str">
        <f>"9402061126"</f>
        <v>9402061126</v>
      </c>
      <c r="F612" t="str">
        <f>"ACCT#912897/BOL#24726/PCT#3"</f>
        <v>ACCT#912897/BOL#24726/PCT#3</v>
      </c>
      <c r="G612" s="2">
        <v>17280.36</v>
      </c>
      <c r="H612" t="str">
        <f>"ACCT#912897/BOL#24726/PCT#3"</f>
        <v>ACCT#912897/BOL#24726/PCT#3</v>
      </c>
    </row>
    <row r="613" spans="1:8" x14ac:dyDescent="0.25">
      <c r="A613" t="s">
        <v>144</v>
      </c>
      <c r="B613">
        <v>906</v>
      </c>
      <c r="C613" s="2">
        <v>7059.27</v>
      </c>
      <c r="D613" s="1">
        <v>43627</v>
      </c>
      <c r="E613" t="str">
        <f>"201906049673"</f>
        <v>201906049673</v>
      </c>
      <c r="F613" t="str">
        <f>"GRANT REIMBURSEMENT"</f>
        <v>GRANT REIMBURSEMENT</v>
      </c>
      <c r="G613" s="2">
        <v>6570.27</v>
      </c>
      <c r="H613" t="str">
        <f>"GRANT REIMBURSEMENT"</f>
        <v>GRANT REIMBURSEMENT</v>
      </c>
    </row>
    <row r="614" spans="1:8" x14ac:dyDescent="0.25">
      <c r="E614" t="str">
        <f>"201906049676"</f>
        <v>201906049676</v>
      </c>
      <c r="F614" t="str">
        <f>"SANE EXAM 19-S-02584"</f>
        <v>SANE EXAM 19-S-02584</v>
      </c>
      <c r="G614" s="2">
        <v>489</v>
      </c>
      <c r="H614" t="str">
        <f>"SANE EXAM 19-S-02584"</f>
        <v>SANE EXAM 19-S-02584</v>
      </c>
    </row>
    <row r="615" spans="1:8" x14ac:dyDescent="0.25">
      <c r="A615" t="s">
        <v>144</v>
      </c>
      <c r="B615">
        <v>978</v>
      </c>
      <c r="C615" s="2">
        <v>1467</v>
      </c>
      <c r="D615" s="1">
        <v>43641</v>
      </c>
      <c r="E615" t="str">
        <f>"201906180027"</f>
        <v>201906180027</v>
      </c>
      <c r="F615" t="str">
        <f>"SANE EXAM 19-S-02950"</f>
        <v>SANE EXAM 19-S-02950</v>
      </c>
      <c r="G615" s="2">
        <v>489</v>
      </c>
      <c r="H615" t="str">
        <f>"SANE EXAM 19-S-02950"</f>
        <v>SANE EXAM 19-S-02950</v>
      </c>
    </row>
    <row r="616" spans="1:8" x14ac:dyDescent="0.25">
      <c r="E616" t="str">
        <f>"201906180030"</f>
        <v>201906180030</v>
      </c>
      <c r="F616" t="str">
        <f>"SANE EXAM 19-S-02418"</f>
        <v>SANE EXAM 19-S-02418</v>
      </c>
      <c r="G616" s="2">
        <v>489</v>
      </c>
      <c r="H616" t="str">
        <f>"SANE EXAM 19-S-02418"</f>
        <v>SANE EXAM 19-S-02418</v>
      </c>
    </row>
    <row r="617" spans="1:8" x14ac:dyDescent="0.25">
      <c r="E617" t="str">
        <f>"201906180032"</f>
        <v>201906180032</v>
      </c>
      <c r="F617" t="str">
        <f>"SANE EXAM 19-S-02418"</f>
        <v>SANE EXAM 19-S-02418</v>
      </c>
      <c r="G617" s="2">
        <v>489</v>
      </c>
      <c r="H617" t="str">
        <f>"SANE EXAM 19-S-02418"</f>
        <v>SANE EXAM 19-S-02418</v>
      </c>
    </row>
    <row r="618" spans="1:8" x14ac:dyDescent="0.25">
      <c r="A618" t="s">
        <v>145</v>
      </c>
      <c r="B618">
        <v>82682</v>
      </c>
      <c r="C618" s="2">
        <v>66.540000000000006</v>
      </c>
      <c r="D618" s="1">
        <v>43640</v>
      </c>
      <c r="E618" t="str">
        <f>"201906180012"</f>
        <v>201906180012</v>
      </c>
      <c r="F618" t="str">
        <f>"INDIGENT HEALTH"</f>
        <v>INDIGENT HEALTH</v>
      </c>
      <c r="G618" s="2">
        <v>66.540000000000006</v>
      </c>
      <c r="H618" t="str">
        <f>"INDIGENT HEALTH"</f>
        <v>INDIGENT HEALTH</v>
      </c>
    </row>
    <row r="619" spans="1:8" x14ac:dyDescent="0.25">
      <c r="A619" t="s">
        <v>146</v>
      </c>
      <c r="B619">
        <v>82683</v>
      </c>
      <c r="C619" s="2">
        <v>100</v>
      </c>
      <c r="D619" s="1">
        <v>43640</v>
      </c>
      <c r="E619" t="str">
        <f>"12925"</f>
        <v>12925</v>
      </c>
      <c r="F619" t="str">
        <f>"SERVICE  05/13/19"</f>
        <v>SERVICE  05/13/19</v>
      </c>
      <c r="G619" s="2">
        <v>100</v>
      </c>
      <c r="H619" t="str">
        <f>"SERVICE  05/13/19"</f>
        <v>SERVICE  05/13/19</v>
      </c>
    </row>
    <row r="620" spans="1:8" x14ac:dyDescent="0.25">
      <c r="A620" t="s">
        <v>147</v>
      </c>
      <c r="B620">
        <v>82684</v>
      </c>
      <c r="C620" s="2">
        <v>18540.759999999998</v>
      </c>
      <c r="D620" s="1">
        <v>43640</v>
      </c>
      <c r="E620" t="str">
        <f>"201906119727"</f>
        <v>201906119727</v>
      </c>
      <c r="F620" t="str">
        <f>"REFUND OF FUNDS RECEIVED"</f>
        <v>REFUND OF FUNDS RECEIVED</v>
      </c>
      <c r="G620" s="2">
        <v>18540.759999999998</v>
      </c>
      <c r="H620" t="str">
        <f>"REFUND OF FUNDS RECEIVED"</f>
        <v>REFUND OF FUNDS RECEIVED</v>
      </c>
    </row>
    <row r="621" spans="1:8" x14ac:dyDescent="0.25">
      <c r="A621" t="s">
        <v>148</v>
      </c>
      <c r="B621">
        <v>82511</v>
      </c>
      <c r="C621" s="2">
        <v>30.93</v>
      </c>
      <c r="D621" s="1">
        <v>43626</v>
      </c>
      <c r="E621" t="str">
        <f>"6-554-77268"</f>
        <v>6-554-77268</v>
      </c>
      <c r="F621" t="str">
        <f>"ACCT#1230-5243-9/TAX OFFICE"</f>
        <v>ACCT#1230-5243-9/TAX OFFICE</v>
      </c>
      <c r="G621" s="2">
        <v>30.93</v>
      </c>
      <c r="H621" t="str">
        <f>"ACCT#1230-5243-9/TAX OFFICE"</f>
        <v>ACCT#1230-5243-9/TAX OFFICE</v>
      </c>
    </row>
    <row r="622" spans="1:8" x14ac:dyDescent="0.25">
      <c r="A622" t="s">
        <v>148</v>
      </c>
      <c r="B622">
        <v>82685</v>
      </c>
      <c r="C622" s="2">
        <v>30.61</v>
      </c>
      <c r="D622" s="1">
        <v>43640</v>
      </c>
      <c r="E622" t="str">
        <f>"6-575-12422"</f>
        <v>6-575-12422</v>
      </c>
      <c r="F622" t="str">
        <f>"ACCT#1305-8295-8/DIST ATTNY OF"</f>
        <v>ACCT#1305-8295-8/DIST ATTNY OF</v>
      </c>
      <c r="G622" s="2">
        <v>30.61</v>
      </c>
      <c r="H622" t="str">
        <f>"ACCT#1305-8295-8/DIST ATTNY OF"</f>
        <v>ACCT#1305-8295-8/DIST ATTNY OF</v>
      </c>
    </row>
    <row r="623" spans="1:8" x14ac:dyDescent="0.25">
      <c r="A623" t="s">
        <v>149</v>
      </c>
      <c r="B623">
        <v>82512</v>
      </c>
      <c r="C623" s="2">
        <v>360.24</v>
      </c>
      <c r="D623" s="1">
        <v>43626</v>
      </c>
      <c r="E623" t="str">
        <f>"6998289"</f>
        <v>6998289</v>
      </c>
      <c r="F623" t="str">
        <f>"CUST#306066/PCT#1"</f>
        <v>CUST#306066/PCT#1</v>
      </c>
      <c r="G623" s="2">
        <v>360.24</v>
      </c>
      <c r="H623" t="str">
        <f>"CUST#306066/PCT#1"</f>
        <v>CUST#306066/PCT#1</v>
      </c>
    </row>
    <row r="624" spans="1:8" x14ac:dyDescent="0.25">
      <c r="A624" t="s">
        <v>149</v>
      </c>
      <c r="B624">
        <v>82686</v>
      </c>
      <c r="C624" s="2">
        <v>524.4</v>
      </c>
      <c r="D624" s="1">
        <v>43640</v>
      </c>
      <c r="E624" t="str">
        <f>"1011240 &amp; 1011242"</f>
        <v>1011240 &amp; 1011242</v>
      </c>
      <c r="F624" t="str">
        <f>"ACCT#46240/GEN SVCS"</f>
        <v>ACCT#46240/GEN SVCS</v>
      </c>
      <c r="G624" s="2">
        <v>524.4</v>
      </c>
      <c r="H624" t="str">
        <f>"ACCT#46240/GEN SVCS"</f>
        <v>ACCT#46240/GEN SVCS</v>
      </c>
    </row>
    <row r="625" spans="1:9" x14ac:dyDescent="0.25">
      <c r="A625" t="s">
        <v>150</v>
      </c>
      <c r="B625">
        <v>82687</v>
      </c>
      <c r="C625" s="2">
        <v>200</v>
      </c>
      <c r="D625" s="1">
        <v>43640</v>
      </c>
      <c r="E625" t="str">
        <f>"S-20190401-19971"</f>
        <v>S-20190401-19971</v>
      </c>
      <c r="F625" t="str">
        <f>"CLIENT:19971/JAN-APRIL DATA ST"</f>
        <v>CLIENT:19971/JAN-APRIL DATA ST</v>
      </c>
      <c r="G625" s="2">
        <v>200</v>
      </c>
      <c r="H625" t="str">
        <f>"CLIENT:19971/JAN-APRIL DATA ST"</f>
        <v>CLIENT:19971/JAN-APRIL DATA ST</v>
      </c>
    </row>
    <row r="626" spans="1:9" x14ac:dyDescent="0.25">
      <c r="A626" t="s">
        <v>151</v>
      </c>
      <c r="B626">
        <v>82688</v>
      </c>
      <c r="C626" s="2">
        <v>147.41999999999999</v>
      </c>
      <c r="D626" s="1">
        <v>43640</v>
      </c>
      <c r="E626" t="str">
        <f>"28621786"</f>
        <v>28621786</v>
      </c>
      <c r="F626" t="str">
        <f>"ACCT#80975/PARTS/PCT#2"</f>
        <v>ACCT#80975/PARTS/PCT#2</v>
      </c>
      <c r="G626" s="2">
        <v>147.41999999999999</v>
      </c>
      <c r="H626" t="str">
        <f>"ACCT#80975/PARTS/PCT#2"</f>
        <v>ACCT#80975/PARTS/PCT#2</v>
      </c>
    </row>
    <row r="627" spans="1:9" x14ac:dyDescent="0.25">
      <c r="A627" t="s">
        <v>152</v>
      </c>
      <c r="B627">
        <v>876</v>
      </c>
      <c r="C627" s="2">
        <v>75</v>
      </c>
      <c r="D627" s="1">
        <v>43627</v>
      </c>
      <c r="E627" t="str">
        <f>"201906049576"</f>
        <v>201906049576</v>
      </c>
      <c r="F627" t="str">
        <f>"REFUND BAIL BOND STICKERS"</f>
        <v>REFUND BAIL BOND STICKERS</v>
      </c>
      <c r="G627" s="2">
        <v>75</v>
      </c>
      <c r="H627" t="str">
        <f>"REFUND BAIL BOND STICKERS"</f>
        <v>REFUND BAIL BOND STICKERS</v>
      </c>
    </row>
    <row r="628" spans="1:9" x14ac:dyDescent="0.25">
      <c r="A628" t="s">
        <v>153</v>
      </c>
      <c r="B628">
        <v>82689</v>
      </c>
      <c r="C628" s="2">
        <v>60</v>
      </c>
      <c r="D628" s="1">
        <v>43640</v>
      </c>
      <c r="E628" t="s">
        <v>23</v>
      </c>
      <c r="F628" t="s">
        <v>154</v>
      </c>
      <c r="G628" s="2" t="str">
        <f>"RESTITUTION-D. CORKILL"</f>
        <v>RESTITUTION-D. CORKILL</v>
      </c>
      <c r="H628" t="str">
        <f>"210-0000"</f>
        <v>210-0000</v>
      </c>
      <c r="I628" t="str">
        <f>""</f>
        <v/>
      </c>
    </row>
    <row r="629" spans="1:9" x14ac:dyDescent="0.25">
      <c r="A629" t="s">
        <v>155</v>
      </c>
      <c r="B629">
        <v>907</v>
      </c>
      <c r="C629" s="2">
        <v>1750</v>
      </c>
      <c r="D629" s="1">
        <v>43627</v>
      </c>
      <c r="E629" t="str">
        <f>"201905309516"</f>
        <v>201905309516</v>
      </c>
      <c r="F629" t="str">
        <f>"16 433"</f>
        <v>16 433</v>
      </c>
      <c r="G629" s="2">
        <v>1250</v>
      </c>
      <c r="H629" t="str">
        <f>"16 433"</f>
        <v>16 433</v>
      </c>
    </row>
    <row r="630" spans="1:9" x14ac:dyDescent="0.25">
      <c r="E630" t="str">
        <f>"201906049641"</f>
        <v>201906049641</v>
      </c>
      <c r="F630" t="str">
        <f>"56 550"</f>
        <v>56 550</v>
      </c>
      <c r="G630" s="2">
        <v>250</v>
      </c>
      <c r="H630" t="str">
        <f>"56 550"</f>
        <v>56 550</v>
      </c>
    </row>
    <row r="631" spans="1:9" x14ac:dyDescent="0.25">
      <c r="E631" t="str">
        <f>"201906049642"</f>
        <v>201906049642</v>
      </c>
      <c r="F631" t="str">
        <f>"56 563"</f>
        <v>56 563</v>
      </c>
      <c r="G631" s="2">
        <v>250</v>
      </c>
      <c r="H631" t="str">
        <f>"56 563"</f>
        <v>56 563</v>
      </c>
    </row>
    <row r="632" spans="1:9" x14ac:dyDescent="0.25">
      <c r="A632" t="s">
        <v>155</v>
      </c>
      <c r="B632">
        <v>979</v>
      </c>
      <c r="C632" s="2">
        <v>2557.75</v>
      </c>
      <c r="D632" s="1">
        <v>43641</v>
      </c>
      <c r="E632" t="str">
        <f>"201906139894"</f>
        <v>201906139894</v>
      </c>
      <c r="F632" t="str">
        <f>"16 029  14-18-00381-CR"</f>
        <v>16 029  14-18-00381-CR</v>
      </c>
      <c r="G632" s="2">
        <v>2557.75</v>
      </c>
      <c r="H632" t="str">
        <f>"16 029  14-18-00381-CR"</f>
        <v>16 029  14-18-00381-CR</v>
      </c>
    </row>
    <row r="633" spans="1:9" x14ac:dyDescent="0.25">
      <c r="A633" t="s">
        <v>156</v>
      </c>
      <c r="B633">
        <v>969</v>
      </c>
      <c r="C633" s="2">
        <v>2365.15</v>
      </c>
      <c r="D633" s="1">
        <v>43641</v>
      </c>
      <c r="E633" t="str">
        <f>"AP401857"</f>
        <v>AP401857</v>
      </c>
      <c r="F633" t="str">
        <f>"ACCT#3325/PARTS/PCT#2"</f>
        <v>ACCT#3325/PARTS/PCT#2</v>
      </c>
      <c r="G633" s="2">
        <v>693.44</v>
      </c>
      <c r="H633" t="str">
        <f>"ACCT#3325/PARTS/PCT#2"</f>
        <v>ACCT#3325/PARTS/PCT#2</v>
      </c>
    </row>
    <row r="634" spans="1:9" x14ac:dyDescent="0.25">
      <c r="E634" t="str">
        <f>"AP402121"</f>
        <v>AP402121</v>
      </c>
      <c r="F634" t="str">
        <f>"ACCT#3325/PARTS/PCT#2"</f>
        <v>ACCT#3325/PARTS/PCT#2</v>
      </c>
      <c r="G634" s="2">
        <v>625.04999999999995</v>
      </c>
      <c r="H634" t="str">
        <f>"ACCT#3325/PARTS/PCT#2"</f>
        <v>ACCT#3325/PARTS/PCT#2</v>
      </c>
    </row>
    <row r="635" spans="1:9" x14ac:dyDescent="0.25">
      <c r="E635" t="str">
        <f>"AP402146"</f>
        <v>AP402146</v>
      </c>
      <c r="F635" t="str">
        <f>"ACCT#3325/WINDSHIELD-TINTED/P2"</f>
        <v>ACCT#3325/WINDSHIELD-TINTED/P2</v>
      </c>
      <c r="G635" s="2">
        <v>593.66</v>
      </c>
      <c r="H635" t="str">
        <f>"ACCT#3325/WINDSHIELD-TINTED/P2"</f>
        <v>ACCT#3325/WINDSHIELD-TINTED/P2</v>
      </c>
    </row>
    <row r="636" spans="1:9" x14ac:dyDescent="0.25">
      <c r="E636" t="str">
        <f>"AP402421"</f>
        <v>AP402421</v>
      </c>
      <c r="F636" t="str">
        <f>"ACCT#3326/HEADLAMP/PCT#4"</f>
        <v>ACCT#3326/HEADLAMP/PCT#4</v>
      </c>
      <c r="G636" s="2">
        <v>36.450000000000003</v>
      </c>
      <c r="H636" t="str">
        <f>"ACCT#3326/HEADLAMP/PCT#4"</f>
        <v>ACCT#3326/HEADLAMP/PCT#4</v>
      </c>
    </row>
    <row r="637" spans="1:9" x14ac:dyDescent="0.25">
      <c r="E637" t="str">
        <f>"AP402475"</f>
        <v>AP402475</v>
      </c>
      <c r="F637" t="str">
        <f>"ACCT#3326/GLASS/PCT#4"</f>
        <v>ACCT#3326/GLASS/PCT#4</v>
      </c>
      <c r="G637" s="2">
        <v>65.69</v>
      </c>
      <c r="H637" t="str">
        <f>"ACCT#3326/GLASS/PCT#4"</f>
        <v>ACCT#3326/GLASS/PCT#4</v>
      </c>
    </row>
    <row r="638" spans="1:9" x14ac:dyDescent="0.25">
      <c r="E638" t="str">
        <f>"AP402515"</f>
        <v>AP402515</v>
      </c>
      <c r="F638" t="str">
        <f>"ACCT#3325/SHOCK ABSORBER/P2"</f>
        <v>ACCT#3325/SHOCK ABSORBER/P2</v>
      </c>
      <c r="G638" s="2">
        <v>200.48</v>
      </c>
      <c r="H638" t="str">
        <f>"ACCT#3325/SHOCK ABSORBER/P2"</f>
        <v>ACCT#3325/SHOCK ABSORBER/P2</v>
      </c>
    </row>
    <row r="639" spans="1:9" x14ac:dyDescent="0.25">
      <c r="E639" t="str">
        <f>"AP402615"</f>
        <v>AP402615</v>
      </c>
      <c r="F639" t="str">
        <f>"ACCT#3325/WINDSHIELD/PCT#2"</f>
        <v>ACCT#3325/WINDSHIELD/PCT#2</v>
      </c>
      <c r="G639" s="2">
        <v>150.38</v>
      </c>
      <c r="H639" t="str">
        <f>"ACCT#3325/WINDSHIELD/PCT#2"</f>
        <v>ACCT#3325/WINDSHIELD/PCT#2</v>
      </c>
    </row>
    <row r="640" spans="1:9" x14ac:dyDescent="0.25">
      <c r="A640" t="s">
        <v>157</v>
      </c>
      <c r="B640">
        <v>908</v>
      </c>
      <c r="C640" s="2">
        <v>159.38</v>
      </c>
      <c r="D640" s="1">
        <v>43627</v>
      </c>
      <c r="E640" t="str">
        <f>"GC 108834"</f>
        <v>GC 108834</v>
      </c>
      <c r="F640" t="str">
        <f>"INV GC 108834"</f>
        <v>INV GC 108834</v>
      </c>
      <c r="G640" s="2">
        <v>159.38</v>
      </c>
      <c r="H640" t="str">
        <f>"INV GC 108834"</f>
        <v>INV GC 108834</v>
      </c>
    </row>
    <row r="641" spans="1:8" x14ac:dyDescent="0.25">
      <c r="A641" t="s">
        <v>157</v>
      </c>
      <c r="B641">
        <v>980</v>
      </c>
      <c r="C641" s="2">
        <v>151.13</v>
      </c>
      <c r="D641" s="1">
        <v>43641</v>
      </c>
      <c r="E641" t="str">
        <f>"108888"</f>
        <v>108888</v>
      </c>
      <c r="F641" t="str">
        <f>"BUSINESS CARDS-VETERANS SVC"</f>
        <v>BUSINESS CARDS-VETERANS SVC</v>
      </c>
      <c r="G641" s="2">
        <v>45</v>
      </c>
      <c r="H641" t="str">
        <f>"BUSINESS CARDS-VETERANS SVC"</f>
        <v>BUSINESS CARDS-VETERANS SVC</v>
      </c>
    </row>
    <row r="642" spans="1:8" x14ac:dyDescent="0.25">
      <c r="E642" t="str">
        <f>"108966"</f>
        <v>108966</v>
      </c>
      <c r="F642" t="str">
        <f>"JP FINE SCHEDULE/ENV ENFORCEME"</f>
        <v>JP FINE SCHEDULE/ENV ENFORCEME</v>
      </c>
      <c r="G642" s="2">
        <v>14.96</v>
      </c>
      <c r="H642" t="str">
        <f>"JP FINE SCHEDULE/ENV ENFORCEME"</f>
        <v>JP FINE SCHEDULE/ENV ENFORCEME</v>
      </c>
    </row>
    <row r="643" spans="1:8" x14ac:dyDescent="0.25">
      <c r="E643" t="str">
        <f>"GC 108926"</f>
        <v>GC 108926</v>
      </c>
      <c r="F643" t="str">
        <f>"INV GC 108926"</f>
        <v>INV GC 108926</v>
      </c>
      <c r="G643" s="2">
        <v>91.17</v>
      </c>
      <c r="H643" t="str">
        <f>"INV GC 108926"</f>
        <v>INV GC 108926</v>
      </c>
    </row>
    <row r="644" spans="1:8" x14ac:dyDescent="0.25">
      <c r="A644" t="s">
        <v>158</v>
      </c>
      <c r="B644">
        <v>82513</v>
      </c>
      <c r="C644" s="2">
        <v>1994.71</v>
      </c>
      <c r="D644" s="1">
        <v>43626</v>
      </c>
      <c r="E644" t="str">
        <f>"012303984 01242920"</f>
        <v>012303984 01242920</v>
      </c>
      <c r="F644" t="str">
        <f>"INV 012303984/012429203"</f>
        <v>INV 012303984/012429203</v>
      </c>
      <c r="G644" s="2">
        <v>301.47000000000003</v>
      </c>
      <c r="H644" t="str">
        <f>"INV 012303984"</f>
        <v>INV 012303984</v>
      </c>
    </row>
    <row r="645" spans="1:8" x14ac:dyDescent="0.25">
      <c r="E645" t="str">
        <f>""</f>
        <v/>
      </c>
      <c r="F645" t="str">
        <f>""</f>
        <v/>
      </c>
      <c r="H645" t="str">
        <f>"INV 012429203"</f>
        <v>INV 012429203</v>
      </c>
    </row>
    <row r="646" spans="1:8" x14ac:dyDescent="0.25">
      <c r="E646" t="str">
        <f>"012552735 01266770"</f>
        <v>012552735 01266770</v>
      </c>
      <c r="F646" t="str">
        <f>"INV 012552735/012667702"</f>
        <v>INV 012552735/012667702</v>
      </c>
      <c r="G646" s="2">
        <v>163</v>
      </c>
      <c r="H646" t="str">
        <f>"INV 012552735"</f>
        <v>INV 012552735</v>
      </c>
    </row>
    <row r="647" spans="1:8" x14ac:dyDescent="0.25">
      <c r="E647" t="str">
        <f>""</f>
        <v/>
      </c>
      <c r="F647" t="str">
        <f>""</f>
        <v/>
      </c>
      <c r="H647" t="str">
        <f>"INV 012667702"</f>
        <v>INV 012667702</v>
      </c>
    </row>
    <row r="648" spans="1:8" x14ac:dyDescent="0.25">
      <c r="E648" t="str">
        <f>"012588251 01258826"</f>
        <v>012588251 01258826</v>
      </c>
      <c r="F648" t="str">
        <f>"INV 012588251/012588267"</f>
        <v>INV 012588251/012588267</v>
      </c>
      <c r="G648" s="2">
        <v>574.5</v>
      </c>
      <c r="H648" t="str">
        <f>"INV 012588251"</f>
        <v>INV 012588251</v>
      </c>
    </row>
    <row r="649" spans="1:8" x14ac:dyDescent="0.25">
      <c r="E649" t="str">
        <f>""</f>
        <v/>
      </c>
      <c r="F649" t="str">
        <f>""</f>
        <v/>
      </c>
      <c r="H649" t="str">
        <f>"INV 012588267"</f>
        <v>INV 012588267</v>
      </c>
    </row>
    <row r="650" spans="1:8" x14ac:dyDescent="0.25">
      <c r="E650" t="str">
        <f>"012610891"</f>
        <v>012610891</v>
      </c>
      <c r="F650" t="str">
        <f>"INV 012610891"</f>
        <v>INV 012610891</v>
      </c>
      <c r="G650" s="2">
        <v>123.49</v>
      </c>
      <c r="H650" t="str">
        <f>"INV 012610891"</f>
        <v>INV 012610891</v>
      </c>
    </row>
    <row r="651" spans="1:8" x14ac:dyDescent="0.25">
      <c r="E651" t="str">
        <f>"012646539 01264654"</f>
        <v>012646539 01264654</v>
      </c>
      <c r="F651" t="str">
        <f>"INV 012646539/012646543"</f>
        <v>INV 012646539/012646543</v>
      </c>
      <c r="G651" s="2">
        <v>239.85</v>
      </c>
      <c r="H651" t="str">
        <f>"INV 012646539"</f>
        <v>INV 012646539</v>
      </c>
    </row>
    <row r="652" spans="1:8" x14ac:dyDescent="0.25">
      <c r="E652" t="str">
        <f>""</f>
        <v/>
      </c>
      <c r="F652" t="str">
        <f>""</f>
        <v/>
      </c>
      <c r="H652" t="str">
        <f>"INV 012646543"</f>
        <v>INV 012646543</v>
      </c>
    </row>
    <row r="653" spans="1:8" x14ac:dyDescent="0.25">
      <c r="E653" t="str">
        <f>"012715113"</f>
        <v>012715113</v>
      </c>
      <c r="F653" t="str">
        <f>"INV 012715113"</f>
        <v>INV 012715113</v>
      </c>
      <c r="G653" s="2">
        <v>208.5</v>
      </c>
      <c r="H653" t="str">
        <f>"INV 012715113"</f>
        <v>INV 012715113</v>
      </c>
    </row>
    <row r="654" spans="1:8" x14ac:dyDescent="0.25">
      <c r="E654" t="str">
        <f>"012747912 01282888"</f>
        <v>012747912 01282888</v>
      </c>
      <c r="F654" t="str">
        <f>"INV 012747912/012828880/0"</f>
        <v>INV 012747912/012828880/0</v>
      </c>
      <c r="G654" s="2">
        <v>191.95</v>
      </c>
      <c r="H654" t="str">
        <f>"INV 012747912"</f>
        <v>INV 012747912</v>
      </c>
    </row>
    <row r="655" spans="1:8" x14ac:dyDescent="0.25">
      <c r="E655" t="str">
        <f>""</f>
        <v/>
      </c>
      <c r="F655" t="str">
        <f>""</f>
        <v/>
      </c>
      <c r="H655" t="str">
        <f>"INV 012828880"</f>
        <v>INV 012828880</v>
      </c>
    </row>
    <row r="656" spans="1:8" x14ac:dyDescent="0.25">
      <c r="E656" t="str">
        <f>""</f>
        <v/>
      </c>
      <c r="F656" t="str">
        <f>""</f>
        <v/>
      </c>
      <c r="H656" t="str">
        <f>"INV 012677703"</f>
        <v>INV 012677703</v>
      </c>
    </row>
    <row r="657" spans="1:8" x14ac:dyDescent="0.25">
      <c r="E657" t="str">
        <f>"012747913 01282888"</f>
        <v>012747913 01282888</v>
      </c>
      <c r="F657" t="str">
        <f>"INV 012747913/012828881/0"</f>
        <v>INV 012747913/012828881/0</v>
      </c>
      <c r="G657" s="2">
        <v>191.95</v>
      </c>
      <c r="H657" t="str">
        <f>"INV 012747913"</f>
        <v>INV 012747913</v>
      </c>
    </row>
    <row r="658" spans="1:8" x14ac:dyDescent="0.25">
      <c r="E658" t="str">
        <f>""</f>
        <v/>
      </c>
      <c r="F658" t="str">
        <f>""</f>
        <v/>
      </c>
      <c r="H658" t="str">
        <f>"INV 012828881"</f>
        <v>INV 012828881</v>
      </c>
    </row>
    <row r="659" spans="1:8" x14ac:dyDescent="0.25">
      <c r="E659" t="str">
        <f>""</f>
        <v/>
      </c>
      <c r="F659" t="str">
        <f>""</f>
        <v/>
      </c>
      <c r="H659" t="str">
        <f>"INV 012667425"</f>
        <v>INV 012667425</v>
      </c>
    </row>
    <row r="660" spans="1:8" x14ac:dyDescent="0.25">
      <c r="A660" t="s">
        <v>158</v>
      </c>
      <c r="B660">
        <v>82690</v>
      </c>
      <c r="C660" s="2">
        <v>232.46</v>
      </c>
      <c r="D660" s="1">
        <v>43640</v>
      </c>
      <c r="E660" t="str">
        <f>"012817656"</f>
        <v>012817656</v>
      </c>
      <c r="F660" t="str">
        <f>"INV 012817656"</f>
        <v>INV 012817656</v>
      </c>
      <c r="G660" s="2">
        <v>208.5</v>
      </c>
      <c r="H660" t="str">
        <f>"INV 012817656"</f>
        <v>INV 012817656</v>
      </c>
    </row>
    <row r="661" spans="1:8" x14ac:dyDescent="0.25">
      <c r="E661" t="str">
        <f>"012844212"</f>
        <v>012844212</v>
      </c>
      <c r="F661" t="str">
        <f>"INV 012844212"</f>
        <v>INV 012844212</v>
      </c>
      <c r="G661" s="2">
        <v>23.96</v>
      </c>
      <c r="H661" t="str">
        <f>"INV 012844212"</f>
        <v>INV 012844212</v>
      </c>
    </row>
    <row r="662" spans="1:8" x14ac:dyDescent="0.25">
      <c r="A662" t="s">
        <v>159</v>
      </c>
      <c r="B662">
        <v>82691</v>
      </c>
      <c r="C662" s="2">
        <v>70</v>
      </c>
      <c r="D662" s="1">
        <v>43640</v>
      </c>
      <c r="E662" t="str">
        <f>"12955"</f>
        <v>12955</v>
      </c>
      <c r="F662" t="str">
        <f>"SERVICE 04/04/19"</f>
        <v>SERVICE 04/04/19</v>
      </c>
      <c r="G662" s="2">
        <v>70</v>
      </c>
      <c r="H662" t="str">
        <f>"SERVICE 04/04/19"</f>
        <v>SERVICE 04/04/19</v>
      </c>
    </row>
    <row r="663" spans="1:8" x14ac:dyDescent="0.25">
      <c r="A663" t="s">
        <v>160</v>
      </c>
      <c r="B663">
        <v>82692</v>
      </c>
      <c r="C663" s="2">
        <v>595</v>
      </c>
      <c r="D663" s="1">
        <v>43640</v>
      </c>
      <c r="E663" t="str">
        <f>"0142134  06/04/19"</f>
        <v>0142134  06/04/19</v>
      </c>
      <c r="F663" t="str">
        <f>"MEMBER#300142135/300180980"</f>
        <v>MEMBER#300142135/300180980</v>
      </c>
      <c r="G663" s="2">
        <v>595</v>
      </c>
      <c r="H663" t="str">
        <f>"MEMBER#300142135/300180980"</f>
        <v>MEMBER#300142135/300180980</v>
      </c>
    </row>
    <row r="664" spans="1:8" x14ac:dyDescent="0.25">
      <c r="A664" t="s">
        <v>161</v>
      </c>
      <c r="B664">
        <v>82693</v>
      </c>
      <c r="C664" s="2">
        <v>9490.25</v>
      </c>
      <c r="D664" s="1">
        <v>43640</v>
      </c>
      <c r="E664" t="str">
        <f>"201906139884"</f>
        <v>201906139884</v>
      </c>
      <c r="F664" t="str">
        <f>"EXPERT SVCS 04/01/19-05/31/19"</f>
        <v>EXPERT SVCS 04/01/19-05/31/19</v>
      </c>
      <c r="G664" s="2">
        <v>9490.25</v>
      </c>
      <c r="H664" t="str">
        <f>"EXPERT SVCS 04/01/19-05/31/19"</f>
        <v>EXPERT SVCS 04/01/19-05/31/19</v>
      </c>
    </row>
    <row r="665" spans="1:8" x14ac:dyDescent="0.25">
      <c r="A665" t="s">
        <v>162</v>
      </c>
      <c r="B665">
        <v>981</v>
      </c>
      <c r="C665" s="2">
        <v>125.37</v>
      </c>
      <c r="D665" s="1">
        <v>43641</v>
      </c>
      <c r="E665" t="str">
        <f>"INV0712655 714120"</f>
        <v>INV0712655 714120</v>
      </c>
      <c r="F665" t="str">
        <f>"INV0712655"</f>
        <v>INV0712655</v>
      </c>
      <c r="G665" s="2">
        <v>125.37</v>
      </c>
      <c r="H665" t="str">
        <f>"INV0712655"</f>
        <v>INV0712655</v>
      </c>
    </row>
    <row r="666" spans="1:8" x14ac:dyDescent="0.25">
      <c r="E666" t="str">
        <f>""</f>
        <v/>
      </c>
      <c r="F666" t="str">
        <f>""</f>
        <v/>
      </c>
      <c r="H666" t="str">
        <f>"INV0714120"</f>
        <v>INV0714120</v>
      </c>
    </row>
    <row r="667" spans="1:8" x14ac:dyDescent="0.25">
      <c r="A667" t="s">
        <v>163</v>
      </c>
      <c r="B667">
        <v>919</v>
      </c>
      <c r="C667" s="2">
        <v>1898.5</v>
      </c>
      <c r="D667" s="1">
        <v>43627</v>
      </c>
      <c r="E667" t="str">
        <f>"1676521 1679966"</f>
        <v>1676521 1679966</v>
      </c>
      <c r="F667" t="str">
        <f>"INV 1676521"</f>
        <v>INV 1676521</v>
      </c>
      <c r="G667" s="2">
        <v>1898.5</v>
      </c>
      <c r="H667" t="str">
        <f>"INV 1676521"</f>
        <v>INV 1676521</v>
      </c>
    </row>
    <row r="668" spans="1:8" x14ac:dyDescent="0.25">
      <c r="E668" t="str">
        <f>""</f>
        <v/>
      </c>
      <c r="F668" t="str">
        <f>""</f>
        <v/>
      </c>
      <c r="H668" t="str">
        <f>"INV 1679966"</f>
        <v>INV 1679966</v>
      </c>
    </row>
    <row r="669" spans="1:8" x14ac:dyDescent="0.25">
      <c r="A669" t="s">
        <v>163</v>
      </c>
      <c r="B669">
        <v>992</v>
      </c>
      <c r="C669" s="2">
        <v>1323.6</v>
      </c>
      <c r="D669" s="1">
        <v>43641</v>
      </c>
      <c r="E669" t="str">
        <f>"1686275"</f>
        <v>1686275</v>
      </c>
      <c r="F669" t="str">
        <f>"Gulf Coast Paper"</f>
        <v>Gulf Coast Paper</v>
      </c>
      <c r="G669" s="2">
        <v>157.05000000000001</v>
      </c>
      <c r="H669" t="str">
        <f>"GP89480"</f>
        <v>GP89480</v>
      </c>
    </row>
    <row r="670" spans="1:8" x14ac:dyDescent="0.25">
      <c r="E670" t="str">
        <f>"1689660"</f>
        <v>1689660</v>
      </c>
      <c r="F670" t="str">
        <f>"INV 1689660"</f>
        <v>INV 1689660</v>
      </c>
      <c r="G670" s="2">
        <v>1166.55</v>
      </c>
      <c r="H670" t="str">
        <f>"INV 1689660"</f>
        <v>INV 1689660</v>
      </c>
    </row>
    <row r="671" spans="1:8" x14ac:dyDescent="0.25">
      <c r="A671" t="s">
        <v>164</v>
      </c>
      <c r="B671">
        <v>990</v>
      </c>
      <c r="C671" s="2">
        <v>89851.63</v>
      </c>
      <c r="D671" s="1">
        <v>43641</v>
      </c>
      <c r="E671" t="str">
        <f>"0025096"</f>
        <v>0025096</v>
      </c>
      <c r="F671" t="str">
        <f>"PROJ#032318.003/GREEN VALLEY"</f>
        <v>PROJ#032318.003/GREEN VALLEY</v>
      </c>
      <c r="G671" s="2">
        <v>16424.25</v>
      </c>
      <c r="H671" t="str">
        <f>"PROJ#032318.003/GREEN VALLEY"</f>
        <v>PROJ#032318.003/GREEN VALLEY</v>
      </c>
    </row>
    <row r="672" spans="1:8" x14ac:dyDescent="0.25">
      <c r="E672" t="str">
        <f>"AVO35837"</f>
        <v>AVO35837</v>
      </c>
      <c r="F672" t="str">
        <f>"TWDB FLOOD PROTECTION PLANNING"</f>
        <v>TWDB FLOOD PROTECTION PLANNING</v>
      </c>
      <c r="G672" s="2">
        <v>73427.38</v>
      </c>
      <c r="H672" t="str">
        <f>"TWDB FLOOD PROTECTION PLANNING"</f>
        <v>TWDB FLOOD PROTECTION PLANNING</v>
      </c>
    </row>
    <row r="673" spans="1:8" x14ac:dyDescent="0.25">
      <c r="A673" t="s">
        <v>164</v>
      </c>
      <c r="B673">
        <v>82514</v>
      </c>
      <c r="C673" s="2">
        <v>2815.15</v>
      </c>
      <c r="D673" s="1">
        <v>43626</v>
      </c>
      <c r="E673" t="str">
        <f>"00021833"</f>
        <v>00021833</v>
      </c>
      <c r="F673" t="str">
        <f>"PROJ#032285.006"</f>
        <v>PROJ#032285.006</v>
      </c>
      <c r="G673" s="2">
        <v>2815.15</v>
      </c>
      <c r="H673" t="str">
        <f>"PROJ#032285.006"</f>
        <v>PROJ#032285.006</v>
      </c>
    </row>
    <row r="674" spans="1:8" x14ac:dyDescent="0.25">
      <c r="A674" t="s">
        <v>165</v>
      </c>
      <c r="B674">
        <v>982</v>
      </c>
      <c r="C674" s="2">
        <v>202.85</v>
      </c>
      <c r="D674" s="1">
        <v>43641</v>
      </c>
      <c r="E674" t="str">
        <f>"562421"</f>
        <v>562421</v>
      </c>
      <c r="F674" t="str">
        <f>"CUST#5532/PARTS/PCT#2"</f>
        <v>CUST#5532/PARTS/PCT#2</v>
      </c>
      <c r="G674" s="2">
        <v>202.85</v>
      </c>
      <c r="H674" t="str">
        <f>"CUST#5532/PARTS/PCT#2"</f>
        <v>CUST#5532/PARTS/PCT#2</v>
      </c>
    </row>
    <row r="675" spans="1:8" x14ac:dyDescent="0.25">
      <c r="A675" t="s">
        <v>166</v>
      </c>
      <c r="B675">
        <v>82694</v>
      </c>
      <c r="C675" s="2">
        <v>944</v>
      </c>
      <c r="D675" s="1">
        <v>43640</v>
      </c>
      <c r="E675" t="str">
        <f>"272384"</f>
        <v>272384</v>
      </c>
      <c r="F675" t="str">
        <f>"ITEM#0622010330/PCT#3"</f>
        <v>ITEM#0622010330/PCT#3</v>
      </c>
      <c r="G675" s="2">
        <v>944</v>
      </c>
      <c r="H675" t="str">
        <f>"ITEM#0622010330/PCT#3"</f>
        <v>ITEM#0622010330/PCT#3</v>
      </c>
    </row>
    <row r="676" spans="1:8" x14ac:dyDescent="0.25">
      <c r="A676" t="s">
        <v>167</v>
      </c>
      <c r="B676">
        <v>82695</v>
      </c>
      <c r="C676" s="2">
        <v>75</v>
      </c>
      <c r="D676" s="1">
        <v>43640</v>
      </c>
      <c r="E676" t="str">
        <f>"13014"</f>
        <v>13014</v>
      </c>
      <c r="F676" t="str">
        <f>"SERVICE 04/04/19"</f>
        <v>SERVICE 04/04/19</v>
      </c>
      <c r="G676" s="2">
        <v>75</v>
      </c>
      <c r="H676" t="str">
        <f>"SERVICE 04/04/19"</f>
        <v>SERVICE 04/04/19</v>
      </c>
    </row>
    <row r="677" spans="1:8" x14ac:dyDescent="0.25">
      <c r="A677" t="s">
        <v>168</v>
      </c>
      <c r="B677">
        <v>82696</v>
      </c>
      <c r="C677" s="2">
        <v>136.5</v>
      </c>
      <c r="D677" s="1">
        <v>43640</v>
      </c>
      <c r="E677" t="str">
        <f>"19061000"</f>
        <v>19061000</v>
      </c>
      <c r="F677" t="str">
        <f>"17-18603/COURT REPORTER FEES"</f>
        <v>17-18603/COURT REPORTER FEES</v>
      </c>
      <c r="G677" s="2">
        <v>136.5</v>
      </c>
      <c r="H677" t="str">
        <f>"17-18603/COURT REPORTER FEES"</f>
        <v>17-18603/COURT REPORTER FEES</v>
      </c>
    </row>
    <row r="678" spans="1:8" x14ac:dyDescent="0.25">
      <c r="A678" t="s">
        <v>169</v>
      </c>
      <c r="B678">
        <v>82697</v>
      </c>
      <c r="C678" s="2">
        <v>175</v>
      </c>
      <c r="D678" s="1">
        <v>43640</v>
      </c>
      <c r="E678" t="str">
        <f>"INV812483"</f>
        <v>INV812483</v>
      </c>
      <c r="F678" t="str">
        <f>"INV812483"</f>
        <v>INV812483</v>
      </c>
      <c r="G678" s="2">
        <v>175</v>
      </c>
      <c r="H678" t="str">
        <f>"INV812483"</f>
        <v>INV812483</v>
      </c>
    </row>
    <row r="679" spans="1:8" x14ac:dyDescent="0.25">
      <c r="A679" t="s">
        <v>170</v>
      </c>
      <c r="B679">
        <v>82698</v>
      </c>
      <c r="C679" s="2">
        <v>1773.8</v>
      </c>
      <c r="D679" s="1">
        <v>43640</v>
      </c>
      <c r="E679" t="str">
        <f>"565576-01"</f>
        <v>565576-01</v>
      </c>
      <c r="F679" t="str">
        <f>"CUST#180474-0/PCT#2"</f>
        <v>CUST#180474-0/PCT#2</v>
      </c>
      <c r="G679" s="2">
        <v>1773.8</v>
      </c>
      <c r="H679" t="str">
        <f>"CUST#180474-0/PCT#2"</f>
        <v>CUST#180474-0/PCT#2</v>
      </c>
    </row>
    <row r="680" spans="1:8" x14ac:dyDescent="0.25">
      <c r="A680" t="s">
        <v>171</v>
      </c>
      <c r="B680">
        <v>82699</v>
      </c>
      <c r="C680" s="2">
        <v>170</v>
      </c>
      <c r="D680" s="1">
        <v>43640</v>
      </c>
      <c r="E680" t="str">
        <f>"12979"</f>
        <v>12979</v>
      </c>
      <c r="F680" t="str">
        <f>"SERVICE 04/04/19"</f>
        <v>SERVICE 04/04/19</v>
      </c>
      <c r="G680" s="2">
        <v>170</v>
      </c>
      <c r="H680" t="str">
        <f>"SERVICE 04/04/19"</f>
        <v>SERVICE 04/04/19</v>
      </c>
    </row>
    <row r="681" spans="1:8" x14ac:dyDescent="0.25">
      <c r="A681" t="s">
        <v>172</v>
      </c>
      <c r="B681">
        <v>82515</v>
      </c>
      <c r="C681" s="2">
        <v>2251.5100000000002</v>
      </c>
      <c r="D681" s="1">
        <v>43626</v>
      </c>
      <c r="E681" t="str">
        <f>"RF21464"</f>
        <v>RF21464</v>
      </c>
      <c r="F681" t="str">
        <f>"ACCT#68930-000/ANIMAL SVCS"</f>
        <v>ACCT#68930-000/ANIMAL SVCS</v>
      </c>
      <c r="G681" s="2">
        <v>169.76</v>
      </c>
      <c r="H681" t="str">
        <f t="shared" ref="H681:H693" si="16">"ACCT#68930-000/ANIMAL SVCS"</f>
        <v>ACCT#68930-000/ANIMAL SVCS</v>
      </c>
    </row>
    <row r="682" spans="1:8" x14ac:dyDescent="0.25">
      <c r="E682" t="str">
        <f>"RG18392"</f>
        <v>RG18392</v>
      </c>
      <c r="F682" t="str">
        <f>"ACCT#68930-000/ANIMAL SVCS"</f>
        <v>ACCT#68930-000/ANIMAL SVCS</v>
      </c>
      <c r="G682" s="2">
        <v>349.91</v>
      </c>
      <c r="H682" t="str">
        <f t="shared" si="16"/>
        <v>ACCT#68930-000/ANIMAL SVCS</v>
      </c>
    </row>
    <row r="683" spans="1:8" x14ac:dyDescent="0.25">
      <c r="E683" t="str">
        <f>"RG28581"</f>
        <v>RG28581</v>
      </c>
      <c r="F683" t="str">
        <f>"ACCT#68930-000/ANIMAL SVCS"</f>
        <v>ACCT#68930-000/ANIMAL SVCS</v>
      </c>
      <c r="G683" s="2">
        <v>186.21</v>
      </c>
      <c r="H683" t="str">
        <f t="shared" si="16"/>
        <v>ACCT#68930-000/ANIMAL SVCS</v>
      </c>
    </row>
    <row r="684" spans="1:8" x14ac:dyDescent="0.25">
      <c r="E684" t="str">
        <f>"RG35101"</f>
        <v>RG35101</v>
      </c>
      <c r="F684" t="str">
        <f>"ACCT#68930-000/ANIMAL SVCS"</f>
        <v>ACCT#68930-000/ANIMAL SVCS</v>
      </c>
      <c r="G684" s="2">
        <v>650.20000000000005</v>
      </c>
      <c r="H684" t="str">
        <f t="shared" si="16"/>
        <v>ACCT#68930-000/ANIMAL SVCS</v>
      </c>
    </row>
    <row r="685" spans="1:8" x14ac:dyDescent="0.25">
      <c r="E685" t="str">
        <f>""</f>
        <v/>
      </c>
      <c r="F685" t="str">
        <f>""</f>
        <v/>
      </c>
      <c r="H685" t="str">
        <f t="shared" si="16"/>
        <v>ACCT#68930-000/ANIMAL SVCS</v>
      </c>
    </row>
    <row r="686" spans="1:8" x14ac:dyDescent="0.25">
      <c r="E686" t="str">
        <f>"RG35213"</f>
        <v>RG35213</v>
      </c>
      <c r="F686" t="str">
        <f t="shared" ref="F686:F693" si="17">"ACCT#68930-000/ANIMAL SVCS"</f>
        <v>ACCT#68930-000/ANIMAL SVCS</v>
      </c>
      <c r="G686" s="2">
        <v>236.98</v>
      </c>
      <c r="H686" t="str">
        <f t="shared" si="16"/>
        <v>ACCT#68930-000/ANIMAL SVCS</v>
      </c>
    </row>
    <row r="687" spans="1:8" x14ac:dyDescent="0.25">
      <c r="E687" t="str">
        <f>"RG35325"</f>
        <v>RG35325</v>
      </c>
      <c r="F687" t="str">
        <f t="shared" si="17"/>
        <v>ACCT#68930-000/ANIMAL SVCS</v>
      </c>
      <c r="G687" s="2">
        <v>229.68</v>
      </c>
      <c r="H687" t="str">
        <f t="shared" si="16"/>
        <v>ACCT#68930-000/ANIMAL SVCS</v>
      </c>
    </row>
    <row r="688" spans="1:8" x14ac:dyDescent="0.25">
      <c r="E688" t="str">
        <f>"RG84430"</f>
        <v>RG84430</v>
      </c>
      <c r="F688" t="str">
        <f t="shared" si="17"/>
        <v>ACCT#68930-000/ANIMAL SVCS</v>
      </c>
      <c r="G688" s="2">
        <v>428.77</v>
      </c>
      <c r="H688" t="str">
        <f t="shared" si="16"/>
        <v>ACCT#68930-000/ANIMAL SVCS</v>
      </c>
    </row>
    <row r="689" spans="1:9" x14ac:dyDescent="0.25">
      <c r="A689" t="s">
        <v>172</v>
      </c>
      <c r="B689">
        <v>82700</v>
      </c>
      <c r="C689" s="2">
        <v>1315.66</v>
      </c>
      <c r="D689" s="1">
        <v>43640</v>
      </c>
      <c r="E689" t="str">
        <f>"RH38508"</f>
        <v>RH38508</v>
      </c>
      <c r="F689" t="str">
        <f t="shared" si="17"/>
        <v>ACCT#68930-000/ANIMAL SVCS</v>
      </c>
      <c r="G689" s="2">
        <v>254.63</v>
      </c>
      <c r="H689" t="str">
        <f t="shared" si="16"/>
        <v>ACCT#68930-000/ANIMAL SVCS</v>
      </c>
    </row>
    <row r="690" spans="1:9" x14ac:dyDescent="0.25">
      <c r="E690" t="str">
        <f>"RH38701"</f>
        <v>RH38701</v>
      </c>
      <c r="F690" t="str">
        <f t="shared" si="17"/>
        <v>ACCT#68930-000/ANIMAL SVCS</v>
      </c>
      <c r="G690" s="2">
        <v>85.44</v>
      </c>
      <c r="H690" t="str">
        <f t="shared" si="16"/>
        <v>ACCT#68930-000/ANIMAL SVCS</v>
      </c>
    </row>
    <row r="691" spans="1:9" x14ac:dyDescent="0.25">
      <c r="E691" t="str">
        <f>"RH40718"</f>
        <v>RH40718</v>
      </c>
      <c r="F691" t="str">
        <f t="shared" si="17"/>
        <v>ACCT#68930-000/ANIMAL SVCS</v>
      </c>
      <c r="G691" s="2">
        <v>103.26</v>
      </c>
      <c r="H691" t="str">
        <f t="shared" si="16"/>
        <v>ACCT#68930-000/ANIMAL SVCS</v>
      </c>
    </row>
    <row r="692" spans="1:9" x14ac:dyDescent="0.25">
      <c r="E692" t="str">
        <f>"RH52777"</f>
        <v>RH52777</v>
      </c>
      <c r="F692" t="str">
        <f t="shared" si="17"/>
        <v>ACCT#68930-000/ANIMAL SVCS</v>
      </c>
      <c r="G692" s="2">
        <v>664.28</v>
      </c>
      <c r="H692" t="str">
        <f t="shared" si="16"/>
        <v>ACCT#68930-000/ANIMAL SVCS</v>
      </c>
    </row>
    <row r="693" spans="1:9" x14ac:dyDescent="0.25">
      <c r="E693" t="str">
        <f>"RH72200"</f>
        <v>RH72200</v>
      </c>
      <c r="F693" t="str">
        <f t="shared" si="17"/>
        <v>ACCT#68930-000/ANIMAL SVCS</v>
      </c>
      <c r="G693" s="2">
        <v>208.05</v>
      </c>
      <c r="H693" t="str">
        <f t="shared" si="16"/>
        <v>ACCT#68930-000/ANIMAL SVCS</v>
      </c>
    </row>
    <row r="694" spans="1:9" x14ac:dyDescent="0.25">
      <c r="A694" t="s">
        <v>173</v>
      </c>
      <c r="B694">
        <v>82701</v>
      </c>
      <c r="C694" s="2">
        <v>10</v>
      </c>
      <c r="D694" s="1">
        <v>43640</v>
      </c>
      <c r="E694" t="str">
        <f>"201906200067"</f>
        <v>201906200067</v>
      </c>
      <c r="F694" t="str">
        <f>"FERAL HOGS"</f>
        <v>FERAL HOGS</v>
      </c>
      <c r="G694" s="2">
        <v>5</v>
      </c>
      <c r="H694" t="str">
        <f>"FERAL HOGS"</f>
        <v>FERAL HOGS</v>
      </c>
    </row>
    <row r="695" spans="1:9" x14ac:dyDescent="0.25">
      <c r="E695" t="str">
        <f>"201906200068"</f>
        <v>201906200068</v>
      </c>
      <c r="F695" t="str">
        <f>"FERAL HOGS"</f>
        <v>FERAL HOGS</v>
      </c>
      <c r="G695" s="2">
        <v>5</v>
      </c>
      <c r="H695" t="str">
        <f>"FERAL HOGS"</f>
        <v>FERAL HOGS</v>
      </c>
    </row>
    <row r="696" spans="1:9" x14ac:dyDescent="0.25">
      <c r="A696" t="s">
        <v>174</v>
      </c>
      <c r="B696">
        <v>82702</v>
      </c>
      <c r="C696" s="2">
        <v>100</v>
      </c>
      <c r="D696" s="1">
        <v>43640</v>
      </c>
      <c r="E696" t="s">
        <v>175</v>
      </c>
      <c r="F696" t="s">
        <v>176</v>
      </c>
      <c r="G696" s="2" t="str">
        <f>"RESTITUTION-M. FELTS"</f>
        <v>RESTITUTION-M. FELTS</v>
      </c>
      <c r="H696" t="str">
        <f>"210-0000"</f>
        <v>210-0000</v>
      </c>
      <c r="I696" t="str">
        <f>""</f>
        <v/>
      </c>
    </row>
    <row r="697" spans="1:9" x14ac:dyDescent="0.25">
      <c r="A697" t="s">
        <v>177</v>
      </c>
      <c r="B697">
        <v>82516</v>
      </c>
      <c r="C697" s="2">
        <v>376.27</v>
      </c>
      <c r="D697" s="1">
        <v>43626</v>
      </c>
      <c r="E697" t="str">
        <f>"10697714"</f>
        <v>10697714</v>
      </c>
      <c r="F697" t="str">
        <f>"ACCT#0083705/CUST#3224/PCT#4"</f>
        <v>ACCT#0083705/CUST#3224/PCT#4</v>
      </c>
      <c r="G697" s="2">
        <v>376.27</v>
      </c>
      <c r="H697" t="str">
        <f>"ACCT#0083705/CUST#3224/PCT#4"</f>
        <v>ACCT#0083705/CUST#3224/PCT#4</v>
      </c>
    </row>
    <row r="698" spans="1:9" x14ac:dyDescent="0.25">
      <c r="A698" t="s">
        <v>178</v>
      </c>
      <c r="B698">
        <v>983</v>
      </c>
      <c r="C698" s="2">
        <v>650</v>
      </c>
      <c r="D698" s="1">
        <v>43641</v>
      </c>
      <c r="E698" t="str">
        <f>"201906180031"</f>
        <v>201906180031</v>
      </c>
      <c r="F698" t="str">
        <f>"PEST CONTROL"</f>
        <v>PEST CONTROL</v>
      </c>
      <c r="G698" s="2">
        <v>650</v>
      </c>
      <c r="H698" t="str">
        <f>"PEST CONTROL"</f>
        <v>PEST CONTROL</v>
      </c>
    </row>
    <row r="699" spans="1:9" x14ac:dyDescent="0.25">
      <c r="A699" t="s">
        <v>179</v>
      </c>
      <c r="B699">
        <v>82517</v>
      </c>
      <c r="C699" s="2">
        <v>1050</v>
      </c>
      <c r="D699" s="1">
        <v>43626</v>
      </c>
      <c r="E699" t="str">
        <f>"201906049667"</f>
        <v>201906049667</v>
      </c>
      <c r="F699" t="str">
        <f>"19-14627"</f>
        <v>19-14627</v>
      </c>
      <c r="G699" s="2">
        <v>175</v>
      </c>
      <c r="H699" t="str">
        <f>"19-14627"</f>
        <v>19-14627</v>
      </c>
    </row>
    <row r="700" spans="1:9" x14ac:dyDescent="0.25">
      <c r="E700" t="str">
        <f>"201906049668"</f>
        <v>201906049668</v>
      </c>
      <c r="F700" t="str">
        <f>"56 719"</f>
        <v>56 719</v>
      </c>
      <c r="G700" s="2">
        <v>250</v>
      </c>
      <c r="H700" t="str">
        <f>"56 719"</f>
        <v>56 719</v>
      </c>
    </row>
    <row r="701" spans="1:9" x14ac:dyDescent="0.25">
      <c r="E701" t="str">
        <f>"201906049669"</f>
        <v>201906049669</v>
      </c>
      <c r="F701" t="str">
        <f>"56 488"</f>
        <v>56 488</v>
      </c>
      <c r="G701" s="2">
        <v>250</v>
      </c>
      <c r="H701" t="str">
        <f>"56 488"</f>
        <v>56 488</v>
      </c>
    </row>
    <row r="702" spans="1:9" x14ac:dyDescent="0.25">
      <c r="E702" t="str">
        <f>"201906049670"</f>
        <v>201906049670</v>
      </c>
      <c r="F702" t="str">
        <f>"56 908  56 413"</f>
        <v>56 908  56 413</v>
      </c>
      <c r="G702" s="2">
        <v>375</v>
      </c>
      <c r="H702" t="str">
        <f>"56 908  56 413"</f>
        <v>56 908  56 413</v>
      </c>
    </row>
    <row r="703" spans="1:9" x14ac:dyDescent="0.25">
      <c r="A703" t="s">
        <v>179</v>
      </c>
      <c r="B703">
        <v>82703</v>
      </c>
      <c r="C703" s="2">
        <v>600</v>
      </c>
      <c r="D703" s="1">
        <v>43640</v>
      </c>
      <c r="E703" t="str">
        <f>"201906189979"</f>
        <v>201906189979</v>
      </c>
      <c r="F703" t="str">
        <f>"18-18864"</f>
        <v>18-18864</v>
      </c>
      <c r="G703" s="2">
        <v>250</v>
      </c>
      <c r="H703" t="str">
        <f>"18-18864"</f>
        <v>18-18864</v>
      </c>
    </row>
    <row r="704" spans="1:9" x14ac:dyDescent="0.25">
      <c r="E704" t="str">
        <f>"201906189980"</f>
        <v>201906189980</v>
      </c>
      <c r="F704" t="str">
        <f>"18-19094"</f>
        <v>18-19094</v>
      </c>
      <c r="G704" s="2">
        <v>175</v>
      </c>
      <c r="H704" t="str">
        <f>"18-19094"</f>
        <v>18-19094</v>
      </c>
    </row>
    <row r="705" spans="1:8" x14ac:dyDescent="0.25">
      <c r="E705" t="str">
        <f>"201906189981"</f>
        <v>201906189981</v>
      </c>
      <c r="F705" t="str">
        <f>"19-19591"</f>
        <v>19-19591</v>
      </c>
      <c r="G705" s="2">
        <v>175</v>
      </c>
      <c r="H705" t="str">
        <f>"19-19591"</f>
        <v>19-19591</v>
      </c>
    </row>
    <row r="706" spans="1:8" x14ac:dyDescent="0.25">
      <c r="A706" t="s">
        <v>180</v>
      </c>
      <c r="B706">
        <v>82518</v>
      </c>
      <c r="C706" s="2">
        <v>676.18</v>
      </c>
      <c r="D706" s="1">
        <v>43626</v>
      </c>
      <c r="E706" t="str">
        <f>"PIKP0084259"</f>
        <v>PIKP0084259</v>
      </c>
      <c r="F706" t="str">
        <f>"CUST#0129050/PCT#1"</f>
        <v>CUST#0129050/PCT#1</v>
      </c>
      <c r="G706" s="2">
        <v>460.92</v>
      </c>
      <c r="H706" t="str">
        <f>"CUST#0129050/PCT#1"</f>
        <v>CUST#0129050/PCT#1</v>
      </c>
    </row>
    <row r="707" spans="1:8" x14ac:dyDescent="0.25">
      <c r="E707" t="str">
        <f>"PIMA0309074"</f>
        <v>PIMA0309074</v>
      </c>
      <c r="F707" t="str">
        <f>"CUST#0129150/PCT#3"</f>
        <v>CUST#0129150/PCT#3</v>
      </c>
      <c r="G707" s="2">
        <v>215.26</v>
      </c>
      <c r="H707" t="str">
        <f>"CUST#0129150/PCT#3"</f>
        <v>CUST#0129150/PCT#3</v>
      </c>
    </row>
    <row r="708" spans="1:8" x14ac:dyDescent="0.25">
      <c r="A708" t="s">
        <v>180</v>
      </c>
      <c r="B708">
        <v>82704</v>
      </c>
      <c r="C708" s="2">
        <v>6844.24</v>
      </c>
      <c r="D708" s="1">
        <v>43640</v>
      </c>
      <c r="E708" t="str">
        <f>"PCKP0019484"</f>
        <v>PCKP0019484</v>
      </c>
      <c r="F708" t="str">
        <f>"CUST#0129050/CORE RETURN/P1"</f>
        <v>CUST#0129050/CORE RETURN/P1</v>
      </c>
      <c r="G708" s="2">
        <v>-205.28</v>
      </c>
      <c r="H708" t="str">
        <f>"CUST#0129050/CORE RETURN/P1"</f>
        <v>CUST#0129050/CORE RETURN/P1</v>
      </c>
    </row>
    <row r="709" spans="1:8" x14ac:dyDescent="0.25">
      <c r="E709" t="str">
        <f>"PIMA0309984"</f>
        <v>PIMA0309984</v>
      </c>
      <c r="F709" t="str">
        <f>"CUST#0129100/PARTS/PCT#2"</f>
        <v>CUST#0129100/PARTS/PCT#2</v>
      </c>
      <c r="G709" s="2">
        <v>789.04</v>
      </c>
      <c r="H709" t="str">
        <f>"CUST#0129100/PARTS/PCT#2"</f>
        <v>CUST#0129100/PARTS/PCT#2</v>
      </c>
    </row>
    <row r="710" spans="1:8" x14ac:dyDescent="0.25">
      <c r="E710" t="str">
        <f>"PIMA0309985"</f>
        <v>PIMA0309985</v>
      </c>
      <c r="F710" t="str">
        <f>"CUST#0129100/KEY/PCT#2"</f>
        <v>CUST#0129100/KEY/PCT#2</v>
      </c>
      <c r="G710" s="2">
        <v>33.08</v>
      </c>
      <c r="H710" t="str">
        <f>"CUST#0129100/KEY/PCT#2"</f>
        <v>CUST#0129100/KEY/PCT#2</v>
      </c>
    </row>
    <row r="711" spans="1:8" x14ac:dyDescent="0.25">
      <c r="E711" t="str">
        <f>"PIMA0310311"</f>
        <v>PIMA0310311</v>
      </c>
      <c r="F711" t="str">
        <f>"CUST#0129150/PCT#3"</f>
        <v>CUST#0129150/PCT#3</v>
      </c>
      <c r="G711" s="2">
        <v>196.5</v>
      </c>
      <c r="H711" t="str">
        <f>"CUST#0129150/PCT#3"</f>
        <v>CUST#0129150/PCT#3</v>
      </c>
    </row>
    <row r="712" spans="1:8" x14ac:dyDescent="0.25">
      <c r="E712" t="str">
        <f>"PIMC0170452"</f>
        <v>PIMC0170452</v>
      </c>
      <c r="F712" t="str">
        <f>"CUST#0129100/BOLT/PCT#2"</f>
        <v>CUST#0129100/BOLT/PCT#2</v>
      </c>
      <c r="G712" s="2">
        <v>80.3</v>
      </c>
      <c r="H712" t="str">
        <f>"CUST#0129100/BOLT/PCT#2"</f>
        <v>CUST#0129100/BOLT/PCT#2</v>
      </c>
    </row>
    <row r="713" spans="1:8" x14ac:dyDescent="0.25">
      <c r="E713" t="str">
        <f>"PIMP0309307"</f>
        <v>PIMP0309307</v>
      </c>
      <c r="F713" t="str">
        <f>"CUST#0129200/PCT#4"</f>
        <v>CUST#0129200/PCT#4</v>
      </c>
      <c r="G713" s="2">
        <v>504.76</v>
      </c>
      <c r="H713" t="str">
        <f>"CUST#0129200/PCT#4"</f>
        <v>CUST#0129200/PCT#4</v>
      </c>
    </row>
    <row r="714" spans="1:8" x14ac:dyDescent="0.25">
      <c r="E714" t="str">
        <f>"PIMS0653751"</f>
        <v>PIMS0653751</v>
      </c>
      <c r="F714" t="str">
        <f>"CUST#0129050/PARTS/PCT#1"</f>
        <v>CUST#0129050/PARTS/PCT#1</v>
      </c>
      <c r="G714" s="2">
        <v>115.48</v>
      </c>
      <c r="H714" t="str">
        <f>"CUST#0129050/PARTS/PCT#1"</f>
        <v>CUST#0129050/PARTS/PCT#1</v>
      </c>
    </row>
    <row r="715" spans="1:8" x14ac:dyDescent="0.25">
      <c r="E715" t="str">
        <f>"PIMS0654222"</f>
        <v>PIMS0654222</v>
      </c>
      <c r="F715" t="str">
        <f>"CUST#0129050/PARTS/PCT#1"</f>
        <v>CUST#0129050/PARTS/PCT#1</v>
      </c>
      <c r="G715" s="2">
        <v>262.73</v>
      </c>
      <c r="H715" t="str">
        <f>"CUST#0129050/PARTS/PCT#1"</f>
        <v>CUST#0129050/PARTS/PCT#1</v>
      </c>
    </row>
    <row r="716" spans="1:8" x14ac:dyDescent="0.25">
      <c r="E716" t="str">
        <f>"WIUS0123727"</f>
        <v>WIUS0123727</v>
      </c>
      <c r="F716" t="str">
        <f>"CUST#0129150/PCT#3"</f>
        <v>CUST#0129150/PCT#3</v>
      </c>
      <c r="G716" s="2">
        <v>1339.19</v>
      </c>
      <c r="H716" t="str">
        <f>"CUST#0129150/PCT#3"</f>
        <v>CUST#0129150/PCT#3</v>
      </c>
    </row>
    <row r="717" spans="1:8" x14ac:dyDescent="0.25">
      <c r="E717" t="str">
        <f>"WIUS0126587"</f>
        <v>WIUS0126587</v>
      </c>
      <c r="F717" t="str">
        <f>"CUST#0129200/PCT#4"</f>
        <v>CUST#0129200/PCT#4</v>
      </c>
      <c r="G717" s="2">
        <v>1984.22</v>
      </c>
      <c r="H717" t="str">
        <f>"CUST#0129200/PCT#4"</f>
        <v>CUST#0129200/PCT#4</v>
      </c>
    </row>
    <row r="718" spans="1:8" x14ac:dyDescent="0.25">
      <c r="E718" t="str">
        <f>"WIUS0126590"</f>
        <v>WIUS0126590</v>
      </c>
      <c r="F718" t="str">
        <f>"CUST#0129200/PCT#4"</f>
        <v>CUST#0129200/PCT#4</v>
      </c>
      <c r="G718" s="2">
        <v>1744.22</v>
      </c>
      <c r="H718" t="str">
        <f>"CUST#0129200/PCT#4"</f>
        <v>CUST#0129200/PCT#4</v>
      </c>
    </row>
    <row r="719" spans="1:8" x14ac:dyDescent="0.25">
      <c r="A719" t="s">
        <v>181</v>
      </c>
      <c r="B719">
        <v>82519</v>
      </c>
      <c r="C719" s="2">
        <v>3168.81</v>
      </c>
      <c r="D719" s="1">
        <v>43626</v>
      </c>
      <c r="E719" t="str">
        <f>"201906049675"</f>
        <v>201906049675</v>
      </c>
      <c r="F719" t="str">
        <f>"acct# 0130"</f>
        <v>acct# 0130</v>
      </c>
      <c r="G719" s="2">
        <v>3168.81</v>
      </c>
      <c r="H719" t="str">
        <f>"Inv# 2526572"</f>
        <v>Inv# 2526572</v>
      </c>
    </row>
    <row r="720" spans="1:8" x14ac:dyDescent="0.25">
      <c r="E720" t="str">
        <f>""</f>
        <v/>
      </c>
      <c r="F720" t="str">
        <f>""</f>
        <v/>
      </c>
      <c r="H720" t="str">
        <f>"Inv# 4974178"</f>
        <v>Inv# 4974178</v>
      </c>
    </row>
    <row r="721" spans="5:8" x14ac:dyDescent="0.25">
      <c r="E721" t="str">
        <f>""</f>
        <v/>
      </c>
      <c r="F721" t="str">
        <f>""</f>
        <v/>
      </c>
      <c r="H721" t="str">
        <f>"Inv# 4974181"</f>
        <v>Inv# 4974181</v>
      </c>
    </row>
    <row r="722" spans="5:8" x14ac:dyDescent="0.25">
      <c r="E722" t="str">
        <f>""</f>
        <v/>
      </c>
      <c r="F722" t="str">
        <f>""</f>
        <v/>
      </c>
      <c r="H722" t="str">
        <f>"Inv# 4974187"</f>
        <v>Inv# 4974187</v>
      </c>
    </row>
    <row r="723" spans="5:8" x14ac:dyDescent="0.25">
      <c r="E723" t="str">
        <f>""</f>
        <v/>
      </c>
      <c r="F723" t="str">
        <f>""</f>
        <v/>
      </c>
      <c r="H723" t="str">
        <f>"Inv# 3142370"</f>
        <v>Inv# 3142370</v>
      </c>
    </row>
    <row r="724" spans="5:8" x14ac:dyDescent="0.25">
      <c r="E724" t="str">
        <f>""</f>
        <v/>
      </c>
      <c r="F724" t="str">
        <f>""</f>
        <v/>
      </c>
      <c r="H724" t="str">
        <f>"Inv# 3021491"</f>
        <v>Inv# 3021491</v>
      </c>
    </row>
    <row r="725" spans="5:8" x14ac:dyDescent="0.25">
      <c r="E725" t="str">
        <f>""</f>
        <v/>
      </c>
      <c r="F725" t="str">
        <f>""</f>
        <v/>
      </c>
      <c r="H725" t="str">
        <f>"Inv# 3021498"</f>
        <v>Inv# 3021498</v>
      </c>
    </row>
    <row r="726" spans="5:8" x14ac:dyDescent="0.25">
      <c r="E726" t="str">
        <f>""</f>
        <v/>
      </c>
      <c r="F726" t="str">
        <f>""</f>
        <v/>
      </c>
      <c r="H726" t="str">
        <f>"Inv# 3094292"</f>
        <v>Inv# 3094292</v>
      </c>
    </row>
    <row r="727" spans="5:8" x14ac:dyDescent="0.25">
      <c r="E727" t="str">
        <f>""</f>
        <v/>
      </c>
      <c r="F727" t="str">
        <f>""</f>
        <v/>
      </c>
      <c r="H727" t="str">
        <f>"Inv# 21716"</f>
        <v>Inv# 21716</v>
      </c>
    </row>
    <row r="728" spans="5:8" x14ac:dyDescent="0.25">
      <c r="E728" t="str">
        <f>""</f>
        <v/>
      </c>
      <c r="F728" t="str">
        <f>""</f>
        <v/>
      </c>
      <c r="H728" t="str">
        <f>"Inv# 9021876"</f>
        <v>Inv# 9021876</v>
      </c>
    </row>
    <row r="729" spans="5:8" x14ac:dyDescent="0.25">
      <c r="E729" t="str">
        <f>""</f>
        <v/>
      </c>
      <c r="F729" t="str">
        <f>""</f>
        <v/>
      </c>
      <c r="H729" t="str">
        <f>"Inv# 6022125"</f>
        <v>Inv# 6022125</v>
      </c>
    </row>
    <row r="730" spans="5:8" x14ac:dyDescent="0.25">
      <c r="E730" t="str">
        <f>""</f>
        <v/>
      </c>
      <c r="F730" t="str">
        <f>""</f>
        <v/>
      </c>
      <c r="H730" t="str">
        <f>"Inv# 5014934"</f>
        <v>Inv# 5014934</v>
      </c>
    </row>
    <row r="731" spans="5:8" x14ac:dyDescent="0.25">
      <c r="E731" t="str">
        <f>""</f>
        <v/>
      </c>
      <c r="F731" t="str">
        <f>""</f>
        <v/>
      </c>
      <c r="H731" t="str">
        <f>"Inv# 9152774"</f>
        <v>Inv# 9152774</v>
      </c>
    </row>
    <row r="732" spans="5:8" x14ac:dyDescent="0.25">
      <c r="E732" t="str">
        <f>""</f>
        <v/>
      </c>
      <c r="F732" t="str">
        <f>""</f>
        <v/>
      </c>
      <c r="H732" t="str">
        <f>"Inv# 9152783"</f>
        <v>Inv# 9152783</v>
      </c>
    </row>
    <row r="733" spans="5:8" x14ac:dyDescent="0.25">
      <c r="E733" t="str">
        <f>""</f>
        <v/>
      </c>
      <c r="F733" t="str">
        <f>""</f>
        <v/>
      </c>
      <c r="H733" t="str">
        <f>"Inv# 7974439"</f>
        <v>Inv# 7974439</v>
      </c>
    </row>
    <row r="734" spans="5:8" x14ac:dyDescent="0.25">
      <c r="E734" t="str">
        <f>""</f>
        <v/>
      </c>
      <c r="F734" t="str">
        <f>""</f>
        <v/>
      </c>
      <c r="H734" t="str">
        <f>"Inv# 3023472"</f>
        <v>Inv# 3023472</v>
      </c>
    </row>
    <row r="735" spans="5:8" x14ac:dyDescent="0.25">
      <c r="E735" t="str">
        <f>""</f>
        <v/>
      </c>
      <c r="F735" t="str">
        <f>""</f>
        <v/>
      </c>
      <c r="H735" t="str">
        <f>"Inv# 1023666"</f>
        <v>Inv# 1023666</v>
      </c>
    </row>
    <row r="736" spans="5:8" x14ac:dyDescent="0.25">
      <c r="E736" t="str">
        <f>""</f>
        <v/>
      </c>
      <c r="F736" t="str">
        <f>""</f>
        <v/>
      </c>
      <c r="H736" t="str">
        <f>"Inv# 10815"</f>
        <v>Inv# 10815</v>
      </c>
    </row>
    <row r="737" spans="5:8" x14ac:dyDescent="0.25">
      <c r="E737" t="str">
        <f>""</f>
        <v/>
      </c>
      <c r="F737" t="str">
        <f>""</f>
        <v/>
      </c>
      <c r="H737" t="str">
        <f>"Inv# 3100547"</f>
        <v>Inv# 3100547</v>
      </c>
    </row>
    <row r="738" spans="5:8" x14ac:dyDescent="0.25">
      <c r="E738" t="str">
        <f>""</f>
        <v/>
      </c>
      <c r="F738" t="str">
        <f>""</f>
        <v/>
      </c>
      <c r="H738" t="str">
        <f>"Inv# 6022146"</f>
        <v>Inv# 6022146</v>
      </c>
    </row>
    <row r="739" spans="5:8" x14ac:dyDescent="0.25">
      <c r="E739" t="str">
        <f>""</f>
        <v/>
      </c>
      <c r="F739" t="str">
        <f>""</f>
        <v/>
      </c>
      <c r="H739" t="str">
        <f>"Inv# 2855359"</f>
        <v>Inv# 2855359</v>
      </c>
    </row>
    <row r="740" spans="5:8" x14ac:dyDescent="0.25">
      <c r="E740" t="str">
        <f>""</f>
        <v/>
      </c>
      <c r="F740" t="str">
        <f>""</f>
        <v/>
      </c>
      <c r="H740" t="str">
        <f>"Inv# 2901728"</f>
        <v>Inv# 2901728</v>
      </c>
    </row>
    <row r="741" spans="5:8" x14ac:dyDescent="0.25">
      <c r="E741" t="str">
        <f>""</f>
        <v/>
      </c>
      <c r="F741" t="str">
        <f>""</f>
        <v/>
      </c>
      <c r="H741" t="str">
        <f>"Inv# 1206343"</f>
        <v>Inv# 1206343</v>
      </c>
    </row>
    <row r="742" spans="5:8" x14ac:dyDescent="0.25">
      <c r="E742" t="str">
        <f>""</f>
        <v/>
      </c>
      <c r="F742" t="str">
        <f>""</f>
        <v/>
      </c>
      <c r="H742" t="str">
        <f>"Inv# 1798249"</f>
        <v>Inv# 1798249</v>
      </c>
    </row>
    <row r="743" spans="5:8" x14ac:dyDescent="0.25">
      <c r="E743" t="str">
        <f>""</f>
        <v/>
      </c>
      <c r="F743" t="str">
        <f>""</f>
        <v/>
      </c>
      <c r="H743" t="str">
        <f>"Inv# 3152810"</f>
        <v>Inv# 3152810</v>
      </c>
    </row>
    <row r="744" spans="5:8" x14ac:dyDescent="0.25">
      <c r="E744" t="str">
        <f>""</f>
        <v/>
      </c>
      <c r="F744" t="str">
        <f>""</f>
        <v/>
      </c>
      <c r="H744" t="str">
        <f>"Inv# 23794"</f>
        <v>Inv# 23794</v>
      </c>
    </row>
    <row r="745" spans="5:8" x14ac:dyDescent="0.25">
      <c r="E745" t="str">
        <f>""</f>
        <v/>
      </c>
      <c r="F745" t="str">
        <f>""</f>
        <v/>
      </c>
      <c r="H745" t="str">
        <f>"Inv# 7974078"</f>
        <v>Inv# 7974078</v>
      </c>
    </row>
    <row r="746" spans="5:8" x14ac:dyDescent="0.25">
      <c r="E746" t="str">
        <f>""</f>
        <v/>
      </c>
      <c r="F746" t="str">
        <f>""</f>
        <v/>
      </c>
      <c r="H746" t="str">
        <f>"Inv# 3095285"</f>
        <v>Inv# 3095285</v>
      </c>
    </row>
    <row r="747" spans="5:8" x14ac:dyDescent="0.25">
      <c r="E747" t="str">
        <f>""</f>
        <v/>
      </c>
      <c r="F747" t="str">
        <f>""</f>
        <v/>
      </c>
      <c r="H747" t="str">
        <f>"Inv# 2101411"</f>
        <v>Inv# 2101411</v>
      </c>
    </row>
    <row r="748" spans="5:8" x14ac:dyDescent="0.25">
      <c r="E748" t="str">
        <f>""</f>
        <v/>
      </c>
      <c r="F748" t="str">
        <f>""</f>
        <v/>
      </c>
      <c r="H748" t="str">
        <f>"Inv# 10799"</f>
        <v>Inv# 10799</v>
      </c>
    </row>
    <row r="749" spans="5:8" x14ac:dyDescent="0.25">
      <c r="E749" t="str">
        <f>""</f>
        <v/>
      </c>
      <c r="F749" t="str">
        <f>""</f>
        <v/>
      </c>
      <c r="H749" t="str">
        <f>"Inv# 10800"</f>
        <v>Inv# 10800</v>
      </c>
    </row>
    <row r="750" spans="5:8" x14ac:dyDescent="0.25">
      <c r="E750" t="str">
        <f>""</f>
        <v/>
      </c>
      <c r="F750" t="str">
        <f>""</f>
        <v/>
      </c>
      <c r="H750" t="str">
        <f>"Inv# 5022229"</f>
        <v>Inv# 5022229</v>
      </c>
    </row>
    <row r="751" spans="5:8" x14ac:dyDescent="0.25">
      <c r="E751" t="str">
        <f>""</f>
        <v/>
      </c>
      <c r="F751" t="str">
        <f>""</f>
        <v/>
      </c>
      <c r="H751" t="str">
        <f>"Inv# 4974177"</f>
        <v>Inv# 4974177</v>
      </c>
    </row>
    <row r="752" spans="5:8" x14ac:dyDescent="0.25">
      <c r="E752" t="str">
        <f>""</f>
        <v/>
      </c>
      <c r="F752" t="str">
        <f>""</f>
        <v/>
      </c>
      <c r="H752" t="str">
        <f>"Inv# 152765"</f>
        <v>Inv# 152765</v>
      </c>
    </row>
    <row r="753" spans="1:8" x14ac:dyDescent="0.25">
      <c r="E753" t="str">
        <f>""</f>
        <v/>
      </c>
      <c r="F753" t="str">
        <f>""</f>
        <v/>
      </c>
      <c r="H753" t="str">
        <f>"Inv# 8114868"</f>
        <v>Inv# 8114868</v>
      </c>
    </row>
    <row r="754" spans="1:8" x14ac:dyDescent="0.25">
      <c r="E754" t="str">
        <f>""</f>
        <v/>
      </c>
      <c r="F754" t="str">
        <f>""</f>
        <v/>
      </c>
      <c r="H754" t="str">
        <f>"Inv# 8114868"</f>
        <v>Inv# 8114868</v>
      </c>
    </row>
    <row r="755" spans="1:8" x14ac:dyDescent="0.25">
      <c r="E755" t="str">
        <f>""</f>
        <v/>
      </c>
      <c r="F755" t="str">
        <f>""</f>
        <v/>
      </c>
      <c r="H755" t="str">
        <f>"Inv# 8114868"</f>
        <v>Inv# 8114868</v>
      </c>
    </row>
    <row r="756" spans="1:8" x14ac:dyDescent="0.25">
      <c r="E756" t="str">
        <f>""</f>
        <v/>
      </c>
      <c r="F756" t="str">
        <f>""</f>
        <v/>
      </c>
      <c r="H756" t="str">
        <f>"Inv# 4021352"</f>
        <v>Inv# 4021352</v>
      </c>
    </row>
    <row r="757" spans="1:8" x14ac:dyDescent="0.25">
      <c r="E757" t="str">
        <f>""</f>
        <v/>
      </c>
      <c r="F757" t="str">
        <f>""</f>
        <v/>
      </c>
      <c r="H757" t="str">
        <f>"Inv# 3021463"</f>
        <v>Inv# 3021463</v>
      </c>
    </row>
    <row r="758" spans="1:8" x14ac:dyDescent="0.25">
      <c r="E758" t="str">
        <f>""</f>
        <v/>
      </c>
      <c r="F758" t="str">
        <f>""</f>
        <v/>
      </c>
      <c r="H758" t="str">
        <f>"Inv# 3592353"</f>
        <v>Inv# 3592353</v>
      </c>
    </row>
    <row r="759" spans="1:8" x14ac:dyDescent="0.25">
      <c r="E759" t="str">
        <f>""</f>
        <v/>
      </c>
      <c r="F759" t="str">
        <f>""</f>
        <v/>
      </c>
      <c r="H759" t="str">
        <f>"Inv# 3561761"</f>
        <v>Inv# 3561761</v>
      </c>
    </row>
    <row r="760" spans="1:8" x14ac:dyDescent="0.25">
      <c r="E760" t="str">
        <f>""</f>
        <v/>
      </c>
      <c r="F760" t="str">
        <f>""</f>
        <v/>
      </c>
      <c r="H760" t="str">
        <f>"Inv# 7023001"</f>
        <v>Inv# 7023001</v>
      </c>
    </row>
    <row r="761" spans="1:8" x14ac:dyDescent="0.25">
      <c r="E761" t="str">
        <f>""</f>
        <v/>
      </c>
      <c r="F761" t="str">
        <f>""</f>
        <v/>
      </c>
      <c r="H761" t="str">
        <f>"Inv# 2010578"</f>
        <v>Inv# 2010578</v>
      </c>
    </row>
    <row r="762" spans="1:8" x14ac:dyDescent="0.25">
      <c r="E762" t="str">
        <f>""</f>
        <v/>
      </c>
      <c r="F762" t="str">
        <f>""</f>
        <v/>
      </c>
      <c r="H762" t="str">
        <f>"Inv# 2023535"</f>
        <v>Inv# 2023535</v>
      </c>
    </row>
    <row r="763" spans="1:8" x14ac:dyDescent="0.25">
      <c r="A763" t="s">
        <v>182</v>
      </c>
      <c r="B763">
        <v>82705</v>
      </c>
      <c r="C763" s="2">
        <v>2100</v>
      </c>
      <c r="D763" s="1">
        <v>43640</v>
      </c>
      <c r="E763" t="str">
        <f>"2082"</f>
        <v>2082</v>
      </c>
      <c r="F763" t="str">
        <f>"MICROCHIPS/ANIMAL SVCS"</f>
        <v>MICROCHIPS/ANIMAL SVCS</v>
      </c>
      <c r="G763" s="2">
        <v>2100</v>
      </c>
      <c r="H763" t="str">
        <f>"MICROCHIPS/ANIMAL SVCS"</f>
        <v>MICROCHIPS/ANIMAL SVCS</v>
      </c>
    </row>
    <row r="764" spans="1:8" x14ac:dyDescent="0.25">
      <c r="A764" t="s">
        <v>183</v>
      </c>
      <c r="B764">
        <v>82520</v>
      </c>
      <c r="C764" s="2">
        <v>362.5</v>
      </c>
      <c r="D764" s="1">
        <v>43626</v>
      </c>
      <c r="E764" t="str">
        <f>"SL2019-05_00205"</f>
        <v>SL2019-05_00205</v>
      </c>
      <c r="F764" t="str">
        <f>"SHELTERLUV SOFTWARE/ANIMAL SVC"</f>
        <v>SHELTERLUV SOFTWARE/ANIMAL SVC</v>
      </c>
      <c r="G764" s="2">
        <v>362.5</v>
      </c>
      <c r="H764" t="str">
        <f>"SHELTERLUV SOFTWARE/ANIMAL SVC"</f>
        <v>SHELTERLUV SOFTWARE/ANIMAL SVC</v>
      </c>
    </row>
    <row r="765" spans="1:8" x14ac:dyDescent="0.25">
      <c r="A765" t="s">
        <v>184</v>
      </c>
      <c r="B765">
        <v>930</v>
      </c>
      <c r="C765" s="2">
        <v>344.4</v>
      </c>
      <c r="D765" s="1">
        <v>43641</v>
      </c>
      <c r="E765" t="str">
        <f>"W2789400"</f>
        <v>W2789400</v>
      </c>
      <c r="F765" t="str">
        <f>"INV W2789400"</f>
        <v>INV W2789400</v>
      </c>
      <c r="G765" s="2">
        <v>344.4</v>
      </c>
      <c r="H765" t="str">
        <f>"INV W2789400"</f>
        <v>INV W2789400</v>
      </c>
    </row>
    <row r="766" spans="1:8" x14ac:dyDescent="0.25">
      <c r="A766" t="s">
        <v>185</v>
      </c>
      <c r="B766">
        <v>915</v>
      </c>
      <c r="C766" s="2">
        <v>2446</v>
      </c>
      <c r="D766" s="1">
        <v>43627</v>
      </c>
      <c r="E766" t="str">
        <f>"67911"</f>
        <v>67911</v>
      </c>
      <c r="F766" t="str">
        <f>"PROF SVCS-JULY 2019"</f>
        <v>PROF SVCS-JULY 2019</v>
      </c>
      <c r="G766" s="2">
        <v>2430</v>
      </c>
      <c r="H766" t="str">
        <f>"PROF SVCS-JULY 2019"</f>
        <v>PROF SVCS-JULY 2019</v>
      </c>
    </row>
    <row r="767" spans="1:8" x14ac:dyDescent="0.25">
      <c r="E767" t="str">
        <f>""</f>
        <v/>
      </c>
      <c r="F767" t="str">
        <f>""</f>
        <v/>
      </c>
      <c r="H767" t="str">
        <f>"PROF SVCS-JULY 2019"</f>
        <v>PROF SVCS-JULY 2019</v>
      </c>
    </row>
    <row r="768" spans="1:8" x14ac:dyDescent="0.25">
      <c r="E768" t="str">
        <f>"68038"</f>
        <v>68038</v>
      </c>
      <c r="F768" t="str">
        <f>"SEP 2018-MAY 2019 POWER SEARCH"</f>
        <v>SEP 2018-MAY 2019 POWER SEARCH</v>
      </c>
      <c r="G768" s="2">
        <v>16</v>
      </c>
      <c r="H768" t="str">
        <f>"SEP 2018-MAY 2019 POWER SEARCH"</f>
        <v>SEP 2018-MAY 2019 POWER SEARCH</v>
      </c>
    </row>
    <row r="769" spans="1:9" x14ac:dyDescent="0.25">
      <c r="A769" t="s">
        <v>186</v>
      </c>
      <c r="B769">
        <v>82521</v>
      </c>
      <c r="C769" s="2">
        <v>2381.8200000000002</v>
      </c>
      <c r="D769" s="1">
        <v>43626</v>
      </c>
      <c r="E769" t="str">
        <f>"153934A"</f>
        <v>153934A</v>
      </c>
      <c r="F769" t="str">
        <f>"CUST#31226/POLL CARTS"</f>
        <v>CUST#31226/POLL CARTS</v>
      </c>
      <c r="G769" s="2">
        <v>2381.8200000000002</v>
      </c>
      <c r="H769" t="str">
        <f>"CUST#31226/POLL CARTS"</f>
        <v>CUST#31226/POLL CARTS</v>
      </c>
    </row>
    <row r="770" spans="1:9" x14ac:dyDescent="0.25">
      <c r="A770" t="s">
        <v>187</v>
      </c>
      <c r="B770">
        <v>82522</v>
      </c>
      <c r="C770" s="2">
        <v>1490</v>
      </c>
      <c r="D770" s="1">
        <v>43626</v>
      </c>
      <c r="E770" t="str">
        <f>"241897168"</f>
        <v>241897168</v>
      </c>
      <c r="F770" t="str">
        <f>"CUST#10004926/HOMEAGAIN"</f>
        <v>CUST#10004926/HOMEAGAIN</v>
      </c>
      <c r="G770" s="2">
        <v>1490</v>
      </c>
      <c r="H770" t="str">
        <f>"CUST#10004926/HOMEAGAIN"</f>
        <v>CUST#10004926/HOMEAGAIN</v>
      </c>
    </row>
    <row r="771" spans="1:9" x14ac:dyDescent="0.25">
      <c r="A771" t="s">
        <v>188</v>
      </c>
      <c r="B771">
        <v>82523</v>
      </c>
      <c r="C771" s="2">
        <v>68.760000000000005</v>
      </c>
      <c r="D771" s="1">
        <v>43626</v>
      </c>
      <c r="E771" t="str">
        <f>"BRRN163"</f>
        <v>BRRN163</v>
      </c>
      <c r="F771" t="str">
        <f>"CUST ID:AX773/COUNTY CLERK"</f>
        <v>CUST ID:AX773/COUNTY CLERK</v>
      </c>
      <c r="G771" s="2">
        <v>68.760000000000005</v>
      </c>
      <c r="H771" t="str">
        <f>"CUST ID:AX773/COUNTY CLERK"</f>
        <v>CUST ID:AX773/COUNTY CLERK</v>
      </c>
    </row>
    <row r="772" spans="1:9" x14ac:dyDescent="0.25">
      <c r="A772" t="s">
        <v>189</v>
      </c>
      <c r="B772">
        <v>82706</v>
      </c>
      <c r="C772" s="2">
        <v>10</v>
      </c>
      <c r="D772" s="1">
        <v>43640</v>
      </c>
      <c r="E772" t="s">
        <v>190</v>
      </c>
      <c r="F772" t="s">
        <v>191</v>
      </c>
      <c r="G772" s="2" t="str">
        <f>"RESTITUTION-J. WINGWOOD"</f>
        <v>RESTITUTION-J. WINGWOOD</v>
      </c>
      <c r="H772" t="str">
        <f>"210-0000"</f>
        <v>210-0000</v>
      </c>
      <c r="I772" t="str">
        <f>""</f>
        <v/>
      </c>
    </row>
    <row r="773" spans="1:9" x14ac:dyDescent="0.25">
      <c r="A773" t="s">
        <v>192</v>
      </c>
      <c r="B773">
        <v>82707</v>
      </c>
      <c r="C773" s="2">
        <v>10</v>
      </c>
      <c r="D773" s="1">
        <v>43640</v>
      </c>
      <c r="E773" t="str">
        <f>"201906200069"</f>
        <v>201906200069</v>
      </c>
      <c r="F773" t="str">
        <f>"FERAL HOGS"</f>
        <v>FERAL HOGS</v>
      </c>
      <c r="G773" s="2">
        <v>10</v>
      </c>
      <c r="H773" t="str">
        <f>"FERAL HOGS"</f>
        <v>FERAL HOGS</v>
      </c>
    </row>
    <row r="774" spans="1:9" x14ac:dyDescent="0.25">
      <c r="A774" t="s">
        <v>193</v>
      </c>
      <c r="B774">
        <v>82708</v>
      </c>
      <c r="C774" s="2">
        <v>205</v>
      </c>
      <c r="D774" s="1">
        <v>43640</v>
      </c>
      <c r="E774" t="str">
        <f>"201906139877"</f>
        <v>201906139877</v>
      </c>
      <c r="F774" t="str">
        <f>"PER DIEM"</f>
        <v>PER DIEM</v>
      </c>
      <c r="G774" s="2">
        <v>205</v>
      </c>
      <c r="H774" t="str">
        <f>"PER DIEM"</f>
        <v>PER DIEM</v>
      </c>
    </row>
    <row r="775" spans="1:9" x14ac:dyDescent="0.25">
      <c r="A775" t="s">
        <v>194</v>
      </c>
      <c r="B775">
        <v>82709</v>
      </c>
      <c r="C775" s="2">
        <v>50</v>
      </c>
      <c r="D775" s="1">
        <v>43640</v>
      </c>
      <c r="E775" t="s">
        <v>195</v>
      </c>
      <c r="F775" t="s">
        <v>196</v>
      </c>
      <c r="G775" s="2" t="str">
        <f>"RESTITUTION-Z. PALUCH"</f>
        <v>RESTITUTION-Z. PALUCH</v>
      </c>
      <c r="H775" t="str">
        <f>"210-0000"</f>
        <v>210-0000</v>
      </c>
      <c r="I775" t="str">
        <f>""</f>
        <v/>
      </c>
    </row>
    <row r="776" spans="1:9" x14ac:dyDescent="0.25">
      <c r="A776" t="s">
        <v>197</v>
      </c>
      <c r="B776">
        <v>82710</v>
      </c>
      <c r="C776" s="2">
        <v>441.76</v>
      </c>
      <c r="D776" s="1">
        <v>43640</v>
      </c>
      <c r="E776" t="str">
        <f>"201906179909"</f>
        <v>201906179909</v>
      </c>
      <c r="F776" t="str">
        <f>"PER DIEM/ MILEAGE"</f>
        <v>PER DIEM/ MILEAGE</v>
      </c>
      <c r="G776" s="2">
        <v>441.76</v>
      </c>
      <c r="H776" t="str">
        <f>"PER DIEM/ MILEAGE"</f>
        <v>PER DIEM/ MILEAGE</v>
      </c>
    </row>
    <row r="777" spans="1:9" x14ac:dyDescent="0.25">
      <c r="A777" t="s">
        <v>198</v>
      </c>
      <c r="B777">
        <v>923</v>
      </c>
      <c r="C777" s="2">
        <v>1300</v>
      </c>
      <c r="D777" s="1">
        <v>43627</v>
      </c>
      <c r="E777" t="str">
        <f>"12356"</f>
        <v>12356</v>
      </c>
      <c r="F777" t="str">
        <f>"AD LITEM FEE"</f>
        <v>AD LITEM FEE</v>
      </c>
      <c r="G777" s="2">
        <v>150</v>
      </c>
      <c r="H777" t="str">
        <f>"AD LITEM FEE"</f>
        <v>AD LITEM FEE</v>
      </c>
    </row>
    <row r="778" spans="1:9" x14ac:dyDescent="0.25">
      <c r="E778" t="str">
        <f>"12394"</f>
        <v>12394</v>
      </c>
      <c r="F778" t="str">
        <f>"AD LITEM FEE"</f>
        <v>AD LITEM FEE</v>
      </c>
      <c r="G778" s="2">
        <v>150</v>
      </c>
      <c r="H778" t="str">
        <f>"AD LITEM FEE"</f>
        <v>AD LITEM FEE</v>
      </c>
    </row>
    <row r="779" spans="1:9" x14ac:dyDescent="0.25">
      <c r="E779" t="str">
        <f>"201906049619"</f>
        <v>201906049619</v>
      </c>
      <c r="F779" t="str">
        <f>"56 684  56 685"</f>
        <v>56 684  56 685</v>
      </c>
      <c r="G779" s="2">
        <v>375</v>
      </c>
      <c r="H779" t="str">
        <f>"56 684  56 685"</f>
        <v>56 684  56 685</v>
      </c>
    </row>
    <row r="780" spans="1:9" x14ac:dyDescent="0.25">
      <c r="E780" t="str">
        <f>"201906049620"</f>
        <v>201906049620</v>
      </c>
      <c r="F780" t="str">
        <f>"56 899"</f>
        <v>56 899</v>
      </c>
      <c r="G780" s="2">
        <v>375</v>
      </c>
      <c r="H780" t="str">
        <f>"56 899"</f>
        <v>56 899</v>
      </c>
    </row>
    <row r="781" spans="1:9" x14ac:dyDescent="0.25">
      <c r="E781" t="str">
        <f>"201906049621"</f>
        <v>201906049621</v>
      </c>
      <c r="F781" t="str">
        <f>"56 766"</f>
        <v>56 766</v>
      </c>
      <c r="G781" s="2">
        <v>250</v>
      </c>
      <c r="H781" t="str">
        <f>"56 766"</f>
        <v>56 766</v>
      </c>
    </row>
    <row r="782" spans="1:9" x14ac:dyDescent="0.25">
      <c r="A782" t="s">
        <v>198</v>
      </c>
      <c r="B782">
        <v>999</v>
      </c>
      <c r="C782" s="2">
        <v>2034.35</v>
      </c>
      <c r="D782" s="1">
        <v>43641</v>
      </c>
      <c r="E782" t="str">
        <f>"11102"</f>
        <v>11102</v>
      </c>
      <c r="F782" t="str">
        <f>"AD LITEM FEE  05/14/19"</f>
        <v>AD LITEM FEE  05/14/19</v>
      </c>
      <c r="G782" s="2">
        <v>150</v>
      </c>
      <c r="H782" t="str">
        <f>"AD LITEM FEE  05/14/19"</f>
        <v>AD LITEM FEE  05/14/19</v>
      </c>
    </row>
    <row r="783" spans="1:9" x14ac:dyDescent="0.25">
      <c r="E783" t="str">
        <f>"12250"</f>
        <v>12250</v>
      </c>
      <c r="F783" t="str">
        <f>"AD LITEM FEE  05/14/19"</f>
        <v>AD LITEM FEE  05/14/19</v>
      </c>
      <c r="G783" s="2">
        <v>150</v>
      </c>
      <c r="H783" t="str">
        <f>"AD LITEM FEE  05/14/19"</f>
        <v>AD LITEM FEE  05/14/19</v>
      </c>
    </row>
    <row r="784" spans="1:9" x14ac:dyDescent="0.25">
      <c r="E784" t="str">
        <f>"12572"</f>
        <v>12572</v>
      </c>
      <c r="F784" t="str">
        <f>"AD LITEM FEE 04/04/19"</f>
        <v>AD LITEM FEE 04/04/19</v>
      </c>
      <c r="G784" s="2">
        <v>150</v>
      </c>
      <c r="H784" t="str">
        <f>"AD LITEM FEE 04/04/19"</f>
        <v>AD LITEM FEE 04/04/19</v>
      </c>
    </row>
    <row r="785" spans="1:9" x14ac:dyDescent="0.25">
      <c r="E785" t="str">
        <f>"12620"</f>
        <v>12620</v>
      </c>
      <c r="F785" t="str">
        <f>"AD LITEM FEE  04/04/19"</f>
        <v>AD LITEM FEE  04/04/19</v>
      </c>
      <c r="G785" s="2">
        <v>134.35</v>
      </c>
      <c r="H785" t="str">
        <f>"AD LITEM FEE  04/04/19"</f>
        <v>AD LITEM FEE  04/04/19</v>
      </c>
    </row>
    <row r="786" spans="1:9" x14ac:dyDescent="0.25">
      <c r="E786" t="str">
        <f>"12718"</f>
        <v>12718</v>
      </c>
      <c r="F786" t="str">
        <f>"AD LITEM FEE  04/04/19"</f>
        <v>AD LITEM FEE  04/04/19</v>
      </c>
      <c r="G786" s="2">
        <v>150</v>
      </c>
      <c r="H786" t="str">
        <f>"AD LITEM FEE  04/04/19"</f>
        <v>AD LITEM FEE  04/04/19</v>
      </c>
    </row>
    <row r="787" spans="1:9" x14ac:dyDescent="0.25">
      <c r="E787" t="str">
        <f>"12895"</f>
        <v>12895</v>
      </c>
      <c r="F787" t="str">
        <f>"AD LITEM FEE  04/04/19"</f>
        <v>AD LITEM FEE  04/04/19</v>
      </c>
      <c r="G787" s="2">
        <v>150</v>
      </c>
      <c r="H787" t="str">
        <f>"AD LITEM FEE  04/04/19"</f>
        <v>AD LITEM FEE  04/04/19</v>
      </c>
    </row>
    <row r="788" spans="1:9" x14ac:dyDescent="0.25">
      <c r="E788" t="str">
        <f>"12955"</f>
        <v>12955</v>
      </c>
      <c r="F788" t="str">
        <f>"AD LITEM FEE 04/04/19"</f>
        <v>AD LITEM FEE 04/04/19</v>
      </c>
      <c r="G788" s="2">
        <v>150</v>
      </c>
      <c r="H788" t="str">
        <f>"AD LITEM FEE 04/04/19"</f>
        <v>AD LITEM FEE 04/04/19</v>
      </c>
    </row>
    <row r="789" spans="1:9" x14ac:dyDescent="0.25">
      <c r="E789" t="str">
        <f>"201906129787"</f>
        <v>201906129787</v>
      </c>
      <c r="F789" t="str">
        <f>"56 503"</f>
        <v>56 503</v>
      </c>
      <c r="G789" s="2">
        <v>250</v>
      </c>
      <c r="H789" t="str">
        <f>"56 503"</f>
        <v>56 503</v>
      </c>
    </row>
    <row r="790" spans="1:9" x14ac:dyDescent="0.25">
      <c r="E790" t="str">
        <f>"201906129788"</f>
        <v>201906129788</v>
      </c>
      <c r="F790" t="str">
        <f>"19-19418"</f>
        <v>19-19418</v>
      </c>
      <c r="G790" s="2">
        <v>100</v>
      </c>
      <c r="H790" t="str">
        <f>"19-19418"</f>
        <v>19-19418</v>
      </c>
    </row>
    <row r="791" spans="1:9" x14ac:dyDescent="0.25">
      <c r="E791" t="str">
        <f>"201906129789"</f>
        <v>201906129789</v>
      </c>
      <c r="F791" t="str">
        <f>"18-19190"</f>
        <v>18-19190</v>
      </c>
      <c r="G791" s="2">
        <v>100</v>
      </c>
      <c r="H791" t="str">
        <f>"18-19190"</f>
        <v>18-19190</v>
      </c>
    </row>
    <row r="792" spans="1:9" x14ac:dyDescent="0.25">
      <c r="E792" t="str">
        <f>"201906129790"</f>
        <v>201906129790</v>
      </c>
      <c r="F792" t="str">
        <f>"18-19410"</f>
        <v>18-19410</v>
      </c>
      <c r="G792" s="2">
        <v>100</v>
      </c>
      <c r="H792" t="str">
        <f>"18-19410"</f>
        <v>18-19410</v>
      </c>
    </row>
    <row r="793" spans="1:9" x14ac:dyDescent="0.25">
      <c r="E793" t="str">
        <f>"201906129791"</f>
        <v>201906129791</v>
      </c>
      <c r="F793" t="str">
        <f>"18-18974"</f>
        <v>18-18974</v>
      </c>
      <c r="G793" s="2">
        <v>100</v>
      </c>
      <c r="H793" t="str">
        <f>"18-18974"</f>
        <v>18-18974</v>
      </c>
    </row>
    <row r="794" spans="1:9" x14ac:dyDescent="0.25">
      <c r="E794" t="str">
        <f>"201906129792"</f>
        <v>201906129792</v>
      </c>
      <c r="F794" t="str">
        <f>"19-19572"</f>
        <v>19-19572</v>
      </c>
      <c r="G794" s="2">
        <v>100</v>
      </c>
      <c r="H794" t="str">
        <f>"19-19572"</f>
        <v>19-19572</v>
      </c>
    </row>
    <row r="795" spans="1:9" x14ac:dyDescent="0.25">
      <c r="E795" t="str">
        <f>"201906189982"</f>
        <v>201906189982</v>
      </c>
      <c r="F795" t="str">
        <f>"56 470"</f>
        <v>56 470</v>
      </c>
      <c r="G795" s="2">
        <v>250</v>
      </c>
      <c r="H795" t="str">
        <f>"56 470"</f>
        <v>56 470</v>
      </c>
    </row>
    <row r="796" spans="1:9" x14ac:dyDescent="0.25">
      <c r="A796" t="s">
        <v>199</v>
      </c>
      <c r="B796">
        <v>82524</v>
      </c>
      <c r="C796" s="2">
        <v>105</v>
      </c>
      <c r="D796" s="1">
        <v>43626</v>
      </c>
      <c r="E796" t="str">
        <f>"201906079706"</f>
        <v>201906079706</v>
      </c>
      <c r="F796" t="str">
        <f>"PER DIEM"</f>
        <v>PER DIEM</v>
      </c>
      <c r="G796" s="2">
        <v>105</v>
      </c>
      <c r="H796" t="str">
        <f>"PER DIEM"</f>
        <v>PER DIEM</v>
      </c>
    </row>
    <row r="797" spans="1:9" x14ac:dyDescent="0.25">
      <c r="A797" t="s">
        <v>200</v>
      </c>
      <c r="B797">
        <v>82711</v>
      </c>
      <c r="C797" s="2">
        <v>100</v>
      </c>
      <c r="D797" s="1">
        <v>43640</v>
      </c>
      <c r="E797" t="s">
        <v>67</v>
      </c>
      <c r="F797" t="s">
        <v>201</v>
      </c>
      <c r="G797" s="2" t="str">
        <f>"RESTITUTION-M. ALMS"</f>
        <v>RESTITUTION-M. ALMS</v>
      </c>
      <c r="H797" t="str">
        <f>"210-0000"</f>
        <v>210-0000</v>
      </c>
      <c r="I797" t="str">
        <f>""</f>
        <v/>
      </c>
    </row>
    <row r="798" spans="1:9" x14ac:dyDescent="0.25">
      <c r="A798" t="s">
        <v>202</v>
      </c>
      <c r="B798">
        <v>82712</v>
      </c>
      <c r="C798" s="2">
        <v>45</v>
      </c>
      <c r="D798" s="1">
        <v>43640</v>
      </c>
      <c r="E798" t="str">
        <f>"201906200070"</f>
        <v>201906200070</v>
      </c>
      <c r="F798" t="str">
        <f>"FERAL HOGS"</f>
        <v>FERAL HOGS</v>
      </c>
      <c r="G798" s="2">
        <v>45</v>
      </c>
      <c r="H798" t="str">
        <f>"FERAL HOGS"</f>
        <v>FERAL HOGS</v>
      </c>
    </row>
    <row r="799" spans="1:9" x14ac:dyDescent="0.25">
      <c r="A799" t="s">
        <v>203</v>
      </c>
      <c r="B799">
        <v>82713</v>
      </c>
      <c r="C799" s="2">
        <v>8882.76</v>
      </c>
      <c r="D799" s="1">
        <v>43640</v>
      </c>
      <c r="E799" t="str">
        <f>"116625743"</f>
        <v>116625743</v>
      </c>
      <c r="F799" t="str">
        <f>"Shawn Harris"</f>
        <v>Shawn Harris</v>
      </c>
      <c r="G799" s="2">
        <v>8882.76</v>
      </c>
      <c r="H799" t="str">
        <f>"Shawn Harris"</f>
        <v>Shawn Harris</v>
      </c>
    </row>
    <row r="800" spans="1:9" x14ac:dyDescent="0.25">
      <c r="A800" t="s">
        <v>204</v>
      </c>
      <c r="B800">
        <v>82714</v>
      </c>
      <c r="C800" s="2">
        <v>584.96</v>
      </c>
      <c r="D800" s="1">
        <v>43640</v>
      </c>
      <c r="E800" t="str">
        <f>"201906129738"</f>
        <v>201906129738</v>
      </c>
      <c r="F800" t="str">
        <f>"ACCT#8850283308/PCT#2"</f>
        <v>ACCT#8850283308/PCT#2</v>
      </c>
      <c r="G800" s="2">
        <v>548.13</v>
      </c>
      <c r="H800" t="str">
        <f>"ACCT#8850283308/PCT#2"</f>
        <v>ACCT#8850283308/PCT#2</v>
      </c>
    </row>
    <row r="801" spans="1:8" x14ac:dyDescent="0.25">
      <c r="E801" t="str">
        <f>"P85469 P85533"</f>
        <v>P85469 P85533</v>
      </c>
      <c r="F801" t="str">
        <f>"ACCT#8850283308/PCT#4"</f>
        <v>ACCT#8850283308/PCT#4</v>
      </c>
      <c r="G801" s="2">
        <v>36.83</v>
      </c>
      <c r="H801" t="str">
        <f>"ACCT#8850283308/PCT#4"</f>
        <v>ACCT#8850283308/PCT#4</v>
      </c>
    </row>
    <row r="802" spans="1:8" x14ac:dyDescent="0.25">
      <c r="A802" t="s">
        <v>205</v>
      </c>
      <c r="B802">
        <v>82525</v>
      </c>
      <c r="C802" s="2">
        <v>500</v>
      </c>
      <c r="D802" s="1">
        <v>43626</v>
      </c>
      <c r="E802" t="str">
        <f>"201906049600"</f>
        <v>201906049600</v>
      </c>
      <c r="F802" t="str">
        <f>"CC20190311"</f>
        <v>CC20190311</v>
      </c>
      <c r="G802" s="2">
        <v>250</v>
      </c>
      <c r="H802" t="str">
        <f>"CC20190311"</f>
        <v>CC20190311</v>
      </c>
    </row>
    <row r="803" spans="1:8" x14ac:dyDescent="0.25">
      <c r="E803" t="str">
        <f>"201906049601"</f>
        <v>201906049601</v>
      </c>
      <c r="F803" t="str">
        <f>"56 758"</f>
        <v>56 758</v>
      </c>
      <c r="G803" s="2">
        <v>250</v>
      </c>
      <c r="H803" t="str">
        <f>"56 758"</f>
        <v>56 758</v>
      </c>
    </row>
    <row r="804" spans="1:8" x14ac:dyDescent="0.25">
      <c r="A804" t="s">
        <v>205</v>
      </c>
      <c r="B804">
        <v>82715</v>
      </c>
      <c r="C804" s="2">
        <v>250</v>
      </c>
      <c r="D804" s="1">
        <v>43640</v>
      </c>
      <c r="E804" t="str">
        <f>"201906129798"</f>
        <v>201906129798</v>
      </c>
      <c r="F804" t="str">
        <f>"55 494"</f>
        <v>55 494</v>
      </c>
      <c r="G804" s="2">
        <v>250</v>
      </c>
      <c r="H804" t="str">
        <f>"55 494"</f>
        <v>55 494</v>
      </c>
    </row>
    <row r="805" spans="1:8" x14ac:dyDescent="0.25">
      <c r="A805" t="s">
        <v>206</v>
      </c>
      <c r="B805">
        <v>879</v>
      </c>
      <c r="C805" s="2">
        <v>400</v>
      </c>
      <c r="D805" s="1">
        <v>43627</v>
      </c>
      <c r="E805" t="str">
        <f>"201905299506"</f>
        <v>201905299506</v>
      </c>
      <c r="F805" t="str">
        <f>"TOWER MOWING MAINTENANCE"</f>
        <v>TOWER MOWING MAINTENANCE</v>
      </c>
      <c r="G805" s="2">
        <v>400</v>
      </c>
      <c r="H805" t="str">
        <f>"TOWER MOWING MAINTENANCE"</f>
        <v>TOWER MOWING MAINTENANCE</v>
      </c>
    </row>
    <row r="806" spans="1:8" x14ac:dyDescent="0.25">
      <c r="A806" t="s">
        <v>206</v>
      </c>
      <c r="B806">
        <v>937</v>
      </c>
      <c r="C806" s="2">
        <v>650</v>
      </c>
      <c r="D806" s="1">
        <v>43641</v>
      </c>
      <c r="E806" t="str">
        <f>"1904"</f>
        <v>1904</v>
      </c>
      <c r="F806" t="str">
        <f>"TOWER MOWING MAINTENANCE"</f>
        <v>TOWER MOWING MAINTENANCE</v>
      </c>
      <c r="G806" s="2">
        <v>650</v>
      </c>
      <c r="H806" t="str">
        <f>"TOWER MOWING MAINTENANCE"</f>
        <v>TOWER MOWING MAINTENANCE</v>
      </c>
    </row>
    <row r="807" spans="1:8" x14ac:dyDescent="0.25">
      <c r="A807" t="s">
        <v>207</v>
      </c>
      <c r="B807">
        <v>918</v>
      </c>
      <c r="C807" s="2">
        <v>2450</v>
      </c>
      <c r="D807" s="1">
        <v>43627</v>
      </c>
      <c r="E807" t="str">
        <f>"201905299499"</f>
        <v>201905299499</v>
      </c>
      <c r="F807" t="str">
        <f>"302272019A"</f>
        <v>302272019A</v>
      </c>
      <c r="G807" s="2">
        <v>400</v>
      </c>
      <c r="H807" t="str">
        <f>"302272019A"</f>
        <v>302272019A</v>
      </c>
    </row>
    <row r="808" spans="1:8" x14ac:dyDescent="0.25">
      <c r="E808" t="str">
        <f>"201905299500"</f>
        <v>201905299500</v>
      </c>
      <c r="F808" t="str">
        <f>"AC-2017-0507"</f>
        <v>AC-2017-0507</v>
      </c>
      <c r="G808" s="2">
        <v>400</v>
      </c>
      <c r="H808" t="str">
        <f>"AC-2017-0507"</f>
        <v>AC-2017-0507</v>
      </c>
    </row>
    <row r="809" spans="1:8" x14ac:dyDescent="0.25">
      <c r="E809" t="str">
        <f>"201906049622"</f>
        <v>201906049622</v>
      </c>
      <c r="F809" t="str">
        <f>"56896"</f>
        <v>56896</v>
      </c>
      <c r="G809" s="2">
        <v>250</v>
      </c>
      <c r="H809" t="str">
        <f>"56896"</f>
        <v>56896</v>
      </c>
    </row>
    <row r="810" spans="1:8" x14ac:dyDescent="0.25">
      <c r="E810" t="str">
        <f>"201906049623"</f>
        <v>201906049623</v>
      </c>
      <c r="F810" t="str">
        <f>"56623"</f>
        <v>56623</v>
      </c>
      <c r="G810" s="2">
        <v>250</v>
      </c>
      <c r="H810" t="str">
        <f>"56623"</f>
        <v>56623</v>
      </c>
    </row>
    <row r="811" spans="1:8" x14ac:dyDescent="0.25">
      <c r="E811" t="str">
        <f>"201906049624"</f>
        <v>201906049624</v>
      </c>
      <c r="F811" t="str">
        <f>"34659"</f>
        <v>34659</v>
      </c>
      <c r="G811" s="2">
        <v>250</v>
      </c>
      <c r="H811" t="str">
        <f>"34659"</f>
        <v>34659</v>
      </c>
    </row>
    <row r="812" spans="1:8" x14ac:dyDescent="0.25">
      <c r="E812" t="str">
        <f>"201906049625"</f>
        <v>201906049625</v>
      </c>
      <c r="F812" t="str">
        <f>"56266"</f>
        <v>56266</v>
      </c>
      <c r="G812" s="2">
        <v>250</v>
      </c>
      <c r="H812" t="str">
        <f>"56266"</f>
        <v>56266</v>
      </c>
    </row>
    <row r="813" spans="1:8" x14ac:dyDescent="0.25">
      <c r="E813" t="str">
        <f>"201906049626"</f>
        <v>201906049626</v>
      </c>
      <c r="F813" t="str">
        <f>"02-1205-1"</f>
        <v>02-1205-1</v>
      </c>
      <c r="G813" s="2">
        <v>250</v>
      </c>
      <c r="H813" t="str">
        <f>"02-1205-1"</f>
        <v>02-1205-1</v>
      </c>
    </row>
    <row r="814" spans="1:8" x14ac:dyDescent="0.25">
      <c r="E814" t="str">
        <f>"201906049627"</f>
        <v>201906049627</v>
      </c>
      <c r="F814" t="str">
        <f>"DCPC-19-016"</f>
        <v>DCPC-19-016</v>
      </c>
      <c r="G814" s="2">
        <v>250</v>
      </c>
      <c r="H814" t="str">
        <f>"DCPC-19-016"</f>
        <v>DCPC-19-016</v>
      </c>
    </row>
    <row r="815" spans="1:8" x14ac:dyDescent="0.25">
      <c r="E815" t="str">
        <f>"201906049628"</f>
        <v>201906049628</v>
      </c>
      <c r="F815" t="str">
        <f>"BC-20190224A"</f>
        <v>BC-20190224A</v>
      </c>
      <c r="G815" s="2">
        <v>150</v>
      </c>
      <c r="H815" t="str">
        <f>"BC-20190224A"</f>
        <v>BC-20190224A</v>
      </c>
    </row>
    <row r="816" spans="1:8" x14ac:dyDescent="0.25">
      <c r="A816" t="s">
        <v>207</v>
      </c>
      <c r="B816">
        <v>991</v>
      </c>
      <c r="C816" s="2">
        <v>1150</v>
      </c>
      <c r="D816" s="1">
        <v>43641</v>
      </c>
      <c r="E816" t="str">
        <f>"201906119721"</f>
        <v>201906119721</v>
      </c>
      <c r="F816" t="str">
        <f>"16774"</f>
        <v>16774</v>
      </c>
      <c r="G816" s="2">
        <v>400</v>
      </c>
      <c r="H816" t="str">
        <f>"16774"</f>
        <v>16774</v>
      </c>
    </row>
    <row r="817" spans="1:9" x14ac:dyDescent="0.25">
      <c r="E817" t="str">
        <f>"201906129786"</f>
        <v>201906129786</v>
      </c>
      <c r="F817" t="str">
        <f>"4020798"</f>
        <v>4020798</v>
      </c>
      <c r="G817" s="2">
        <v>250</v>
      </c>
      <c r="H817" t="str">
        <f>"4020798"</f>
        <v>4020798</v>
      </c>
    </row>
    <row r="818" spans="1:9" x14ac:dyDescent="0.25">
      <c r="E818" t="str">
        <f>"201906139892"</f>
        <v>201906139892</v>
      </c>
      <c r="F818" t="str">
        <f>"16413"</f>
        <v>16413</v>
      </c>
      <c r="G818" s="2">
        <v>400</v>
      </c>
      <c r="H818" t="str">
        <f>"16413"</f>
        <v>16413</v>
      </c>
    </row>
    <row r="819" spans="1:9" x14ac:dyDescent="0.25">
      <c r="E819" t="str">
        <f>"201906139893"</f>
        <v>201906139893</v>
      </c>
      <c r="F819" t="str">
        <f>"1172-21"</f>
        <v>1172-21</v>
      </c>
      <c r="G819" s="2">
        <v>100</v>
      </c>
      <c r="H819" t="str">
        <f>"1172-21"</f>
        <v>1172-21</v>
      </c>
    </row>
    <row r="820" spans="1:9" x14ac:dyDescent="0.25">
      <c r="A820" t="s">
        <v>208</v>
      </c>
      <c r="B820">
        <v>82716</v>
      </c>
      <c r="C820" s="2">
        <v>110</v>
      </c>
      <c r="D820" s="1">
        <v>43640</v>
      </c>
      <c r="E820" t="str">
        <f>"201906129749"</f>
        <v>201906129749</v>
      </c>
      <c r="F820" t="str">
        <f>"REIMBURSE SANITARIAN LICENSE"</f>
        <v>REIMBURSE SANITARIAN LICENSE</v>
      </c>
      <c r="G820" s="2">
        <v>110</v>
      </c>
      <c r="H820" t="str">
        <f>"REIMBURSE SANITARIAN LICENSE"</f>
        <v>REIMBURSE SANITARIAN LICENSE</v>
      </c>
    </row>
    <row r="821" spans="1:9" x14ac:dyDescent="0.25">
      <c r="A821" t="s">
        <v>209</v>
      </c>
      <c r="B821">
        <v>82717</v>
      </c>
      <c r="C821" s="2">
        <v>25</v>
      </c>
      <c r="D821" s="1">
        <v>43640</v>
      </c>
      <c r="E821" t="s">
        <v>190</v>
      </c>
      <c r="F821" t="s">
        <v>210</v>
      </c>
      <c r="G821" s="2" t="str">
        <f>"RESTITUTION-J. HOFFMAN"</f>
        <v>RESTITUTION-J. HOFFMAN</v>
      </c>
      <c r="H821" t="str">
        <f>"210-0000"</f>
        <v>210-0000</v>
      </c>
      <c r="I821" t="str">
        <f>""</f>
        <v/>
      </c>
    </row>
    <row r="822" spans="1:9" x14ac:dyDescent="0.25">
      <c r="A822" t="s">
        <v>211</v>
      </c>
      <c r="B822">
        <v>82718</v>
      </c>
      <c r="C822" s="2">
        <v>500</v>
      </c>
      <c r="D822" s="1">
        <v>43640</v>
      </c>
      <c r="E822" t="str">
        <f>"201906190047"</f>
        <v>201906190047</v>
      </c>
      <c r="F822" t="str">
        <f>"SURGICAL SVCS-MAY 17  2019"</f>
        <v>SURGICAL SVCS-MAY 17  2019</v>
      </c>
      <c r="G822" s="2">
        <v>500</v>
      </c>
      <c r="H822" t="str">
        <f>"SURGICAL SVCS-MAY 17  2019"</f>
        <v>SURGICAL SVCS-MAY 17  2019</v>
      </c>
    </row>
    <row r="823" spans="1:9" x14ac:dyDescent="0.25">
      <c r="A823" t="s">
        <v>212</v>
      </c>
      <c r="B823">
        <v>82719</v>
      </c>
      <c r="C823" s="2">
        <v>225</v>
      </c>
      <c r="D823" s="1">
        <v>43640</v>
      </c>
      <c r="E823" t="s">
        <v>175</v>
      </c>
      <c r="F823" t="s">
        <v>213</v>
      </c>
      <c r="G823" s="2" t="str">
        <f>"RESTITUTION-D. SPURK"</f>
        <v>RESTITUTION-D. SPURK</v>
      </c>
      <c r="H823" t="str">
        <f>"210-0000"</f>
        <v>210-0000</v>
      </c>
      <c r="I823" t="str">
        <f>""</f>
        <v/>
      </c>
    </row>
    <row r="824" spans="1:9" x14ac:dyDescent="0.25">
      <c r="A824" t="s">
        <v>214</v>
      </c>
      <c r="B824">
        <v>82526</v>
      </c>
      <c r="C824" s="2">
        <v>2888.31</v>
      </c>
      <c r="D824" s="1">
        <v>43626</v>
      </c>
      <c r="E824" t="str">
        <f>"201905319526"</f>
        <v>201905319526</v>
      </c>
      <c r="F824" t="str">
        <f>"423-5815"</f>
        <v>423-5815</v>
      </c>
      <c r="G824" s="2">
        <v>467.5</v>
      </c>
      <c r="H824" t="str">
        <f>"423-5815"</f>
        <v>423-5815</v>
      </c>
    </row>
    <row r="825" spans="1:9" x14ac:dyDescent="0.25">
      <c r="E825" t="str">
        <f>"201906049616"</f>
        <v>201906049616</v>
      </c>
      <c r="F825" t="str">
        <f>"18-19237"</f>
        <v>18-19237</v>
      </c>
      <c r="G825" s="2">
        <v>577.30999999999995</v>
      </c>
      <c r="H825" t="str">
        <f>"18-19237"</f>
        <v>18-19237</v>
      </c>
    </row>
    <row r="826" spans="1:9" x14ac:dyDescent="0.25">
      <c r="E826" t="str">
        <f>"201906049617"</f>
        <v>201906049617</v>
      </c>
      <c r="F826" t="str">
        <f>"18-19299"</f>
        <v>18-19299</v>
      </c>
      <c r="G826" s="2">
        <v>1490</v>
      </c>
      <c r="H826" t="str">
        <f>"18-19299"</f>
        <v>18-19299</v>
      </c>
    </row>
    <row r="827" spans="1:9" x14ac:dyDescent="0.25">
      <c r="E827" t="str">
        <f>"201906049618"</f>
        <v>201906049618</v>
      </c>
      <c r="F827" t="str">
        <f>"18-19156"</f>
        <v>18-19156</v>
      </c>
      <c r="G827" s="2">
        <v>353.5</v>
      </c>
      <c r="H827" t="str">
        <f>"18-19156"</f>
        <v>18-19156</v>
      </c>
    </row>
    <row r="828" spans="1:9" x14ac:dyDescent="0.25">
      <c r="A828" t="s">
        <v>215</v>
      </c>
      <c r="B828">
        <v>82720</v>
      </c>
      <c r="C828" s="2">
        <v>26730</v>
      </c>
      <c r="D828" s="1">
        <v>43640</v>
      </c>
      <c r="E828" t="str">
        <f>"201906149905"</f>
        <v>201906149905</v>
      </c>
      <c r="F828" t="str">
        <f>"15-914"</f>
        <v>15-914</v>
      </c>
      <c r="G828" s="2">
        <v>26730</v>
      </c>
      <c r="H828" t="str">
        <f>"15-914"</f>
        <v>15-914</v>
      </c>
    </row>
    <row r="829" spans="1:9" x14ac:dyDescent="0.25">
      <c r="A829" t="s">
        <v>216</v>
      </c>
      <c r="B829">
        <v>82721</v>
      </c>
      <c r="C829" s="2">
        <v>53.14</v>
      </c>
      <c r="D829" s="1">
        <v>43640</v>
      </c>
      <c r="E829" t="str">
        <f>"152000000151048"</f>
        <v>152000000151048</v>
      </c>
      <c r="F829" t="str">
        <f>"ACCT#1520-BA2437/FISHER BLDG"</f>
        <v>ACCT#1520-BA2437/FISHER BLDG</v>
      </c>
      <c r="G829" s="2">
        <v>53.14</v>
      </c>
      <c r="H829" t="str">
        <f>"ACCT#1520-BA2437/FISHER BLDG"</f>
        <v>ACCT#1520-BA2437/FISHER BLDG</v>
      </c>
    </row>
    <row r="830" spans="1:9" x14ac:dyDescent="0.25">
      <c r="A830" t="s">
        <v>217</v>
      </c>
      <c r="B830">
        <v>82722</v>
      </c>
      <c r="C830" s="2">
        <v>370</v>
      </c>
      <c r="D830" s="1">
        <v>43640</v>
      </c>
      <c r="E830" t="str">
        <f>"924803"</f>
        <v>924803</v>
      </c>
      <c r="F830" t="str">
        <f>"TRASH REMOVAL/PCT#1"</f>
        <v>TRASH REMOVAL/PCT#1</v>
      </c>
      <c r="G830" s="2">
        <v>370</v>
      </c>
      <c r="H830" t="str">
        <f>"TRASH REMOVAL/PCT#1"</f>
        <v>TRASH REMOVAL/PCT#1</v>
      </c>
    </row>
    <row r="831" spans="1:9" x14ac:dyDescent="0.25">
      <c r="A831" t="s">
        <v>218</v>
      </c>
      <c r="B831">
        <v>909</v>
      </c>
      <c r="C831" s="2">
        <v>2617</v>
      </c>
      <c r="D831" s="1">
        <v>43627</v>
      </c>
      <c r="E831" t="str">
        <f>"196"</f>
        <v>196</v>
      </c>
      <c r="F831" t="str">
        <f>"TOWER RENT-JUNE"</f>
        <v>TOWER RENT-JUNE</v>
      </c>
      <c r="G831" s="2">
        <v>2617</v>
      </c>
      <c r="H831" t="str">
        <f>"TOWER RENT-JUNE"</f>
        <v>TOWER RENT-JUNE</v>
      </c>
    </row>
    <row r="832" spans="1:9" x14ac:dyDescent="0.25">
      <c r="A832" t="s">
        <v>219</v>
      </c>
      <c r="B832">
        <v>82527</v>
      </c>
      <c r="C832" s="2">
        <v>240</v>
      </c>
      <c r="D832" s="1">
        <v>43626</v>
      </c>
      <c r="E832" t="str">
        <f>"1315"</f>
        <v>1315</v>
      </c>
      <c r="F832" t="str">
        <f>"PORTABLE TOILET/HANDICAP"</f>
        <v>PORTABLE TOILET/HANDICAP</v>
      </c>
      <c r="G832" s="2">
        <v>240</v>
      </c>
      <c r="H832" t="str">
        <f>"PORTABLE TOILET/HANDICAP"</f>
        <v>PORTABLE TOILET/HANDICAP</v>
      </c>
    </row>
    <row r="833" spans="1:8" x14ac:dyDescent="0.25">
      <c r="A833" t="s">
        <v>220</v>
      </c>
      <c r="B833">
        <v>881</v>
      </c>
      <c r="C833" s="2">
        <v>1784.98</v>
      </c>
      <c r="D833" s="1">
        <v>43627</v>
      </c>
      <c r="E833" t="str">
        <f>"811673"</f>
        <v>811673</v>
      </c>
      <c r="F833" t="str">
        <f>"CUST#10222/IT DEPT"</f>
        <v>CUST#10222/IT DEPT</v>
      </c>
      <c r="G833" s="2">
        <v>418.05</v>
      </c>
      <c r="H833" t="str">
        <f>"CUST#10222/IT DEPT"</f>
        <v>CUST#10222/IT DEPT</v>
      </c>
    </row>
    <row r="834" spans="1:8" x14ac:dyDescent="0.25">
      <c r="E834" t="str">
        <f>"811677"</f>
        <v>811677</v>
      </c>
      <c r="F834" t="str">
        <f>"CUST#10222/IT DEPT"</f>
        <v>CUST#10222/IT DEPT</v>
      </c>
      <c r="G834" s="2">
        <v>278.55</v>
      </c>
      <c r="H834" t="str">
        <f>"CUST#10222/IT DEPT"</f>
        <v>CUST#10222/IT DEPT</v>
      </c>
    </row>
    <row r="835" spans="1:8" x14ac:dyDescent="0.25">
      <c r="E835" t="str">
        <f>"811743"</f>
        <v>811743</v>
      </c>
      <c r="F835" t="str">
        <f>"CUST#10222/IT DEPT"</f>
        <v>CUST#10222/IT DEPT</v>
      </c>
      <c r="G835" s="2">
        <v>1088.3800000000001</v>
      </c>
      <c r="H835" t="str">
        <f>"CUST#10222/IT DEPT"</f>
        <v>CUST#10222/IT DEPT</v>
      </c>
    </row>
    <row r="836" spans="1:8" x14ac:dyDescent="0.25">
      <c r="A836" t="s">
        <v>221</v>
      </c>
      <c r="B836">
        <v>892</v>
      </c>
      <c r="C836" s="2">
        <v>3925</v>
      </c>
      <c r="D836" s="1">
        <v>43627</v>
      </c>
      <c r="E836" t="str">
        <f>"270526"</f>
        <v>270526</v>
      </c>
      <c r="F836" t="str">
        <f>"ORD#16343942/GEN SVCS"</f>
        <v>ORD#16343942/GEN SVCS</v>
      </c>
      <c r="G836" s="2">
        <v>2500</v>
      </c>
      <c r="H836" t="str">
        <f>"ORD#16343942/GEN SVCS"</f>
        <v>ORD#16343942/GEN SVCS</v>
      </c>
    </row>
    <row r="837" spans="1:8" x14ac:dyDescent="0.25">
      <c r="E837" t="str">
        <f>"270527"</f>
        <v>270527</v>
      </c>
      <c r="F837" t="str">
        <f>"ORD#16343909/GEN SVCS"</f>
        <v>ORD#16343909/GEN SVCS</v>
      </c>
      <c r="G837" s="2">
        <v>1425</v>
      </c>
      <c r="H837" t="str">
        <f>"ORD#16343909/GEN SVCS"</f>
        <v>ORD#16343909/GEN SVCS</v>
      </c>
    </row>
    <row r="838" spans="1:8" x14ac:dyDescent="0.25">
      <c r="A838" t="s">
        <v>221</v>
      </c>
      <c r="B838">
        <v>948</v>
      </c>
      <c r="C838" s="2">
        <v>2202</v>
      </c>
      <c r="D838" s="1">
        <v>43641</v>
      </c>
      <c r="E838" t="str">
        <f>"271032"</f>
        <v>271032</v>
      </c>
      <c r="F838" t="str">
        <f>"ORD#16608852/CT HOUSE ANNEX"</f>
        <v>ORD#16608852/CT HOUSE ANNEX</v>
      </c>
      <c r="G838" s="2">
        <v>2202</v>
      </c>
      <c r="H838" t="str">
        <f>"ORD#16608852/CT HOUSE ANNEX"</f>
        <v>ORD#16608852/CT HOUSE ANNEX</v>
      </c>
    </row>
    <row r="839" spans="1:8" x14ac:dyDescent="0.25">
      <c r="A839" t="s">
        <v>222</v>
      </c>
      <c r="B839">
        <v>82723</v>
      </c>
      <c r="C839" s="2">
        <v>75</v>
      </c>
      <c r="D839" s="1">
        <v>43640</v>
      </c>
      <c r="E839" t="str">
        <f>"201906200071"</f>
        <v>201906200071</v>
      </c>
      <c r="F839" t="str">
        <f>"FERAL HOGS"</f>
        <v>FERAL HOGS</v>
      </c>
      <c r="G839" s="2">
        <v>75</v>
      </c>
      <c r="H839" t="str">
        <f>"FERAL HOGS"</f>
        <v>FERAL HOGS</v>
      </c>
    </row>
    <row r="840" spans="1:8" x14ac:dyDescent="0.25">
      <c r="A840" t="s">
        <v>223</v>
      </c>
      <c r="B840">
        <v>82528</v>
      </c>
      <c r="C840" s="2">
        <v>2091.71</v>
      </c>
      <c r="D840" s="1">
        <v>43626</v>
      </c>
      <c r="E840" t="str">
        <f>"201906049559"</f>
        <v>201906049559</v>
      </c>
      <c r="F840" t="str">
        <f>"ACCT#1750/PCT#3"</f>
        <v>ACCT#1750/PCT#3</v>
      </c>
      <c r="G840" s="2">
        <v>1441.65</v>
      </c>
      <c r="H840" t="str">
        <f>"ACCT#1750/PCT#3"</f>
        <v>ACCT#1750/PCT#3</v>
      </c>
    </row>
    <row r="841" spans="1:8" x14ac:dyDescent="0.25">
      <c r="E841" t="str">
        <f>"201906049560"</f>
        <v>201906049560</v>
      </c>
      <c r="F841" t="str">
        <f>"ACCT#1700/PCT#2"</f>
        <v>ACCT#1700/PCT#2</v>
      </c>
      <c r="G841" s="2">
        <v>150.83000000000001</v>
      </c>
      <c r="H841" t="str">
        <f>"ACCT#1700/PCT#2"</f>
        <v>ACCT#1700/PCT#2</v>
      </c>
    </row>
    <row r="842" spans="1:8" x14ac:dyDescent="0.25">
      <c r="E842" t="str">
        <f>"201906049569"</f>
        <v>201906049569</v>
      </c>
      <c r="F842" t="str">
        <f>"ACCT#1650/GEN SVCS"</f>
        <v>ACCT#1650/GEN SVCS</v>
      </c>
      <c r="G842" s="2">
        <v>39.49</v>
      </c>
      <c r="H842" t="str">
        <f>"ACCT#1650/GEN SVCS"</f>
        <v>ACCT#1650/GEN SVCS</v>
      </c>
    </row>
    <row r="843" spans="1:8" x14ac:dyDescent="0.25">
      <c r="E843" t="str">
        <f>"201906059690"</f>
        <v>201906059690</v>
      </c>
      <c r="F843" t="str">
        <f>"ACCT#1650/PCT#1"</f>
        <v>ACCT#1650/PCT#1</v>
      </c>
      <c r="G843" s="2">
        <v>459.74</v>
      </c>
      <c r="H843" t="str">
        <f>"ACCT#1650/PCT#1"</f>
        <v>ACCT#1650/PCT#1</v>
      </c>
    </row>
    <row r="844" spans="1:8" x14ac:dyDescent="0.25">
      <c r="A844" t="s">
        <v>224</v>
      </c>
      <c r="B844">
        <v>82529</v>
      </c>
      <c r="C844" s="2">
        <v>600</v>
      </c>
      <c r="D844" s="1">
        <v>43626</v>
      </c>
      <c r="E844" t="str">
        <f>"201905299504"</f>
        <v>201905299504</v>
      </c>
      <c r="F844" t="str">
        <f>"REFUND FOR CASH BOND"</f>
        <v>REFUND FOR CASH BOND</v>
      </c>
      <c r="G844" s="2">
        <v>600</v>
      </c>
      <c r="H844" t="str">
        <f>"REFUND FOR CASH BOND"</f>
        <v>REFUND FOR CASH BOND</v>
      </c>
    </row>
    <row r="845" spans="1:8" x14ac:dyDescent="0.25">
      <c r="A845" t="s">
        <v>225</v>
      </c>
      <c r="B845">
        <v>82530</v>
      </c>
      <c r="C845" s="2">
        <v>2212.31</v>
      </c>
      <c r="D845" s="1">
        <v>43626</v>
      </c>
      <c r="E845" t="str">
        <f>"05229633 05291244"</f>
        <v>05229633 05291244</v>
      </c>
      <c r="F845" t="str">
        <f>"INV 05229633"</f>
        <v>INV 05229633</v>
      </c>
      <c r="G845" s="2">
        <v>2212.31</v>
      </c>
      <c r="H845" t="str">
        <f>"INV 05229633"</f>
        <v>INV 05229633</v>
      </c>
    </row>
    <row r="846" spans="1:8" x14ac:dyDescent="0.25">
      <c r="E846" t="str">
        <f>""</f>
        <v/>
      </c>
      <c r="F846" t="str">
        <f>""</f>
        <v/>
      </c>
      <c r="H846" t="str">
        <f>"INV 05291244"</f>
        <v>INV 05291244</v>
      </c>
    </row>
    <row r="847" spans="1:8" x14ac:dyDescent="0.25">
      <c r="A847" t="s">
        <v>225</v>
      </c>
      <c r="B847">
        <v>82724</v>
      </c>
      <c r="C847" s="2">
        <v>2978.19</v>
      </c>
      <c r="D847" s="1">
        <v>43640</v>
      </c>
      <c r="E847" t="str">
        <f>"06053380 06124952"</f>
        <v>06053380 06124952</v>
      </c>
      <c r="F847" t="str">
        <f>"INV 06053380"</f>
        <v>INV 06053380</v>
      </c>
      <c r="G847" s="2">
        <v>2978.19</v>
      </c>
      <c r="H847" t="str">
        <f>"INV 06053380"</f>
        <v>INV 06053380</v>
      </c>
    </row>
    <row r="848" spans="1:8" x14ac:dyDescent="0.25">
      <c r="E848" t="str">
        <f>""</f>
        <v/>
      </c>
      <c r="F848" t="str">
        <f>""</f>
        <v/>
      </c>
      <c r="H848" t="str">
        <f>"INV 06124952"</f>
        <v>INV 06124952</v>
      </c>
    </row>
    <row r="849" spans="1:8" x14ac:dyDescent="0.25">
      <c r="A849" t="s">
        <v>226</v>
      </c>
      <c r="B849">
        <v>82725</v>
      </c>
      <c r="C849" s="2">
        <v>3000</v>
      </c>
      <c r="D849" s="1">
        <v>43640</v>
      </c>
      <c r="E849" t="str">
        <f>"3715"</f>
        <v>3715</v>
      </c>
      <c r="F849" t="str">
        <f>"HMGP 4332/PCT#3"</f>
        <v>HMGP 4332/PCT#3</v>
      </c>
      <c r="G849" s="2">
        <v>3000</v>
      </c>
      <c r="H849" t="str">
        <f>"HMGP 4332/PCT#3"</f>
        <v>HMGP 4332/PCT#3</v>
      </c>
    </row>
    <row r="850" spans="1:8" x14ac:dyDescent="0.25">
      <c r="A850" t="s">
        <v>227</v>
      </c>
      <c r="B850">
        <v>901</v>
      </c>
      <c r="C850" s="2">
        <v>150</v>
      </c>
      <c r="D850" s="1">
        <v>43627</v>
      </c>
      <c r="E850" t="str">
        <f>"201906039547"</f>
        <v>201906039547</v>
      </c>
      <c r="F850" t="str">
        <f>"CLEANING SVC/PCT#2"</f>
        <v>CLEANING SVC/PCT#2</v>
      </c>
      <c r="G850" s="2">
        <v>150</v>
      </c>
      <c r="H850" t="str">
        <f>"CLEANING SVC/PCT#2"</f>
        <v>CLEANING SVC/PCT#2</v>
      </c>
    </row>
    <row r="851" spans="1:8" x14ac:dyDescent="0.25">
      <c r="A851" t="s">
        <v>227</v>
      </c>
      <c r="B851">
        <v>967</v>
      </c>
      <c r="C851" s="2">
        <v>150</v>
      </c>
      <c r="D851" s="1">
        <v>43641</v>
      </c>
      <c r="E851" t="str">
        <f>"201906179920"</f>
        <v>201906179920</v>
      </c>
      <c r="F851" t="str">
        <f>"CLEANING SVC/PCT#2"</f>
        <v>CLEANING SVC/PCT#2</v>
      </c>
      <c r="G851" s="2">
        <v>150</v>
      </c>
      <c r="H851" t="str">
        <f>"CLEANING SVC/PCT#2"</f>
        <v>CLEANING SVC/PCT#2</v>
      </c>
    </row>
    <row r="852" spans="1:8" x14ac:dyDescent="0.25">
      <c r="A852" t="s">
        <v>228</v>
      </c>
      <c r="B852">
        <v>940</v>
      </c>
      <c r="C852" s="2">
        <v>474.97</v>
      </c>
      <c r="D852" s="1">
        <v>43641</v>
      </c>
      <c r="E852" t="str">
        <f>"201906119725"</f>
        <v>201906119725</v>
      </c>
      <c r="F852" t="str">
        <f>"REIMBURSE MEALS/HOTEL"</f>
        <v>REIMBURSE MEALS/HOTEL</v>
      </c>
      <c r="G852" s="2">
        <v>474.97</v>
      </c>
      <c r="H852" t="str">
        <f>"REIMBURSE MEALS/HOTEL"</f>
        <v>REIMBURSE MEALS/HOTEL</v>
      </c>
    </row>
    <row r="853" spans="1:8" x14ac:dyDescent="0.25">
      <c r="A853" t="s">
        <v>229</v>
      </c>
      <c r="B853">
        <v>82726</v>
      </c>
      <c r="C853" s="2">
        <v>80</v>
      </c>
      <c r="D853" s="1">
        <v>43640</v>
      </c>
      <c r="E853" t="str">
        <f>"12925"</f>
        <v>12925</v>
      </c>
      <c r="F853" t="str">
        <f>"SERVICE  05/13/19"</f>
        <v>SERVICE  05/13/19</v>
      </c>
      <c r="G853" s="2">
        <v>80</v>
      </c>
      <c r="H853" t="str">
        <f>"SERVICE  05/13/19"</f>
        <v>SERVICE  05/13/19</v>
      </c>
    </row>
    <row r="854" spans="1:8" x14ac:dyDescent="0.25">
      <c r="A854" t="s">
        <v>230</v>
      </c>
      <c r="B854">
        <v>82727</v>
      </c>
      <c r="C854" s="2">
        <v>468.44</v>
      </c>
      <c r="D854" s="1">
        <v>43640</v>
      </c>
      <c r="E854" t="str">
        <f>"201906129762"</f>
        <v>201906129762</v>
      </c>
      <c r="F854" t="str">
        <f>"INV#'S 49432 49536 49632/PCT#4"</f>
        <v>INV#'S 49432 49536 49632/PCT#4</v>
      </c>
      <c r="G854" s="2">
        <v>468.44</v>
      </c>
      <c r="H854" t="str">
        <f>"INV#'S 49432 49536 49632/PCT#4"</f>
        <v>INV#'S 49432 49536 49632/PCT#4</v>
      </c>
    </row>
    <row r="855" spans="1:8" x14ac:dyDescent="0.25">
      <c r="A855" t="s">
        <v>231</v>
      </c>
      <c r="B855">
        <v>82728</v>
      </c>
      <c r="C855" s="2">
        <v>4.3</v>
      </c>
      <c r="D855" s="1">
        <v>43640</v>
      </c>
      <c r="E855" t="str">
        <f>"201906180038"</f>
        <v>201906180038</v>
      </c>
      <c r="F855" t="str">
        <f>"REIMBURSEMENT"</f>
        <v>REIMBURSEMENT</v>
      </c>
      <c r="G855" s="2">
        <v>4.3</v>
      </c>
      <c r="H855" t="str">
        <f>"REIMBURSEMENT"</f>
        <v>REIMBURSEMENT</v>
      </c>
    </row>
    <row r="856" spans="1:8" x14ac:dyDescent="0.25">
      <c r="A856" t="s">
        <v>232</v>
      </c>
      <c r="B856">
        <v>82729</v>
      </c>
      <c r="C856" s="2">
        <v>1583.1</v>
      </c>
      <c r="D856" s="1">
        <v>43640</v>
      </c>
      <c r="E856" t="str">
        <f>"1211621-20190531"</f>
        <v>1211621-20190531</v>
      </c>
      <c r="F856" t="str">
        <f>"BILLING ID:1211621/HEALTH SVCS"</f>
        <v>BILLING ID:1211621/HEALTH SVCS</v>
      </c>
      <c r="G856" s="2">
        <v>1008.6</v>
      </c>
      <c r="H856" t="str">
        <f>"BILLING ID:1211621/HEALTH SVCS"</f>
        <v>BILLING ID:1211621/HEALTH SVCS</v>
      </c>
    </row>
    <row r="857" spans="1:8" x14ac:dyDescent="0.25">
      <c r="E857" t="str">
        <f>"1361725-20190531"</f>
        <v>1361725-20190531</v>
      </c>
      <c r="F857" t="str">
        <f>"BILLING ID:1361725/INDIGENT HE"</f>
        <v>BILLING ID:1361725/INDIGENT HE</v>
      </c>
      <c r="G857" s="2">
        <v>69.849999999999994</v>
      </c>
      <c r="H857" t="str">
        <f>"BILLING ID:1361725/INDIGENT HE"</f>
        <v>BILLING ID:1361725/INDIGENT HE</v>
      </c>
    </row>
    <row r="858" spans="1:8" x14ac:dyDescent="0.25">
      <c r="E858" t="str">
        <f>"1394645-20190531"</f>
        <v>1394645-20190531</v>
      </c>
      <c r="F858" t="str">
        <f>"BILLING ID:1394645/COUNTY CLRK"</f>
        <v>BILLING ID:1394645/COUNTY CLRK</v>
      </c>
      <c r="G858" s="2">
        <v>188.25</v>
      </c>
      <c r="H858" t="str">
        <f>"BILLING ID:1394645/COUNTY CLRK"</f>
        <v>BILLING ID:1394645/COUNTY CLRK</v>
      </c>
    </row>
    <row r="859" spans="1:8" x14ac:dyDescent="0.25">
      <c r="E859" t="str">
        <f>"1420944-20190531"</f>
        <v>1420944-20190531</v>
      </c>
      <c r="F859" t="str">
        <f>"BILLING ID:1420944/SHERIFF"</f>
        <v>BILLING ID:1420944/SHERIFF</v>
      </c>
      <c r="G859" s="2">
        <v>316.39999999999998</v>
      </c>
      <c r="H859" t="str">
        <f>"BILLING ID:1420944/SHERIFF"</f>
        <v>BILLING ID:1420944/SHERIFF</v>
      </c>
    </row>
    <row r="860" spans="1:8" x14ac:dyDescent="0.25">
      <c r="A860" t="s">
        <v>233</v>
      </c>
      <c r="B860">
        <v>82531</v>
      </c>
      <c r="C860" s="2">
        <v>5057.8999999999996</v>
      </c>
      <c r="D860" s="1">
        <v>43626</v>
      </c>
      <c r="E860" t="str">
        <f>"1595381-P1"</f>
        <v>1595381-P1</v>
      </c>
      <c r="F860" t="str">
        <f>"ACCT#15717/PCT#1"</f>
        <v>ACCT#15717/PCT#1</v>
      </c>
      <c r="G860" s="2">
        <v>4810.32</v>
      </c>
      <c r="H860" t="str">
        <f>"ACCT#15717/PCT#1"</f>
        <v>ACCT#15717/PCT#1</v>
      </c>
    </row>
    <row r="861" spans="1:8" x14ac:dyDescent="0.25">
      <c r="E861" t="str">
        <f>"1595381-P2"</f>
        <v>1595381-P2</v>
      </c>
      <c r="F861" t="str">
        <f>"ACCT#15717/PCT#2"</f>
        <v>ACCT#15717/PCT#2</v>
      </c>
      <c r="G861" s="2">
        <v>109.62</v>
      </c>
      <c r="H861" t="str">
        <f>"ACCT#15717/PCT#2"</f>
        <v>ACCT#15717/PCT#2</v>
      </c>
    </row>
    <row r="862" spans="1:8" x14ac:dyDescent="0.25">
      <c r="E862" t="str">
        <f>"1595381-P4"</f>
        <v>1595381-P4</v>
      </c>
      <c r="F862" t="str">
        <f>"ACCT#15717/PCT#4"</f>
        <v>ACCT#15717/PCT#4</v>
      </c>
      <c r="G862" s="2">
        <v>137.96</v>
      </c>
      <c r="H862" t="str">
        <f>"ACCT#15717/PCT#4"</f>
        <v>ACCT#15717/PCT#4</v>
      </c>
    </row>
    <row r="863" spans="1:8" x14ac:dyDescent="0.25">
      <c r="A863" t="s">
        <v>234</v>
      </c>
      <c r="B863">
        <v>912</v>
      </c>
      <c r="C863" s="2">
        <v>97.5</v>
      </c>
      <c r="D863" s="1">
        <v>43627</v>
      </c>
      <c r="E863" t="str">
        <f>"201906049573"</f>
        <v>201906049573</v>
      </c>
      <c r="F863" t="str">
        <f>"VEHICLE REGISTRATIONS/PCT#2"</f>
        <v>VEHICLE REGISTRATIONS/PCT#2</v>
      </c>
      <c r="G863" s="2">
        <v>22.5</v>
      </c>
      <c r="H863" t="str">
        <f>"VEHICLE REGISTRATIONS/PCT#2"</f>
        <v>VEHICLE REGISTRATIONS/PCT#2</v>
      </c>
    </row>
    <row r="864" spans="1:8" x14ac:dyDescent="0.25">
      <c r="E864" t="str">
        <f>"201906059678"</f>
        <v>201906059678</v>
      </c>
      <c r="F864" t="str">
        <f>"VEHICLE REGISTRATIONS/SHERIFF"</f>
        <v>VEHICLE REGISTRATIONS/SHERIFF</v>
      </c>
      <c r="G864" s="2">
        <v>67.5</v>
      </c>
      <c r="H864" t="str">
        <f>"VEHICLE REGISTRATIONS/SHERIFF"</f>
        <v>VEHICLE REGISTRATIONS/SHERIFF</v>
      </c>
    </row>
    <row r="865" spans="1:9" x14ac:dyDescent="0.25">
      <c r="E865" t="str">
        <f>"201906059696"</f>
        <v>201906059696</v>
      </c>
      <c r="F865" t="str">
        <f>"VEHICLE REGISTRATION-DVLPMT SV"</f>
        <v>VEHICLE REGISTRATION-DVLPMT SV</v>
      </c>
      <c r="G865" s="2">
        <v>7.5</v>
      </c>
      <c r="H865" t="str">
        <f>"VEHICLE REGISTRATION-DVLPMT SV"</f>
        <v>VEHICLE REGISTRATION-DVLPMT SV</v>
      </c>
    </row>
    <row r="866" spans="1:9" x14ac:dyDescent="0.25">
      <c r="A866" t="s">
        <v>234</v>
      </c>
      <c r="B866">
        <v>986</v>
      </c>
      <c r="C866" s="2">
        <v>49.5</v>
      </c>
      <c r="D866" s="1">
        <v>43641</v>
      </c>
      <c r="E866" t="str">
        <f>"201906139876"</f>
        <v>201906139876</v>
      </c>
      <c r="F866" t="str">
        <f>"VEHICLE TITLE TRANSFER/PCT#3"</f>
        <v>VEHICLE TITLE TRANSFER/PCT#3</v>
      </c>
      <c r="G866" s="2">
        <v>27</v>
      </c>
      <c r="H866" t="str">
        <f>"VEHICLE TITLE TRANSFER/PCT#3"</f>
        <v>VEHICLE TITLE TRANSFER/PCT#3</v>
      </c>
    </row>
    <row r="867" spans="1:9" x14ac:dyDescent="0.25">
      <c r="E867" t="str">
        <f>"201906180026"</f>
        <v>201906180026</v>
      </c>
      <c r="F867" t="str">
        <f>"VEHICLE REGISTRATIONS/SHERIFF"</f>
        <v>VEHICLE REGISTRATIONS/SHERIFF</v>
      </c>
      <c r="G867" s="2">
        <v>22.5</v>
      </c>
      <c r="H867" t="str">
        <f>"VEHICLE REGISTRATIONS/SHERIFF"</f>
        <v>VEHICLE REGISTRATIONS/SHERIFF</v>
      </c>
    </row>
    <row r="868" spans="1:9" x14ac:dyDescent="0.25">
      <c r="A868" t="s">
        <v>235</v>
      </c>
      <c r="B868">
        <v>82730</v>
      </c>
      <c r="C868" s="2">
        <v>60</v>
      </c>
      <c r="D868" s="1">
        <v>43640</v>
      </c>
      <c r="E868" t="str">
        <f>"201906180029"</f>
        <v>201906180029</v>
      </c>
      <c r="F868" t="str">
        <f>"LISA BARRIGA"</f>
        <v>LISA BARRIGA</v>
      </c>
      <c r="G868" s="2">
        <v>60</v>
      </c>
      <c r="H868" t="str">
        <f>""</f>
        <v/>
      </c>
    </row>
    <row r="869" spans="1:9" x14ac:dyDescent="0.25">
      <c r="A869" t="s">
        <v>236</v>
      </c>
      <c r="B869">
        <v>941</v>
      </c>
      <c r="C869" s="2">
        <v>50</v>
      </c>
      <c r="D869" s="1">
        <v>43641</v>
      </c>
      <c r="E869" t="s">
        <v>195</v>
      </c>
      <c r="F869" t="s">
        <v>196</v>
      </c>
      <c r="G869" s="2" t="str">
        <f>"RESTITUTION-Z. PALUCH"</f>
        <v>RESTITUTION-Z. PALUCH</v>
      </c>
      <c r="H869" t="str">
        <f>"210-0000"</f>
        <v>210-0000</v>
      </c>
      <c r="I869" t="str">
        <f>""</f>
        <v/>
      </c>
    </row>
    <row r="870" spans="1:9" x14ac:dyDescent="0.25">
      <c r="A870" t="s">
        <v>237</v>
      </c>
      <c r="B870">
        <v>82731</v>
      </c>
      <c r="C870" s="2">
        <v>500</v>
      </c>
      <c r="D870" s="1">
        <v>43640</v>
      </c>
      <c r="E870" t="str">
        <f>"201906129763"</f>
        <v>201906129763</v>
      </c>
      <c r="F870" t="str">
        <f>"56 240"</f>
        <v>56 240</v>
      </c>
      <c r="G870" s="2">
        <v>250</v>
      </c>
      <c r="H870" t="str">
        <f>"56 240"</f>
        <v>56 240</v>
      </c>
    </row>
    <row r="871" spans="1:9" x14ac:dyDescent="0.25">
      <c r="E871" t="str">
        <f>"201906129764"</f>
        <v>201906129764</v>
      </c>
      <c r="F871" t="str">
        <f>"56 487"</f>
        <v>56 487</v>
      </c>
      <c r="G871" s="2">
        <v>250</v>
      </c>
      <c r="H871" t="str">
        <f>"56 487"</f>
        <v>56 487</v>
      </c>
    </row>
    <row r="872" spans="1:9" x14ac:dyDescent="0.25">
      <c r="A872" t="s">
        <v>238</v>
      </c>
      <c r="B872">
        <v>82732</v>
      </c>
      <c r="C872" s="2">
        <v>407</v>
      </c>
      <c r="D872" s="1">
        <v>43640</v>
      </c>
      <c r="E872" t="str">
        <f>"201906129752"</f>
        <v>201906129752</v>
      </c>
      <c r="F872" t="str">
        <f>"REIMBURSE MEALS/LODGING"</f>
        <v>REIMBURSE MEALS/LODGING</v>
      </c>
      <c r="G872" s="2">
        <v>407</v>
      </c>
      <c r="H872" t="str">
        <f>"REIMBURSE MEALS/LODGING"</f>
        <v>REIMBURSE MEALS/LODGING</v>
      </c>
    </row>
    <row r="873" spans="1:9" x14ac:dyDescent="0.25">
      <c r="A873" t="s">
        <v>239</v>
      </c>
      <c r="B873">
        <v>956</v>
      </c>
      <c r="C873" s="2">
        <v>12084.67</v>
      </c>
      <c r="D873" s="1">
        <v>43641</v>
      </c>
      <c r="E873" t="str">
        <f>"201906139895"</f>
        <v>201906139895</v>
      </c>
      <c r="F873" t="str">
        <f>"GRANT REIMBURSEMENT"</f>
        <v>GRANT REIMBURSEMENT</v>
      </c>
      <c r="G873" s="2">
        <v>12084.67</v>
      </c>
      <c r="H873" t="str">
        <f>"GRANT REIMBURSEMENT"</f>
        <v>GRANT REIMBURSEMENT</v>
      </c>
    </row>
    <row r="874" spans="1:9" x14ac:dyDescent="0.25">
      <c r="A874" t="s">
        <v>240</v>
      </c>
      <c r="B874">
        <v>896</v>
      </c>
      <c r="C874" s="2">
        <v>1090.5</v>
      </c>
      <c r="D874" s="1">
        <v>43627</v>
      </c>
      <c r="E874" t="str">
        <f>"LS-2014EXP-1669"</f>
        <v>LS-2014EXP-1669</v>
      </c>
      <c r="F874" t="str">
        <f>"INV LS-2014EXP-1669"</f>
        <v>INV LS-2014EXP-1669</v>
      </c>
      <c r="G874" s="2">
        <v>1090.5</v>
      </c>
      <c r="H874" t="str">
        <f>"INV LS-2014EXP-1669"</f>
        <v>INV LS-2014EXP-1669</v>
      </c>
    </row>
    <row r="875" spans="1:9" x14ac:dyDescent="0.25">
      <c r="A875" t="s">
        <v>241</v>
      </c>
      <c r="B875">
        <v>899</v>
      </c>
      <c r="C875" s="2">
        <v>715</v>
      </c>
      <c r="D875" s="1">
        <v>43627</v>
      </c>
      <c r="E875" t="str">
        <f>"201906049557"</f>
        <v>201906049557</v>
      </c>
      <c r="F875" t="str">
        <f>"TRASH REMOVAL 05/27-05/31/P4"</f>
        <v>TRASH REMOVAL 05/27-05/31/P4</v>
      </c>
      <c r="G875" s="2">
        <v>273</v>
      </c>
      <c r="H875" t="str">
        <f>"TRASH REMOVAL 05/27-05/31/P4"</f>
        <v>TRASH REMOVAL 05/27-05/31/P4</v>
      </c>
    </row>
    <row r="876" spans="1:9" x14ac:dyDescent="0.25">
      <c r="E876" t="str">
        <f>"201906049558"</f>
        <v>201906049558</v>
      </c>
      <c r="F876" t="str">
        <f>"TRASH REMOVAL 06/03-06/07/P4"</f>
        <v>TRASH REMOVAL 06/03-06/07/P4</v>
      </c>
      <c r="G876" s="2">
        <v>442</v>
      </c>
      <c r="H876" t="str">
        <f>"TRASH REMOVAL 06/03-06/07/P4"</f>
        <v>TRASH REMOVAL 06/03-06/07/P4</v>
      </c>
    </row>
    <row r="877" spans="1:9" x14ac:dyDescent="0.25">
      <c r="A877" t="s">
        <v>241</v>
      </c>
      <c r="B877">
        <v>962</v>
      </c>
      <c r="C877" s="2">
        <v>884</v>
      </c>
      <c r="D877" s="1">
        <v>43641</v>
      </c>
      <c r="E877" t="str">
        <f>"201906179927"</f>
        <v>201906179927</v>
      </c>
      <c r="F877" t="str">
        <f>"TRASH REMOVAL 06/10-06/21/P4"</f>
        <v>TRASH REMOVAL 06/10-06/21/P4</v>
      </c>
      <c r="G877" s="2">
        <v>884</v>
      </c>
      <c r="H877" t="str">
        <f>"TRASH REMOVAL 06/10-06/21/P4"</f>
        <v>TRASH REMOVAL 06/10-06/21/P4</v>
      </c>
    </row>
    <row r="878" spans="1:9" x14ac:dyDescent="0.25">
      <c r="A878" t="s">
        <v>242</v>
      </c>
      <c r="B878">
        <v>82532</v>
      </c>
      <c r="C878" s="2">
        <v>2500</v>
      </c>
      <c r="D878" s="1">
        <v>43626</v>
      </c>
      <c r="E878" t="str">
        <f>"BC-7HY99400-2"</f>
        <v>BC-7HY99400-2</v>
      </c>
      <c r="F878" t="str">
        <f>"DEDUCTIBLE-2007 FRHT REPAIR/P3"</f>
        <v>DEDUCTIBLE-2007 FRHT REPAIR/P3</v>
      </c>
      <c r="G878" s="2">
        <v>2500</v>
      </c>
      <c r="H878" t="str">
        <f>"DEDUCTIBLE-2007 FRHT REPAIR/P3"</f>
        <v>DEDUCTIBLE-2007 FRHT REPAIR/P3</v>
      </c>
    </row>
    <row r="879" spans="1:9" x14ac:dyDescent="0.25">
      <c r="A879" t="s">
        <v>243</v>
      </c>
      <c r="B879">
        <v>82533</v>
      </c>
      <c r="C879" s="2">
        <v>438.98</v>
      </c>
      <c r="D879" s="1">
        <v>43626</v>
      </c>
      <c r="E879" t="str">
        <f>"201906049674"</f>
        <v>201906049674</v>
      </c>
      <c r="F879" t="str">
        <f>"acct# 8692"</f>
        <v>acct# 8692</v>
      </c>
      <c r="G879" s="2">
        <v>438.98</v>
      </c>
      <c r="H879" t="str">
        <f>"Inv# 902510"</f>
        <v>Inv# 902510</v>
      </c>
    </row>
    <row r="880" spans="1:9" x14ac:dyDescent="0.25">
      <c r="E880" t="str">
        <f>""</f>
        <v/>
      </c>
      <c r="F880" t="str">
        <f>""</f>
        <v/>
      </c>
      <c r="H880" t="str">
        <f>"Inv# 909545"</f>
        <v>Inv# 909545</v>
      </c>
    </row>
    <row r="881" spans="1:8" x14ac:dyDescent="0.25">
      <c r="E881" t="str">
        <f>""</f>
        <v/>
      </c>
      <c r="F881" t="str">
        <f>""</f>
        <v/>
      </c>
      <c r="H881" t="str">
        <f>"Inv# 909554"</f>
        <v>Inv# 909554</v>
      </c>
    </row>
    <row r="882" spans="1:8" x14ac:dyDescent="0.25">
      <c r="E882" t="str">
        <f>""</f>
        <v/>
      </c>
      <c r="F882" t="str">
        <f>""</f>
        <v/>
      </c>
      <c r="H882" t="str">
        <f>"Inv# 910001"</f>
        <v>Inv# 910001</v>
      </c>
    </row>
    <row r="883" spans="1:8" x14ac:dyDescent="0.25">
      <c r="E883" t="str">
        <f>""</f>
        <v/>
      </c>
      <c r="F883" t="str">
        <f>""</f>
        <v/>
      </c>
      <c r="H883" t="str">
        <f>"Inv# 911801"</f>
        <v>Inv# 911801</v>
      </c>
    </row>
    <row r="884" spans="1:8" x14ac:dyDescent="0.25">
      <c r="E884" t="str">
        <f>""</f>
        <v/>
      </c>
      <c r="F884" t="str">
        <f>""</f>
        <v/>
      </c>
      <c r="H884" t="str">
        <f>"Inv# 914329"</f>
        <v>Inv# 914329</v>
      </c>
    </row>
    <row r="885" spans="1:8" x14ac:dyDescent="0.25">
      <c r="E885" t="str">
        <f>""</f>
        <v/>
      </c>
      <c r="F885" t="str">
        <f>""</f>
        <v/>
      </c>
      <c r="H885" t="str">
        <f>"Inv# 910551"</f>
        <v>Inv# 910551</v>
      </c>
    </row>
    <row r="886" spans="1:8" x14ac:dyDescent="0.25">
      <c r="E886" t="str">
        <f>""</f>
        <v/>
      </c>
      <c r="F886" t="str">
        <f>""</f>
        <v/>
      </c>
      <c r="H886" t="str">
        <f>"Inv# 910223"</f>
        <v>Inv# 910223</v>
      </c>
    </row>
    <row r="887" spans="1:8" x14ac:dyDescent="0.25">
      <c r="E887" t="str">
        <f>""</f>
        <v/>
      </c>
      <c r="F887" t="str">
        <f>""</f>
        <v/>
      </c>
      <c r="H887" t="str">
        <f>"Inv# 914722"</f>
        <v>Inv# 914722</v>
      </c>
    </row>
    <row r="888" spans="1:8" x14ac:dyDescent="0.25">
      <c r="E888" t="str">
        <f>""</f>
        <v/>
      </c>
      <c r="F888" t="str">
        <f>""</f>
        <v/>
      </c>
      <c r="H888" t="str">
        <f>"Inv# 918215"</f>
        <v>Inv# 918215</v>
      </c>
    </row>
    <row r="889" spans="1:8" x14ac:dyDescent="0.25">
      <c r="A889" t="s">
        <v>244</v>
      </c>
      <c r="B889">
        <v>82733</v>
      </c>
      <c r="C889" s="2">
        <v>185</v>
      </c>
      <c r="D889" s="1">
        <v>43640</v>
      </c>
      <c r="E889" t="str">
        <f>"201906200072"</f>
        <v>201906200072</v>
      </c>
      <c r="F889" t="str">
        <f>"FERAL HOGS"</f>
        <v>FERAL HOGS</v>
      </c>
      <c r="G889" s="2">
        <v>40</v>
      </c>
      <c r="H889" t="str">
        <f>"FERAL HOGS"</f>
        <v>FERAL HOGS</v>
      </c>
    </row>
    <row r="890" spans="1:8" x14ac:dyDescent="0.25">
      <c r="E890" t="str">
        <f>"201906200073"</f>
        <v>201906200073</v>
      </c>
      <c r="F890" t="str">
        <f>"FERAL HOGS"</f>
        <v>FERAL HOGS</v>
      </c>
      <c r="G890" s="2">
        <v>145</v>
      </c>
      <c r="H890" t="str">
        <f>"FERAL HOGS"</f>
        <v>FERAL HOGS</v>
      </c>
    </row>
    <row r="891" spans="1:8" x14ac:dyDescent="0.25">
      <c r="A891" t="s">
        <v>245</v>
      </c>
      <c r="B891">
        <v>82734</v>
      </c>
      <c r="C891" s="2">
        <v>125</v>
      </c>
      <c r="D891" s="1">
        <v>43640</v>
      </c>
      <c r="E891" t="str">
        <f>"201906190053"</f>
        <v>201906190053</v>
      </c>
      <c r="F891" t="str">
        <f>"REFUND-ADOPTION FEE"</f>
        <v>REFUND-ADOPTION FEE</v>
      </c>
      <c r="G891" s="2">
        <v>125</v>
      </c>
      <c r="H891" t="str">
        <f>"REFUND-ADOPTION FEE"</f>
        <v>REFUND-ADOPTION FEE</v>
      </c>
    </row>
    <row r="892" spans="1:8" x14ac:dyDescent="0.25">
      <c r="A892" t="s">
        <v>246</v>
      </c>
      <c r="B892">
        <v>82735</v>
      </c>
      <c r="C892" s="2">
        <v>4090.76</v>
      </c>
      <c r="D892" s="1">
        <v>43640</v>
      </c>
      <c r="E892" t="str">
        <f>"2"</f>
        <v>2</v>
      </c>
      <c r="F892" t="str">
        <f>"15 915  04/03/18-05/09/19"</f>
        <v>15 915  04/03/18-05/09/19</v>
      </c>
      <c r="G892" s="2">
        <v>4090.76</v>
      </c>
      <c r="H892" t="str">
        <f>"15 915  04/03/18-05/09/19"</f>
        <v>15 915  04/03/18-05/09/19</v>
      </c>
    </row>
    <row r="893" spans="1:8" x14ac:dyDescent="0.25">
      <c r="A893" t="s">
        <v>247</v>
      </c>
      <c r="B893">
        <v>951</v>
      </c>
      <c r="C893" s="2">
        <v>244.69</v>
      </c>
      <c r="D893" s="1">
        <v>43641</v>
      </c>
      <c r="E893" t="str">
        <f>"201906179908"</f>
        <v>201906179908</v>
      </c>
      <c r="F893" t="str">
        <f>"CRIMINAL COURT 61219"</f>
        <v>CRIMINAL COURT 61219</v>
      </c>
      <c r="G893" s="2">
        <v>244.69</v>
      </c>
    </row>
    <row r="894" spans="1:8" x14ac:dyDescent="0.25">
      <c r="A894" t="s">
        <v>247</v>
      </c>
      <c r="B894">
        <v>951</v>
      </c>
      <c r="C894" s="2">
        <v>-244.69</v>
      </c>
      <c r="D894" s="1">
        <v>43641</v>
      </c>
      <c r="E894" t="str">
        <f>"CHECK"</f>
        <v>CHECK</v>
      </c>
      <c r="F894" t="str">
        <f>""</f>
        <v/>
      </c>
      <c r="G894" s="2">
        <v>-244.69</v>
      </c>
    </row>
    <row r="895" spans="1:8" x14ac:dyDescent="0.25">
      <c r="A895" t="s">
        <v>247</v>
      </c>
      <c r="B895">
        <v>951</v>
      </c>
      <c r="C895" s="2">
        <v>244.69</v>
      </c>
      <c r="D895" s="1">
        <v>43643</v>
      </c>
      <c r="E895" t="str">
        <f>"CHECK"</f>
        <v>CHECK</v>
      </c>
      <c r="F895" t="str">
        <f>""</f>
        <v/>
      </c>
      <c r="G895" s="2">
        <v>244.69</v>
      </c>
    </row>
    <row r="896" spans="1:8" x14ac:dyDescent="0.25">
      <c r="A896" t="s">
        <v>248</v>
      </c>
      <c r="B896">
        <v>82736</v>
      </c>
      <c r="C896" s="2">
        <v>5</v>
      </c>
      <c r="D896" s="1">
        <v>43640</v>
      </c>
      <c r="E896" t="str">
        <f>"201906200074"</f>
        <v>201906200074</v>
      </c>
      <c r="F896" t="str">
        <f>"FERAL HOGS"</f>
        <v>FERAL HOGS</v>
      </c>
      <c r="G896" s="2">
        <v>5</v>
      </c>
      <c r="H896" t="str">
        <f>"FERAL HOGS"</f>
        <v>FERAL HOGS</v>
      </c>
    </row>
    <row r="897" spans="1:8" x14ac:dyDescent="0.25">
      <c r="A897" t="s">
        <v>249</v>
      </c>
      <c r="B897">
        <v>957</v>
      </c>
      <c r="C897" s="2">
        <v>950.11</v>
      </c>
      <c r="D897" s="1">
        <v>43641</v>
      </c>
      <c r="E897" t="str">
        <f>"201906149902"</f>
        <v>201906149902</v>
      </c>
      <c r="F897" t="str">
        <f>"REIMBURSE HOTEL/MEALS"</f>
        <v>REIMBURSE HOTEL/MEALS</v>
      </c>
      <c r="G897" s="2">
        <v>950.11</v>
      </c>
      <c r="H897" t="str">
        <f>"REIMBURSE HOTEL/MEALS"</f>
        <v>REIMBURSE HOTEL/MEALS</v>
      </c>
    </row>
    <row r="898" spans="1:8" x14ac:dyDescent="0.25">
      <c r="A898" t="s">
        <v>250</v>
      </c>
      <c r="B898">
        <v>82737</v>
      </c>
      <c r="C898" s="2">
        <v>60</v>
      </c>
      <c r="D898" s="1">
        <v>43640</v>
      </c>
      <c r="E898" t="str">
        <f>"201906180028"</f>
        <v>201906180028</v>
      </c>
      <c r="F898" t="str">
        <f>"MARK WHITE"</f>
        <v>MARK WHITE</v>
      </c>
      <c r="G898" s="2">
        <v>60</v>
      </c>
      <c r="H898" t="str">
        <f>""</f>
        <v/>
      </c>
    </row>
    <row r="899" spans="1:8" x14ac:dyDescent="0.25">
      <c r="A899" t="s">
        <v>251</v>
      </c>
      <c r="B899">
        <v>82534</v>
      </c>
      <c r="C899" s="2">
        <v>754.56</v>
      </c>
      <c r="D899" s="1">
        <v>43626</v>
      </c>
      <c r="E899" t="str">
        <f>"INV001799450"</f>
        <v>INV001799450</v>
      </c>
      <c r="F899" t="str">
        <f>"INV001799450"</f>
        <v>INV001799450</v>
      </c>
      <c r="G899" s="2">
        <v>754.56</v>
      </c>
      <c r="H899" t="str">
        <f>"INV001799450"</f>
        <v>INV001799450</v>
      </c>
    </row>
    <row r="900" spans="1:8" x14ac:dyDescent="0.25">
      <c r="A900" t="s">
        <v>252</v>
      </c>
      <c r="B900">
        <v>82535</v>
      </c>
      <c r="C900" s="2">
        <v>670</v>
      </c>
      <c r="D900" s="1">
        <v>43626</v>
      </c>
      <c r="E900" t="str">
        <f>"1824-002143"</f>
        <v>1824-002143</v>
      </c>
      <c r="F900" t="str">
        <f>"TRANSPORT-K.D. HELTON"</f>
        <v>TRANSPORT-K.D. HELTON</v>
      </c>
      <c r="G900" s="2">
        <v>670</v>
      </c>
      <c r="H900" t="str">
        <f>"TRANSPORT-K.D. HELTON"</f>
        <v>TRANSPORT-K.D. HELTON</v>
      </c>
    </row>
    <row r="901" spans="1:8" x14ac:dyDescent="0.25">
      <c r="A901" t="s">
        <v>253</v>
      </c>
      <c r="B901">
        <v>895</v>
      </c>
      <c r="C901" s="2">
        <v>1262.5</v>
      </c>
      <c r="D901" s="1">
        <v>43627</v>
      </c>
      <c r="E901" t="str">
        <f>"201906049610"</f>
        <v>201906049610</v>
      </c>
      <c r="F901" t="str">
        <f>"56 812"</f>
        <v>56 812</v>
      </c>
      <c r="G901" s="2">
        <v>250</v>
      </c>
      <c r="H901" t="str">
        <f>"56 812"</f>
        <v>56 812</v>
      </c>
    </row>
    <row r="902" spans="1:8" x14ac:dyDescent="0.25">
      <c r="E902" t="str">
        <f>"201906049611"</f>
        <v>201906049611</v>
      </c>
      <c r="F902" t="str">
        <f>"56 861  56 862"</f>
        <v>56 861  56 862</v>
      </c>
      <c r="G902" s="2">
        <v>375</v>
      </c>
      <c r="H902" t="str">
        <f>"56 861  56 862"</f>
        <v>56 861  56 862</v>
      </c>
    </row>
    <row r="903" spans="1:8" x14ac:dyDescent="0.25">
      <c r="E903" t="str">
        <f>"201906049612"</f>
        <v>201906049612</v>
      </c>
      <c r="F903" t="str">
        <f>"56 898"</f>
        <v>56 898</v>
      </c>
      <c r="G903" s="2">
        <v>250</v>
      </c>
      <c r="H903" t="str">
        <f>"56 898"</f>
        <v>56 898</v>
      </c>
    </row>
    <row r="904" spans="1:8" x14ac:dyDescent="0.25">
      <c r="E904" t="str">
        <f>"201906049613"</f>
        <v>201906049613</v>
      </c>
      <c r="F904" t="str">
        <f>"18-19093"</f>
        <v>18-19093</v>
      </c>
      <c r="G904" s="2">
        <v>100</v>
      </c>
      <c r="H904" t="str">
        <f>"18-19093"</f>
        <v>18-19093</v>
      </c>
    </row>
    <row r="905" spans="1:8" x14ac:dyDescent="0.25">
      <c r="E905" t="str">
        <f>"201906049614"</f>
        <v>201906049614</v>
      </c>
      <c r="F905" t="str">
        <f>"19-19558"</f>
        <v>19-19558</v>
      </c>
      <c r="G905" s="2">
        <v>187.5</v>
      </c>
      <c r="H905" t="str">
        <f>"19-19558"</f>
        <v>19-19558</v>
      </c>
    </row>
    <row r="906" spans="1:8" x14ac:dyDescent="0.25">
      <c r="E906" t="str">
        <f>"201906049615"</f>
        <v>201906049615</v>
      </c>
      <c r="F906" t="str">
        <f>"18-19016"</f>
        <v>18-19016</v>
      </c>
      <c r="G906" s="2">
        <v>100</v>
      </c>
      <c r="H906" t="str">
        <f>"18-19016"</f>
        <v>18-19016</v>
      </c>
    </row>
    <row r="907" spans="1:8" x14ac:dyDescent="0.25">
      <c r="A907" t="s">
        <v>253</v>
      </c>
      <c r="B907">
        <v>953</v>
      </c>
      <c r="C907" s="2">
        <v>1212.5</v>
      </c>
      <c r="D907" s="1">
        <v>43641</v>
      </c>
      <c r="E907" t="str">
        <f>"201906129779"</f>
        <v>201906129779</v>
      </c>
      <c r="F907" t="str">
        <f>"19-19558"</f>
        <v>19-19558</v>
      </c>
      <c r="G907" s="2">
        <v>287.5</v>
      </c>
      <c r="H907" t="str">
        <f>"19-19558"</f>
        <v>19-19558</v>
      </c>
    </row>
    <row r="908" spans="1:8" x14ac:dyDescent="0.25">
      <c r="E908" t="str">
        <f>"201906129780"</f>
        <v>201906129780</v>
      </c>
      <c r="F908" t="str">
        <f>"18-18960"</f>
        <v>18-18960</v>
      </c>
      <c r="G908" s="2">
        <v>100</v>
      </c>
      <c r="H908" t="str">
        <f>"18-18960"</f>
        <v>18-18960</v>
      </c>
    </row>
    <row r="909" spans="1:8" x14ac:dyDescent="0.25">
      <c r="E909" t="str">
        <f>"201906129781"</f>
        <v>201906129781</v>
      </c>
      <c r="F909" t="str">
        <f>"18-19392"</f>
        <v>18-19392</v>
      </c>
      <c r="G909" s="2">
        <v>287.5</v>
      </c>
      <c r="H909" t="str">
        <f>"18-19392"</f>
        <v>18-19392</v>
      </c>
    </row>
    <row r="910" spans="1:8" x14ac:dyDescent="0.25">
      <c r="E910" t="str">
        <f>"201906129782"</f>
        <v>201906129782</v>
      </c>
      <c r="F910" t="str">
        <f>"18-18885"</f>
        <v>18-18885</v>
      </c>
      <c r="G910" s="2">
        <v>287.5</v>
      </c>
      <c r="H910" t="str">
        <f>"18-18885"</f>
        <v>18-18885</v>
      </c>
    </row>
    <row r="911" spans="1:8" x14ac:dyDescent="0.25">
      <c r="E911" t="str">
        <f>"201906129783"</f>
        <v>201906129783</v>
      </c>
      <c r="F911" t="str">
        <f>"J-3174"</f>
        <v>J-3174</v>
      </c>
      <c r="G911" s="2">
        <v>250</v>
      </c>
      <c r="H911" t="str">
        <f>"J-3174"</f>
        <v>J-3174</v>
      </c>
    </row>
    <row r="912" spans="1:8" x14ac:dyDescent="0.25">
      <c r="A912" t="s">
        <v>254</v>
      </c>
      <c r="B912">
        <v>82738</v>
      </c>
      <c r="C912" s="2">
        <v>261.27999999999997</v>
      </c>
      <c r="D912" s="1">
        <v>43640</v>
      </c>
      <c r="E912" t="str">
        <f>"19787454"</f>
        <v>19787454</v>
      </c>
      <c r="F912" t="str">
        <f>"ACCT#41472/PCT#1"</f>
        <v>ACCT#41472/PCT#1</v>
      </c>
      <c r="G912" s="2">
        <v>25.23</v>
      </c>
      <c r="H912" t="str">
        <f>"ACCT#41472/PCT#1"</f>
        <v>ACCT#41472/PCT#1</v>
      </c>
    </row>
    <row r="913" spans="1:8" x14ac:dyDescent="0.25">
      <c r="E913" t="str">
        <f>"19787543"</f>
        <v>19787543</v>
      </c>
      <c r="F913" t="str">
        <f>"CUST#45057/PCT#4"</f>
        <v>CUST#45057/PCT#4</v>
      </c>
      <c r="G913" s="2">
        <v>45.73</v>
      </c>
      <c r="H913" t="str">
        <f>"CUST#45057/PCT#4"</f>
        <v>CUST#45057/PCT#4</v>
      </c>
    </row>
    <row r="914" spans="1:8" x14ac:dyDescent="0.25">
      <c r="E914" t="str">
        <f>"19787602"</f>
        <v>19787602</v>
      </c>
      <c r="F914" t="str">
        <f>"INV 19787602"</f>
        <v>INV 19787602</v>
      </c>
      <c r="G914" s="2">
        <v>55.32</v>
      </c>
      <c r="H914" t="str">
        <f>"INV 19787602"</f>
        <v>INV 19787602</v>
      </c>
    </row>
    <row r="915" spans="1:8" x14ac:dyDescent="0.25">
      <c r="E915" t="str">
        <f>"19795338"</f>
        <v>19795338</v>
      </c>
      <c r="F915" t="str">
        <f>"ACCT#S9549/PCT#1"</f>
        <v>ACCT#S9549/PCT#1</v>
      </c>
      <c r="G915" s="2">
        <v>135</v>
      </c>
      <c r="H915" t="str">
        <f>"ACCT#S9549/PCT#1"</f>
        <v>ACCT#S9549/PCT#1</v>
      </c>
    </row>
    <row r="916" spans="1:8" x14ac:dyDescent="0.25">
      <c r="A916" t="s">
        <v>255</v>
      </c>
      <c r="B916">
        <v>910</v>
      </c>
      <c r="C916" s="2">
        <v>15.2</v>
      </c>
      <c r="D916" s="1">
        <v>43627</v>
      </c>
      <c r="E916" t="str">
        <f>"672994"</f>
        <v>672994</v>
      </c>
      <c r="F916" t="str">
        <f>"ACCT#0900-98011130-001/CONCRET"</f>
        <v>ACCT#0900-98011130-001/CONCRET</v>
      </c>
      <c r="G916" s="2">
        <v>15.2</v>
      </c>
      <c r="H916" t="str">
        <f>"ACCT#0900-98011130-001/CONCRET"</f>
        <v>ACCT#0900-98011130-001/CONCRET</v>
      </c>
    </row>
    <row r="917" spans="1:8" x14ac:dyDescent="0.25">
      <c r="A917" t="s">
        <v>256</v>
      </c>
      <c r="B917">
        <v>82536</v>
      </c>
      <c r="C917" s="2">
        <v>12838.81</v>
      </c>
      <c r="D917" s="1">
        <v>43626</v>
      </c>
      <c r="E917" t="str">
        <f>"11220"</f>
        <v>11220</v>
      </c>
      <c r="F917" t="str">
        <f>"SERVICE-$120  ABST FEE-$150"</f>
        <v>SERVICE-$120  ABST FEE-$150</v>
      </c>
      <c r="G917" s="2">
        <v>270</v>
      </c>
      <c r="H917" t="str">
        <f>"SERVICE-$120  ABST FEE-$150"</f>
        <v>SERVICE-$120  ABST FEE-$150</v>
      </c>
    </row>
    <row r="918" spans="1:8" x14ac:dyDescent="0.25">
      <c r="E918" t="str">
        <f>"12010  04/03/19"</f>
        <v>12010  04/03/19</v>
      </c>
      <c r="F918" t="str">
        <f t="shared" ref="F918:F928" si="18">"ABST FEE"</f>
        <v>ABST FEE</v>
      </c>
      <c r="G918" s="2">
        <v>123.8</v>
      </c>
      <c r="H918" t="str">
        <f t="shared" ref="H918:H928" si="19">"ABST FEE"</f>
        <v>ABST FEE</v>
      </c>
    </row>
    <row r="919" spans="1:8" x14ac:dyDescent="0.25">
      <c r="E919" t="str">
        <f>"12122"</f>
        <v>12122</v>
      </c>
      <c r="F919" t="str">
        <f t="shared" si="18"/>
        <v>ABST FEE</v>
      </c>
      <c r="G919" s="2">
        <v>175</v>
      </c>
      <c r="H919" t="str">
        <f t="shared" si="19"/>
        <v>ABST FEE</v>
      </c>
    </row>
    <row r="920" spans="1:8" x14ac:dyDescent="0.25">
      <c r="E920" t="str">
        <f>"12356"</f>
        <v>12356</v>
      </c>
      <c r="F920" t="str">
        <f t="shared" si="18"/>
        <v>ABST FEE</v>
      </c>
      <c r="G920" s="2">
        <v>175</v>
      </c>
      <c r="H920" t="str">
        <f t="shared" si="19"/>
        <v>ABST FEE</v>
      </c>
    </row>
    <row r="921" spans="1:8" x14ac:dyDescent="0.25">
      <c r="E921" t="str">
        <f>"12394"</f>
        <v>12394</v>
      </c>
      <c r="F921" t="str">
        <f t="shared" si="18"/>
        <v>ABST FEE</v>
      </c>
      <c r="G921" s="2">
        <v>175</v>
      </c>
      <c r="H921" t="str">
        <f t="shared" si="19"/>
        <v>ABST FEE</v>
      </c>
    </row>
    <row r="922" spans="1:8" x14ac:dyDescent="0.25">
      <c r="E922" t="str">
        <f>"12818"</f>
        <v>12818</v>
      </c>
      <c r="F922" t="str">
        <f t="shared" si="18"/>
        <v>ABST FEE</v>
      </c>
      <c r="G922" s="2">
        <v>225</v>
      </c>
      <c r="H922" t="str">
        <f t="shared" si="19"/>
        <v>ABST FEE</v>
      </c>
    </row>
    <row r="923" spans="1:8" x14ac:dyDescent="0.25">
      <c r="E923" t="str">
        <f>"12822"</f>
        <v>12822</v>
      </c>
      <c r="F923" t="str">
        <f t="shared" si="18"/>
        <v>ABST FEE</v>
      </c>
      <c r="G923" s="2">
        <v>225</v>
      </c>
      <c r="H923" t="str">
        <f t="shared" si="19"/>
        <v>ABST FEE</v>
      </c>
    </row>
    <row r="924" spans="1:8" x14ac:dyDescent="0.25">
      <c r="E924" t="str">
        <f>"12950"</f>
        <v>12950</v>
      </c>
      <c r="F924" t="str">
        <f t="shared" si="18"/>
        <v>ABST FEE</v>
      </c>
      <c r="G924" s="2">
        <v>225</v>
      </c>
      <c r="H924" t="str">
        <f t="shared" si="19"/>
        <v>ABST FEE</v>
      </c>
    </row>
    <row r="925" spans="1:8" x14ac:dyDescent="0.25">
      <c r="E925" t="str">
        <f>"13050"</f>
        <v>13050</v>
      </c>
      <c r="F925" t="str">
        <f t="shared" si="18"/>
        <v>ABST FEE</v>
      </c>
      <c r="G925" s="2">
        <v>225</v>
      </c>
      <c r="H925" t="str">
        <f t="shared" si="19"/>
        <v>ABST FEE</v>
      </c>
    </row>
    <row r="926" spans="1:8" x14ac:dyDescent="0.25">
      <c r="E926" t="str">
        <f>"13082"</f>
        <v>13082</v>
      </c>
      <c r="F926" t="str">
        <f t="shared" si="18"/>
        <v>ABST FEE</v>
      </c>
      <c r="G926" s="2">
        <v>225</v>
      </c>
      <c r="H926" t="str">
        <f t="shared" si="19"/>
        <v>ABST FEE</v>
      </c>
    </row>
    <row r="927" spans="1:8" x14ac:dyDescent="0.25">
      <c r="E927" t="str">
        <f>"13116"</f>
        <v>13116</v>
      </c>
      <c r="F927" t="str">
        <f t="shared" si="18"/>
        <v>ABST FEE</v>
      </c>
      <c r="G927" s="2">
        <v>225</v>
      </c>
      <c r="H927" t="str">
        <f t="shared" si="19"/>
        <v>ABST FEE</v>
      </c>
    </row>
    <row r="928" spans="1:8" x14ac:dyDescent="0.25">
      <c r="E928" t="str">
        <f>"13129"</f>
        <v>13129</v>
      </c>
      <c r="F928" t="str">
        <f t="shared" si="18"/>
        <v>ABST FEE</v>
      </c>
      <c r="G928" s="2">
        <v>225</v>
      </c>
      <c r="H928" t="str">
        <f t="shared" si="19"/>
        <v>ABST FEE</v>
      </c>
    </row>
    <row r="929" spans="1:8" x14ac:dyDescent="0.25">
      <c r="E929" t="str">
        <f>"13155"</f>
        <v>13155</v>
      </c>
      <c r="F929" t="str">
        <f>"SERVICE-$55  ABST FEE-$225"</f>
        <v>SERVICE-$55  ABST FEE-$225</v>
      </c>
      <c r="G929" s="2">
        <v>280</v>
      </c>
      <c r="H929" t="str">
        <f>"SERVICE-$55  ABST FEE-$225"</f>
        <v>SERVICE-$55  ABST FEE-$225</v>
      </c>
    </row>
    <row r="930" spans="1:8" x14ac:dyDescent="0.25">
      <c r="E930" t="str">
        <f>"201906059679"</f>
        <v>201906059679</v>
      </c>
      <c r="F930" t="str">
        <f>"TAX COLLECTION-MAY 2019"</f>
        <v>TAX COLLECTION-MAY 2019</v>
      </c>
      <c r="G930" s="2">
        <v>10065.01</v>
      </c>
      <c r="H930" t="str">
        <f>"TAX COLLECTION-MAY 2019"</f>
        <v>TAX COLLECTION-MAY 2019</v>
      </c>
    </row>
    <row r="931" spans="1:8" x14ac:dyDescent="0.25">
      <c r="A931" t="s">
        <v>256</v>
      </c>
      <c r="B931">
        <v>82739</v>
      </c>
      <c r="C931" s="2">
        <v>3572</v>
      </c>
      <c r="D931" s="1">
        <v>43640</v>
      </c>
      <c r="E931" t="str">
        <f>"11102"</f>
        <v>11102</v>
      </c>
      <c r="F931" t="str">
        <f>"ABST FEE-$175 &amp; SERVICE-$55"</f>
        <v>ABST FEE-$175 &amp; SERVICE-$55</v>
      </c>
      <c r="G931" s="2">
        <v>230</v>
      </c>
      <c r="H931" t="str">
        <f>"ABST FEE-$175 &amp; SERVICE-$55"</f>
        <v>ABST FEE-$175 &amp; SERVICE-$55</v>
      </c>
    </row>
    <row r="932" spans="1:8" x14ac:dyDescent="0.25">
      <c r="E932" t="str">
        <f>"12250"</f>
        <v>12250</v>
      </c>
      <c r="F932" t="str">
        <f>"ABST FEE  05/14/19"</f>
        <v>ABST FEE  05/14/19</v>
      </c>
      <c r="G932" s="2">
        <v>175</v>
      </c>
      <c r="H932" t="str">
        <f>"ABST FEE  05/14/19"</f>
        <v>ABST FEE  05/14/19</v>
      </c>
    </row>
    <row r="933" spans="1:8" x14ac:dyDescent="0.25">
      <c r="E933" t="str">
        <f>"12311  05/14/19"</f>
        <v>12311  05/14/19</v>
      </c>
      <c r="F933" t="str">
        <f>"ABST FEE  05/14/19"</f>
        <v>ABST FEE  05/14/19</v>
      </c>
      <c r="G933" s="2">
        <v>41</v>
      </c>
      <c r="H933" t="str">
        <f>"ABST FEE  05/14/19"</f>
        <v>ABST FEE  05/14/19</v>
      </c>
    </row>
    <row r="934" spans="1:8" x14ac:dyDescent="0.25">
      <c r="E934" t="str">
        <f>"12718"</f>
        <v>12718</v>
      </c>
      <c r="F934" t="str">
        <f>"ABST FEE  04/04/19"</f>
        <v>ABST FEE  04/04/19</v>
      </c>
      <c r="G934" s="2">
        <v>225</v>
      </c>
      <c r="H934" t="str">
        <f>"ABST FEE  04/04/19"</f>
        <v>ABST FEE  04/04/19</v>
      </c>
    </row>
    <row r="935" spans="1:8" x14ac:dyDescent="0.25">
      <c r="E935" t="str">
        <f>"12895"</f>
        <v>12895</v>
      </c>
      <c r="F935" t="str">
        <f>"ABST FEE  04/04/19"</f>
        <v>ABST FEE  04/04/19</v>
      </c>
      <c r="G935" s="2">
        <v>225</v>
      </c>
      <c r="H935" t="str">
        <f>"ABST FEE  04/04/19"</f>
        <v>ABST FEE  04/04/19</v>
      </c>
    </row>
    <row r="936" spans="1:8" x14ac:dyDescent="0.25">
      <c r="E936" t="str">
        <f>"12925"</f>
        <v>12925</v>
      </c>
      <c r="F936" t="str">
        <f>"ABST FEE  05/13/19"</f>
        <v>ABST FEE  05/13/19</v>
      </c>
      <c r="G936" s="2">
        <v>225</v>
      </c>
      <c r="H936" t="str">
        <f>"ABST FEE  05/13/19"</f>
        <v>ABST FEE  05/13/19</v>
      </c>
    </row>
    <row r="937" spans="1:8" x14ac:dyDescent="0.25">
      <c r="E937" t="str">
        <f>"12947"</f>
        <v>12947</v>
      </c>
      <c r="F937" t="str">
        <f t="shared" ref="F937:F944" si="20">"ABST FEE 04/04/19"</f>
        <v>ABST FEE 04/04/19</v>
      </c>
      <c r="G937" s="2">
        <v>225</v>
      </c>
      <c r="H937" t="str">
        <f t="shared" ref="H937:H944" si="21">"ABST FEE 04/04/19"</f>
        <v>ABST FEE 04/04/19</v>
      </c>
    </row>
    <row r="938" spans="1:8" x14ac:dyDescent="0.25">
      <c r="E938" t="str">
        <f>"12955"</f>
        <v>12955</v>
      </c>
      <c r="F938" t="str">
        <f t="shared" si="20"/>
        <v>ABST FEE 04/04/19</v>
      </c>
      <c r="G938" s="2">
        <v>225</v>
      </c>
      <c r="H938" t="str">
        <f t="shared" si="21"/>
        <v>ABST FEE 04/04/19</v>
      </c>
    </row>
    <row r="939" spans="1:8" x14ac:dyDescent="0.25">
      <c r="E939" t="str">
        <f>"12971"</f>
        <v>12971</v>
      </c>
      <c r="F939" t="str">
        <f t="shared" si="20"/>
        <v>ABST FEE 04/04/19</v>
      </c>
      <c r="G939" s="2">
        <v>225</v>
      </c>
      <c r="H939" t="str">
        <f t="shared" si="21"/>
        <v>ABST FEE 04/04/19</v>
      </c>
    </row>
    <row r="940" spans="1:8" x14ac:dyDescent="0.25">
      <c r="E940" t="str">
        <f>"12979"</f>
        <v>12979</v>
      </c>
      <c r="F940" t="str">
        <f t="shared" si="20"/>
        <v>ABST FEE 04/04/19</v>
      </c>
      <c r="G940" s="2">
        <v>225</v>
      </c>
      <c r="H940" t="str">
        <f t="shared" si="21"/>
        <v>ABST FEE 04/04/19</v>
      </c>
    </row>
    <row r="941" spans="1:8" x14ac:dyDescent="0.25">
      <c r="E941" t="str">
        <f>"12990"</f>
        <v>12990</v>
      </c>
      <c r="F941" t="str">
        <f t="shared" si="20"/>
        <v>ABST FEE 04/04/19</v>
      </c>
      <c r="G941" s="2">
        <v>225</v>
      </c>
      <c r="H941" t="str">
        <f t="shared" si="21"/>
        <v>ABST FEE 04/04/19</v>
      </c>
    </row>
    <row r="942" spans="1:8" x14ac:dyDescent="0.25">
      <c r="E942" t="str">
        <f>"12991"</f>
        <v>12991</v>
      </c>
      <c r="F942" t="str">
        <f t="shared" si="20"/>
        <v>ABST FEE 04/04/19</v>
      </c>
      <c r="G942" s="2">
        <v>225</v>
      </c>
      <c r="H942" t="str">
        <f t="shared" si="21"/>
        <v>ABST FEE 04/04/19</v>
      </c>
    </row>
    <row r="943" spans="1:8" x14ac:dyDescent="0.25">
      <c r="E943" t="str">
        <f>"13014"</f>
        <v>13014</v>
      </c>
      <c r="F943" t="str">
        <f t="shared" si="20"/>
        <v>ABST FEE 04/04/19</v>
      </c>
      <c r="G943" s="2">
        <v>225</v>
      </c>
      <c r="H943" t="str">
        <f t="shared" si="21"/>
        <v>ABST FEE 04/04/19</v>
      </c>
    </row>
    <row r="944" spans="1:8" x14ac:dyDescent="0.25">
      <c r="E944" t="str">
        <f>"13016"</f>
        <v>13016</v>
      </c>
      <c r="F944" t="str">
        <f t="shared" si="20"/>
        <v>ABST FEE 04/04/19</v>
      </c>
      <c r="G944" s="2">
        <v>225</v>
      </c>
      <c r="H944" t="str">
        <f t="shared" si="21"/>
        <v>ABST FEE 04/04/19</v>
      </c>
    </row>
    <row r="945" spans="1:8" x14ac:dyDescent="0.25">
      <c r="E945" t="str">
        <f>"13125  05/20/19"</f>
        <v>13125  05/20/19</v>
      </c>
      <c r="F945" t="str">
        <f>"ABST FEE"</f>
        <v>ABST FEE</v>
      </c>
      <c r="G945" s="2">
        <v>201</v>
      </c>
      <c r="H945" t="str">
        <f>"ABST FEE"</f>
        <v>ABST FEE</v>
      </c>
    </row>
    <row r="946" spans="1:8" x14ac:dyDescent="0.25">
      <c r="E946" t="str">
        <f>"13199"</f>
        <v>13199</v>
      </c>
      <c r="F946" t="str">
        <f>"ABST FEE"</f>
        <v>ABST FEE</v>
      </c>
      <c r="G946" s="2">
        <v>225</v>
      </c>
      <c r="H946" t="str">
        <f>"ABST FEE"</f>
        <v>ABST FEE</v>
      </c>
    </row>
    <row r="947" spans="1:8" x14ac:dyDescent="0.25">
      <c r="E947" t="str">
        <f>"13206"</f>
        <v>13206</v>
      </c>
      <c r="F947" t="str">
        <f>"ABST FEE"</f>
        <v>ABST FEE</v>
      </c>
      <c r="G947" s="2">
        <v>225</v>
      </c>
      <c r="H947" t="str">
        <f>"ABST FEE"</f>
        <v>ABST FEE</v>
      </c>
    </row>
    <row r="948" spans="1:8" x14ac:dyDescent="0.25">
      <c r="A948" t="s">
        <v>257</v>
      </c>
      <c r="B948">
        <v>82537</v>
      </c>
      <c r="C948" s="2">
        <v>958.52</v>
      </c>
      <c r="D948" s="1">
        <v>43626</v>
      </c>
      <c r="E948" t="str">
        <f>"51774900 51778826"</f>
        <v>51774900 51778826</v>
      </c>
      <c r="F948" t="str">
        <f>"INV 51774900"</f>
        <v>INV 51774900</v>
      </c>
      <c r="G948" s="2">
        <v>799.36</v>
      </c>
      <c r="H948" t="str">
        <f>"INV 51774900"</f>
        <v>INV 51774900</v>
      </c>
    </row>
    <row r="949" spans="1:8" x14ac:dyDescent="0.25">
      <c r="E949" t="str">
        <f>""</f>
        <v/>
      </c>
      <c r="F949" t="str">
        <f>""</f>
        <v/>
      </c>
      <c r="H949" t="str">
        <f>"INV 51778826"</f>
        <v>INV 51778826</v>
      </c>
    </row>
    <row r="950" spans="1:8" x14ac:dyDescent="0.25">
      <c r="E950" t="str">
        <f>""</f>
        <v/>
      </c>
      <c r="F950" t="str">
        <f>""</f>
        <v/>
      </c>
      <c r="H950" t="str">
        <f>"INV 51804352"</f>
        <v>INV 51804352</v>
      </c>
    </row>
    <row r="951" spans="1:8" x14ac:dyDescent="0.25">
      <c r="E951" t="str">
        <f>""</f>
        <v/>
      </c>
      <c r="F951" t="str">
        <f>""</f>
        <v/>
      </c>
      <c r="H951" t="str">
        <f>"INV 54360787"</f>
        <v>INV 54360787</v>
      </c>
    </row>
    <row r="952" spans="1:8" x14ac:dyDescent="0.25">
      <c r="E952" t="str">
        <f>""</f>
        <v/>
      </c>
      <c r="F952" t="str">
        <f>""</f>
        <v/>
      </c>
      <c r="H952" t="str">
        <f>"INV 55508883"</f>
        <v>INV 55508883</v>
      </c>
    </row>
    <row r="953" spans="1:8" x14ac:dyDescent="0.25">
      <c r="E953" t="str">
        <f>"55351151"</f>
        <v>55351151</v>
      </c>
      <c r="F953" t="str">
        <f>"INV 55351151"</f>
        <v>INV 55351151</v>
      </c>
      <c r="G953" s="2">
        <v>159.16</v>
      </c>
      <c r="H953" t="str">
        <f>"INV 55351151"</f>
        <v>INV 55351151</v>
      </c>
    </row>
    <row r="954" spans="1:8" x14ac:dyDescent="0.25">
      <c r="A954" t="s">
        <v>257</v>
      </c>
      <c r="B954">
        <v>82740</v>
      </c>
      <c r="C954" s="2">
        <v>1430.88</v>
      </c>
      <c r="D954" s="1">
        <v>43640</v>
      </c>
      <c r="E954" t="str">
        <f>"53298048 53279328"</f>
        <v>53298048 53279328</v>
      </c>
      <c r="F954" t="str">
        <f>"INV 53298048/53279328 ***"</f>
        <v>INV 53298048/53279328 ***</v>
      </c>
      <c r="G954" s="2">
        <v>1430.88</v>
      </c>
      <c r="H954" t="str">
        <f>"INV 53298048"</f>
        <v>INV 53298048</v>
      </c>
    </row>
    <row r="955" spans="1:8" x14ac:dyDescent="0.25">
      <c r="E955" t="str">
        <f>""</f>
        <v/>
      </c>
      <c r="F955" t="str">
        <f>""</f>
        <v/>
      </c>
      <c r="H955" t="str">
        <f>"INV 53279328"</f>
        <v>INV 53279328</v>
      </c>
    </row>
    <row r="956" spans="1:8" x14ac:dyDescent="0.25">
      <c r="E956" t="str">
        <f>""</f>
        <v/>
      </c>
      <c r="F956" t="str">
        <f>""</f>
        <v/>
      </c>
      <c r="H956" t="str">
        <f>"INV 54322018"</f>
        <v>INV 54322018</v>
      </c>
    </row>
    <row r="957" spans="1:8" x14ac:dyDescent="0.25">
      <c r="E957" t="str">
        <f>""</f>
        <v/>
      </c>
      <c r="F957" t="str">
        <f>""</f>
        <v/>
      </c>
      <c r="H957" t="str">
        <f>"INV 56206400"</f>
        <v>INV 56206400</v>
      </c>
    </row>
    <row r="958" spans="1:8" x14ac:dyDescent="0.25">
      <c r="A958" t="s">
        <v>258</v>
      </c>
      <c r="B958">
        <v>82741</v>
      </c>
      <c r="C958" s="2">
        <v>2543.15</v>
      </c>
      <c r="D958" s="1">
        <v>43640</v>
      </c>
      <c r="E958" t="str">
        <f>"201906180021"</f>
        <v>201906180021</v>
      </c>
      <c r="F958" t="str">
        <f>"INDIGENT HEALTH"</f>
        <v>INDIGENT HEALTH</v>
      </c>
      <c r="G958" s="2">
        <v>2543.15</v>
      </c>
      <c r="H958" t="str">
        <f>"INDIGENT HEALTH"</f>
        <v>INDIGENT HEALTH</v>
      </c>
    </row>
    <row r="959" spans="1:8" x14ac:dyDescent="0.25">
      <c r="E959" t="str">
        <f>""</f>
        <v/>
      </c>
      <c r="F959" t="str">
        <f>""</f>
        <v/>
      </c>
      <c r="H959" t="str">
        <f>"INDIGENT HEALTH"</f>
        <v>INDIGENT HEALTH</v>
      </c>
    </row>
    <row r="960" spans="1:8" x14ac:dyDescent="0.25">
      <c r="A960" t="s">
        <v>259</v>
      </c>
      <c r="B960">
        <v>966</v>
      </c>
      <c r="C960" s="2">
        <v>3000</v>
      </c>
      <c r="D960" s="1">
        <v>43641</v>
      </c>
      <c r="E960" t="str">
        <f>"201906190048"</f>
        <v>201906190048</v>
      </c>
      <c r="F960" t="str">
        <f>"SURG SVCS JUNE 6 10 13"</f>
        <v>SURG SVCS JUNE 6 10 13</v>
      </c>
      <c r="G960" s="2">
        <v>1500</v>
      </c>
      <c r="H960" t="str">
        <f>"SURG SVCS JUNE 6 10 13"</f>
        <v>SURG SVCS JUNE 6 10 13</v>
      </c>
    </row>
    <row r="961" spans="1:9" x14ac:dyDescent="0.25">
      <c r="E961" t="str">
        <f>"201906190049"</f>
        <v>201906190049</v>
      </c>
      <c r="F961" t="str">
        <f>"SURG SVCS MAY 23  30/JUNE 3"</f>
        <v>SURG SVCS MAY 23  30/JUNE 3</v>
      </c>
      <c r="G961" s="2">
        <v>1500</v>
      </c>
      <c r="H961" t="str">
        <f>"SURG SVCS MAY 23  30/JUNE 3"</f>
        <v>SURG SVCS MAY 23  30/JUNE 3</v>
      </c>
    </row>
    <row r="962" spans="1:9" x14ac:dyDescent="0.25">
      <c r="A962" t="s">
        <v>260</v>
      </c>
      <c r="B962">
        <v>82742</v>
      </c>
      <c r="C962" s="2">
        <v>225</v>
      </c>
      <c r="D962" s="1">
        <v>43640</v>
      </c>
      <c r="E962" t="s">
        <v>175</v>
      </c>
      <c r="F962" t="s">
        <v>213</v>
      </c>
      <c r="G962" s="2" t="str">
        <f>"RESTITUTION-D. SPURK"</f>
        <v>RESTITUTION-D. SPURK</v>
      </c>
      <c r="H962" t="str">
        <f>"210-0000"</f>
        <v>210-0000</v>
      </c>
      <c r="I962" t="str">
        <f>""</f>
        <v/>
      </c>
    </row>
    <row r="963" spans="1:9" x14ac:dyDescent="0.25">
      <c r="A963" t="s">
        <v>261</v>
      </c>
      <c r="B963">
        <v>82743</v>
      </c>
      <c r="C963" s="2">
        <v>796.65</v>
      </c>
      <c r="D963" s="1">
        <v>43640</v>
      </c>
      <c r="E963" t="str">
        <f>"201906180002"</f>
        <v>201906180002</v>
      </c>
      <c r="F963" t="str">
        <f>"MILEAGE REIMBURSEMENT"</f>
        <v>MILEAGE REIMBURSEMENT</v>
      </c>
      <c r="G963" s="2">
        <v>521.41999999999996</v>
      </c>
      <c r="H963" t="str">
        <f>"MILEAGE REIMBURSEMENT"</f>
        <v>MILEAGE REIMBURSEMENT</v>
      </c>
    </row>
    <row r="964" spans="1:9" x14ac:dyDescent="0.25">
      <c r="E964" t="str">
        <f>"201906189988"</f>
        <v>201906189988</v>
      </c>
      <c r="F964" t="str">
        <f>"REIMBURSE HOTEL"</f>
        <v>REIMBURSE HOTEL</v>
      </c>
      <c r="G964" s="2">
        <v>97.37</v>
      </c>
      <c r="H964" t="str">
        <f>"REIMBURSE HOTEL"</f>
        <v>REIMBURSE HOTEL</v>
      </c>
    </row>
    <row r="965" spans="1:9" x14ac:dyDescent="0.25">
      <c r="E965" t="str">
        <f>"201906189989"</f>
        <v>201906189989</v>
      </c>
      <c r="F965" t="str">
        <f>"REIMBURSE MEALS/HOTEL/REGISTRA"</f>
        <v>REIMBURSE MEALS/HOTEL/REGISTRA</v>
      </c>
      <c r="G965" s="2">
        <v>177.86</v>
      </c>
      <c r="H965" t="str">
        <f>"REIMBURSE MEALS/HOTEL/REGISTRA"</f>
        <v>REIMBURSE MEALS/HOTEL/REGISTRA</v>
      </c>
    </row>
    <row r="966" spans="1:9" x14ac:dyDescent="0.25">
      <c r="E966" t="str">
        <f>""</f>
        <v/>
      </c>
      <c r="F966" t="str">
        <f>""</f>
        <v/>
      </c>
      <c r="H966" t="str">
        <f>"REIMBURSE MEALS/HOTEL/REGISTRA"</f>
        <v>REIMBURSE MEALS/HOTEL/REGISTRA</v>
      </c>
    </row>
    <row r="967" spans="1:9" x14ac:dyDescent="0.25">
      <c r="A967" t="s">
        <v>262</v>
      </c>
      <c r="B967">
        <v>82744</v>
      </c>
      <c r="C967" s="2">
        <v>10</v>
      </c>
      <c r="D967" s="1">
        <v>43640</v>
      </c>
      <c r="E967" t="s">
        <v>190</v>
      </c>
      <c r="F967" t="s">
        <v>191</v>
      </c>
      <c r="G967" s="2" t="str">
        <f>"RESTITUTION-J. WINGWOOD"</f>
        <v>RESTITUTION-J. WINGWOOD</v>
      </c>
      <c r="H967" t="str">
        <f>"210-0000"</f>
        <v>210-0000</v>
      </c>
      <c r="I967" t="str">
        <f>""</f>
        <v/>
      </c>
    </row>
    <row r="968" spans="1:9" x14ac:dyDescent="0.25">
      <c r="A968" t="s">
        <v>263</v>
      </c>
      <c r="B968">
        <v>82538</v>
      </c>
      <c r="C968" s="2">
        <v>255.98</v>
      </c>
      <c r="D968" s="1">
        <v>43626</v>
      </c>
      <c r="E968" t="str">
        <f>"19-S-01179"</f>
        <v>19-S-01179</v>
      </c>
      <c r="F968" t="str">
        <f>"REIMBURSEMENT"</f>
        <v>REIMBURSEMENT</v>
      </c>
      <c r="G968" s="2">
        <v>255.98</v>
      </c>
      <c r="H968" t="str">
        <f>"DAMASCUS KNIFE"</f>
        <v>DAMASCUS KNIFE</v>
      </c>
    </row>
    <row r="969" spans="1:9" x14ac:dyDescent="0.25">
      <c r="E969" t="str">
        <f>""</f>
        <v/>
      </c>
      <c r="F969" t="str">
        <f>""</f>
        <v/>
      </c>
      <c r="H969" t="str">
        <f>"CHANNEL LOCK PLIER"</f>
        <v>CHANNEL LOCK PLIER</v>
      </c>
    </row>
    <row r="970" spans="1:9" x14ac:dyDescent="0.25">
      <c r="A970" t="s">
        <v>264</v>
      </c>
      <c r="B970">
        <v>82539</v>
      </c>
      <c r="C970" s="2">
        <v>19376.849999999999</v>
      </c>
      <c r="D970" s="1">
        <v>43626</v>
      </c>
      <c r="E970" t="str">
        <f>"19590"</f>
        <v>19590</v>
      </c>
      <c r="F970" t="str">
        <f t="shared" ref="F970:F976" si="22">"FREIGHT SALES/PCT#2"</f>
        <v>FREIGHT SALES/PCT#2</v>
      </c>
      <c r="G970" s="2">
        <v>2680.85</v>
      </c>
      <c r="H970" t="str">
        <f t="shared" ref="H970:H976" si="23">"FREIGHT SALES/PCT#2"</f>
        <v>FREIGHT SALES/PCT#2</v>
      </c>
    </row>
    <row r="971" spans="1:9" x14ac:dyDescent="0.25">
      <c r="E971" t="str">
        <f>"19591"</f>
        <v>19591</v>
      </c>
      <c r="F971" t="str">
        <f t="shared" si="22"/>
        <v>FREIGHT SALES/PCT#2</v>
      </c>
      <c r="G971" s="2">
        <v>1652.5</v>
      </c>
      <c r="H971" t="str">
        <f t="shared" si="23"/>
        <v>FREIGHT SALES/PCT#2</v>
      </c>
    </row>
    <row r="972" spans="1:9" x14ac:dyDescent="0.25">
      <c r="E972" t="str">
        <f>"19650"</f>
        <v>19650</v>
      </c>
      <c r="F972" t="str">
        <f t="shared" si="22"/>
        <v>FREIGHT SALES/PCT#2</v>
      </c>
      <c r="G972" s="2">
        <v>3772.8</v>
      </c>
      <c r="H972" t="str">
        <f t="shared" si="23"/>
        <v>FREIGHT SALES/PCT#2</v>
      </c>
    </row>
    <row r="973" spans="1:9" x14ac:dyDescent="0.25">
      <c r="E973" t="str">
        <f>"19697"</f>
        <v>19697</v>
      </c>
      <c r="F973" t="str">
        <f t="shared" si="22"/>
        <v>FREIGHT SALES/PCT#2</v>
      </c>
      <c r="G973" s="2">
        <v>5319.8</v>
      </c>
      <c r="H973" t="str">
        <f t="shared" si="23"/>
        <v>FREIGHT SALES/PCT#2</v>
      </c>
    </row>
    <row r="974" spans="1:9" x14ac:dyDescent="0.25">
      <c r="E974" t="str">
        <f>"19739"</f>
        <v>19739</v>
      </c>
      <c r="F974" t="str">
        <f t="shared" si="22"/>
        <v>FREIGHT SALES/PCT#2</v>
      </c>
      <c r="G974" s="2">
        <v>5950.9</v>
      </c>
      <c r="H974" t="str">
        <f t="shared" si="23"/>
        <v>FREIGHT SALES/PCT#2</v>
      </c>
    </row>
    <row r="975" spans="1:9" x14ac:dyDescent="0.25">
      <c r="A975" t="s">
        <v>264</v>
      </c>
      <c r="B975">
        <v>82745</v>
      </c>
      <c r="C975" s="2">
        <v>7216.9</v>
      </c>
      <c r="D975" s="1">
        <v>43640</v>
      </c>
      <c r="E975" t="str">
        <f>"19783"</f>
        <v>19783</v>
      </c>
      <c r="F975" t="str">
        <f t="shared" si="22"/>
        <v>FREIGHT SALES/PCT#2</v>
      </c>
      <c r="G975" s="2">
        <v>5705.65</v>
      </c>
      <c r="H975" t="str">
        <f t="shared" si="23"/>
        <v>FREIGHT SALES/PCT#2</v>
      </c>
    </row>
    <row r="976" spans="1:9" x14ac:dyDescent="0.25">
      <c r="E976" t="str">
        <f>"19846"</f>
        <v>19846</v>
      </c>
      <c r="F976" t="str">
        <f t="shared" si="22"/>
        <v>FREIGHT SALES/PCT#2</v>
      </c>
      <c r="G976" s="2">
        <v>1511.25</v>
      </c>
      <c r="H976" t="str">
        <f t="shared" si="23"/>
        <v>FREIGHT SALES/PCT#2</v>
      </c>
    </row>
    <row r="977" spans="1:9" x14ac:dyDescent="0.25">
      <c r="A977" t="s">
        <v>265</v>
      </c>
      <c r="B977">
        <v>82746</v>
      </c>
      <c r="C977" s="2">
        <v>15</v>
      </c>
      <c r="D977" s="1">
        <v>43640</v>
      </c>
      <c r="E977" t="str">
        <f>"201906200075"</f>
        <v>201906200075</v>
      </c>
      <c r="F977" t="str">
        <f>"FERAL HOGS"</f>
        <v>FERAL HOGS</v>
      </c>
      <c r="G977" s="2">
        <v>15</v>
      </c>
      <c r="H977" t="str">
        <f>"FERAL HOGS"</f>
        <v>FERAL HOGS</v>
      </c>
    </row>
    <row r="978" spans="1:9" x14ac:dyDescent="0.25">
      <c r="A978" t="s">
        <v>266</v>
      </c>
      <c r="B978">
        <v>82444</v>
      </c>
      <c r="C978" s="2">
        <v>40</v>
      </c>
      <c r="D978" s="1">
        <v>43623</v>
      </c>
      <c r="E978" t="str">
        <f>"201906079707"</f>
        <v>201906079707</v>
      </c>
      <c r="F978" t="str">
        <f>"Misc"</f>
        <v>Misc</v>
      </c>
      <c r="G978" s="2">
        <v>40</v>
      </c>
      <c r="H978" t="str">
        <f>"ADREA LETRICE BRIDGEMAN"</f>
        <v>ADREA LETRICE BRIDGEMAN</v>
      </c>
    </row>
    <row r="979" spans="1:9" x14ac:dyDescent="0.25">
      <c r="A979" t="s">
        <v>267</v>
      </c>
      <c r="B979">
        <v>82445</v>
      </c>
      <c r="C979" s="2">
        <v>40</v>
      </c>
      <c r="D979" s="1">
        <v>43623</v>
      </c>
      <c r="E979" t="str">
        <f>"201906079708"</f>
        <v>201906079708</v>
      </c>
      <c r="F979" t="str">
        <f>"Misc"</f>
        <v>Misc</v>
      </c>
      <c r="G979" s="2">
        <v>40</v>
      </c>
      <c r="H979" t="str">
        <f>"JOSEPH EDWARD GRUNINGER"</f>
        <v>JOSEPH EDWARD GRUNINGER</v>
      </c>
    </row>
    <row r="980" spans="1:9" x14ac:dyDescent="0.25">
      <c r="A980" t="s">
        <v>268</v>
      </c>
      <c r="B980">
        <v>82446</v>
      </c>
      <c r="C980" s="2">
        <v>40</v>
      </c>
      <c r="D980" s="1">
        <v>43623</v>
      </c>
      <c r="E980" t="str">
        <f>"201906079709"</f>
        <v>201906079709</v>
      </c>
      <c r="F980" t="str">
        <f>"Miscel"</f>
        <v>Miscel</v>
      </c>
      <c r="G980" s="2">
        <v>40</v>
      </c>
      <c r="H980" t="str">
        <f>"JEFFREY RUSSELL KRITZ"</f>
        <v>JEFFREY RUSSELL KRITZ</v>
      </c>
    </row>
    <row r="981" spans="1:9" x14ac:dyDescent="0.25">
      <c r="A981" t="s">
        <v>269</v>
      </c>
      <c r="B981">
        <v>82447</v>
      </c>
      <c r="C981" s="2">
        <v>40</v>
      </c>
      <c r="D981" s="1">
        <v>43623</v>
      </c>
      <c r="E981" t="str">
        <f>"201906079710"</f>
        <v>201906079710</v>
      </c>
      <c r="F981" t="str">
        <f>"Miscell"</f>
        <v>Miscell</v>
      </c>
      <c r="G981" s="2">
        <v>40</v>
      </c>
      <c r="H981" t="str">
        <f>"MICHELLE LYNN HARRIS"</f>
        <v>MICHELLE LYNN HARRIS</v>
      </c>
    </row>
    <row r="982" spans="1:9" x14ac:dyDescent="0.25">
      <c r="A982" t="s">
        <v>270</v>
      </c>
      <c r="B982">
        <v>82448</v>
      </c>
      <c r="C982" s="2">
        <v>40</v>
      </c>
      <c r="D982" s="1">
        <v>43623</v>
      </c>
      <c r="E982" t="str">
        <f>"201906079711"</f>
        <v>201906079711</v>
      </c>
      <c r="F982" t="str">
        <f>"Miscellane"</f>
        <v>Miscellane</v>
      </c>
      <c r="G982" s="2">
        <v>40</v>
      </c>
      <c r="H982" t="str">
        <f>"JOHN MICHAEL COON"</f>
        <v>JOHN MICHAEL COON</v>
      </c>
    </row>
    <row r="983" spans="1:9" x14ac:dyDescent="0.25">
      <c r="A983" t="s">
        <v>271</v>
      </c>
      <c r="B983">
        <v>82449</v>
      </c>
      <c r="C983" s="2">
        <v>40</v>
      </c>
      <c r="D983" s="1">
        <v>43623</v>
      </c>
      <c r="E983" t="str">
        <f>"201906079712"</f>
        <v>201906079712</v>
      </c>
      <c r="F983" t="str">
        <f>"Miscel"</f>
        <v>Miscel</v>
      </c>
      <c r="G983" s="2">
        <v>40</v>
      </c>
      <c r="H983" t="str">
        <f>"ELIZABETH RICHVOLDSEN"</f>
        <v>ELIZABETH RICHVOLDSEN</v>
      </c>
    </row>
    <row r="984" spans="1:9" x14ac:dyDescent="0.25">
      <c r="A984" t="s">
        <v>272</v>
      </c>
      <c r="B984">
        <v>82450</v>
      </c>
      <c r="C984" s="2">
        <v>40</v>
      </c>
      <c r="D984" s="1">
        <v>43623</v>
      </c>
      <c r="E984" t="str">
        <f>"201906079713"</f>
        <v>201906079713</v>
      </c>
      <c r="F984" t="str">
        <f>"Miscella"</f>
        <v>Miscella</v>
      </c>
      <c r="G984" s="2">
        <v>40</v>
      </c>
      <c r="H984" t="str">
        <f>"DAVID EARL MCMULLEN"</f>
        <v>DAVID EARL MCMULLEN</v>
      </c>
    </row>
    <row r="985" spans="1:9" x14ac:dyDescent="0.25">
      <c r="A985" t="s">
        <v>273</v>
      </c>
      <c r="B985">
        <v>82451</v>
      </c>
      <c r="C985" s="2">
        <v>40</v>
      </c>
      <c r="D985" s="1">
        <v>43623</v>
      </c>
      <c r="E985" t="str">
        <f>"201906079714"</f>
        <v>201906079714</v>
      </c>
      <c r="F985" t="str">
        <f>"Misce"</f>
        <v>Misce</v>
      </c>
      <c r="G985" s="2">
        <v>40</v>
      </c>
      <c r="H985" t="str">
        <f>"ARRION SAVINO ESPINOZA"</f>
        <v>ARRION SAVINO ESPINOZA</v>
      </c>
    </row>
    <row r="986" spans="1:9" x14ac:dyDescent="0.25">
      <c r="A986" t="s">
        <v>274</v>
      </c>
      <c r="B986">
        <v>82452</v>
      </c>
      <c r="C986" s="2">
        <v>40</v>
      </c>
      <c r="D986" s="1">
        <v>43623</v>
      </c>
      <c r="E986" t="str">
        <f>"201906079715"</f>
        <v>201906079715</v>
      </c>
      <c r="F986" t="str">
        <f>"Miscellaneous"</f>
        <v>Miscellaneous</v>
      </c>
      <c r="G986" s="2">
        <v>40</v>
      </c>
      <c r="H986" t="str">
        <f>"DIXIE ANN KING"</f>
        <v>DIXIE ANN KING</v>
      </c>
    </row>
    <row r="987" spans="1:9" x14ac:dyDescent="0.25">
      <c r="A987" t="s">
        <v>275</v>
      </c>
      <c r="B987">
        <v>82453</v>
      </c>
      <c r="C987" s="2">
        <v>40</v>
      </c>
      <c r="D987" s="1">
        <v>43623</v>
      </c>
      <c r="E987" t="str">
        <f>"201906079716"</f>
        <v>201906079716</v>
      </c>
      <c r="F987" t="str">
        <f>"Miscellaneou"</f>
        <v>Miscellaneou</v>
      </c>
      <c r="G987" s="2">
        <v>40</v>
      </c>
      <c r="H987" t="str">
        <f>"ROBYNE M TAYLOR"</f>
        <v>ROBYNE M TAYLOR</v>
      </c>
    </row>
    <row r="988" spans="1:9" x14ac:dyDescent="0.25">
      <c r="A988" t="s">
        <v>276</v>
      </c>
      <c r="B988">
        <v>82454</v>
      </c>
      <c r="C988" s="2">
        <v>40</v>
      </c>
      <c r="D988" s="1">
        <v>43623</v>
      </c>
      <c r="E988" t="str">
        <f>"201906079717"</f>
        <v>201906079717</v>
      </c>
      <c r="F988" t="str">
        <f>"Miscella"</f>
        <v>Miscella</v>
      </c>
      <c r="G988" s="2">
        <v>40</v>
      </c>
      <c r="H988" t="str">
        <f>"MAIRA LORENA GORMAN"</f>
        <v>MAIRA LORENA GORMAN</v>
      </c>
    </row>
    <row r="989" spans="1:9" x14ac:dyDescent="0.25">
      <c r="A989" t="s">
        <v>277</v>
      </c>
      <c r="B989">
        <v>82747</v>
      </c>
      <c r="C989" s="2">
        <v>158.65</v>
      </c>
      <c r="D989" s="1">
        <v>43640</v>
      </c>
      <c r="E989" t="s">
        <v>278</v>
      </c>
      <c r="F989" t="s">
        <v>279</v>
      </c>
      <c r="G989" s="2" t="str">
        <f>"RESTITUTION-O. CABALLERO"</f>
        <v>RESTITUTION-O. CABALLERO</v>
      </c>
      <c r="H989" t="str">
        <f>"210-0000"</f>
        <v>210-0000</v>
      </c>
      <c r="I989" t="str">
        <f>""</f>
        <v/>
      </c>
    </row>
    <row r="990" spans="1:9" x14ac:dyDescent="0.25">
      <c r="A990" t="s">
        <v>280</v>
      </c>
      <c r="B990">
        <v>82540</v>
      </c>
      <c r="C990" s="2">
        <v>155</v>
      </c>
      <c r="D990" s="1">
        <v>43626</v>
      </c>
      <c r="E990" t="str">
        <f>"6396"</f>
        <v>6396</v>
      </c>
      <c r="F990" t="str">
        <f>"DUMPSTER RENTAL/GEN SVCS"</f>
        <v>DUMPSTER RENTAL/GEN SVCS</v>
      </c>
      <c r="G990" s="2">
        <v>155</v>
      </c>
      <c r="H990" t="str">
        <f>"DUMPSTER RENTAL/GEN SVCS"</f>
        <v>DUMPSTER RENTAL/GEN SVCS</v>
      </c>
    </row>
    <row r="991" spans="1:9" x14ac:dyDescent="0.25">
      <c r="A991" t="s">
        <v>280</v>
      </c>
      <c r="B991">
        <v>82748</v>
      </c>
      <c r="C991" s="2">
        <v>165</v>
      </c>
      <c r="D991" s="1">
        <v>43640</v>
      </c>
      <c r="E991" t="str">
        <f>"5729"</f>
        <v>5729</v>
      </c>
      <c r="F991" t="str">
        <f>"DUMPSTER RENTAL/GEN SVCS"</f>
        <v>DUMPSTER RENTAL/GEN SVCS</v>
      </c>
      <c r="G991" s="2">
        <v>165</v>
      </c>
      <c r="H991" t="str">
        <f>"DUMPSTER RENTAL/GEN SVCS"</f>
        <v>DUMPSTER RENTAL/GEN SVCS</v>
      </c>
    </row>
    <row r="992" spans="1:9" x14ac:dyDescent="0.25">
      <c r="A992" t="s">
        <v>281</v>
      </c>
      <c r="B992">
        <v>82749</v>
      </c>
      <c r="C992" s="2">
        <v>664.96</v>
      </c>
      <c r="D992" s="1">
        <v>43640</v>
      </c>
      <c r="E992" t="str">
        <f>"0523"</f>
        <v>0523</v>
      </c>
      <c r="F992" t="str">
        <f>"MORNING DOCKET/MILEAGE"</f>
        <v>MORNING DOCKET/MILEAGE</v>
      </c>
      <c r="G992" s="2">
        <v>332.48</v>
      </c>
      <c r="H992" t="str">
        <f>"MORNING DOCKET/MILEAGE"</f>
        <v>MORNING DOCKET/MILEAGE</v>
      </c>
    </row>
    <row r="993" spans="1:8" x14ac:dyDescent="0.25">
      <c r="E993" t="str">
        <f>"0613"</f>
        <v>0613</v>
      </c>
      <c r="F993" t="str">
        <f>"MORNING DOCKET/MILEAGE"</f>
        <v>MORNING DOCKET/MILEAGE</v>
      </c>
      <c r="G993" s="2">
        <v>332.48</v>
      </c>
      <c r="H993" t="str">
        <f>"MORNING DOCKET/MILEAGE"</f>
        <v>MORNING DOCKET/MILEAGE</v>
      </c>
    </row>
    <row r="994" spans="1:8" x14ac:dyDescent="0.25">
      <c r="A994" t="s">
        <v>282</v>
      </c>
      <c r="B994">
        <v>82541</v>
      </c>
      <c r="C994" s="2">
        <v>144.16</v>
      </c>
      <c r="D994" s="1">
        <v>43626</v>
      </c>
      <c r="E994" t="str">
        <f>"S155869961.001"</f>
        <v>S155869961.001</v>
      </c>
      <c r="F994" t="str">
        <f>"INV S155869961.001"</f>
        <v>INV S155869961.001</v>
      </c>
      <c r="G994" s="2">
        <v>144.16</v>
      </c>
      <c r="H994" t="str">
        <f>"INV S155869961.001"</f>
        <v>INV S155869961.001</v>
      </c>
    </row>
    <row r="995" spans="1:8" x14ac:dyDescent="0.25">
      <c r="E995" t="str">
        <f>""</f>
        <v/>
      </c>
      <c r="F995" t="str">
        <f>""</f>
        <v/>
      </c>
      <c r="H995" t="str">
        <f>"CM S155898516.001"</f>
        <v>CM S155898516.001</v>
      </c>
    </row>
    <row r="996" spans="1:8" x14ac:dyDescent="0.25">
      <c r="A996" t="s">
        <v>283</v>
      </c>
      <c r="B996">
        <v>82750</v>
      </c>
      <c r="C996" s="2">
        <v>42214.13</v>
      </c>
      <c r="D996" s="1">
        <v>43640</v>
      </c>
      <c r="E996" t="str">
        <f>"16053698"</f>
        <v>16053698</v>
      </c>
      <c r="F996" t="str">
        <f>"Radios"</f>
        <v>Radios</v>
      </c>
      <c r="G996" s="2">
        <v>21604</v>
      </c>
      <c r="H996" t="str">
        <f>"H98UCH9PW7BN"</f>
        <v>H98UCH9PW7BN</v>
      </c>
    </row>
    <row r="997" spans="1:8" x14ac:dyDescent="0.25">
      <c r="E997" t="str">
        <f>""</f>
        <v/>
      </c>
      <c r="F997" t="str">
        <f>""</f>
        <v/>
      </c>
      <c r="H997" t="str">
        <f>"Q806"</f>
        <v>Q806</v>
      </c>
    </row>
    <row r="998" spans="1:8" x14ac:dyDescent="0.25">
      <c r="E998" t="str">
        <f>""</f>
        <v/>
      </c>
      <c r="F998" t="str">
        <f>""</f>
        <v/>
      </c>
      <c r="H998" t="str">
        <f>"H38"</f>
        <v>H38</v>
      </c>
    </row>
    <row r="999" spans="1:8" x14ac:dyDescent="0.25">
      <c r="E999" t="str">
        <f>""</f>
        <v/>
      </c>
      <c r="F999" t="str">
        <f>""</f>
        <v/>
      </c>
      <c r="H999" t="str">
        <f>"Q361"</f>
        <v>Q361</v>
      </c>
    </row>
    <row r="1000" spans="1:8" x14ac:dyDescent="0.25">
      <c r="E1000" t="str">
        <f>""</f>
        <v/>
      </c>
      <c r="F1000" t="str">
        <f>""</f>
        <v/>
      </c>
      <c r="H1000" t="str">
        <f>"QA01648"</f>
        <v>QA01648</v>
      </c>
    </row>
    <row r="1001" spans="1:8" x14ac:dyDescent="0.25">
      <c r="E1001" t="str">
        <f>""</f>
        <v/>
      </c>
      <c r="F1001" t="str">
        <f>""</f>
        <v/>
      </c>
      <c r="H1001" t="str">
        <f>"QA01767"</f>
        <v>QA01767</v>
      </c>
    </row>
    <row r="1002" spans="1:8" x14ac:dyDescent="0.25">
      <c r="E1002" t="str">
        <f>""</f>
        <v/>
      </c>
      <c r="F1002" t="str">
        <f>""</f>
        <v/>
      </c>
      <c r="H1002" t="str">
        <f>"H869"</f>
        <v>H869</v>
      </c>
    </row>
    <row r="1003" spans="1:8" x14ac:dyDescent="0.25">
      <c r="E1003" t="str">
        <f>""</f>
        <v/>
      </c>
      <c r="F1003" t="str">
        <f>""</f>
        <v/>
      </c>
      <c r="H1003" t="str">
        <f>"CREDIT"</f>
        <v>CREDIT</v>
      </c>
    </row>
    <row r="1004" spans="1:8" x14ac:dyDescent="0.25">
      <c r="E1004" t="str">
        <f>""</f>
        <v/>
      </c>
      <c r="F1004" t="str">
        <f>""</f>
        <v/>
      </c>
      <c r="H1004" t="str">
        <f>"QA05574"</f>
        <v>QA05574</v>
      </c>
    </row>
    <row r="1005" spans="1:8" x14ac:dyDescent="0.25">
      <c r="E1005" t="str">
        <f>""</f>
        <v/>
      </c>
      <c r="F1005" t="str">
        <f>""</f>
        <v/>
      </c>
      <c r="H1005" t="str">
        <f>"QA01833"</f>
        <v>QA01833</v>
      </c>
    </row>
    <row r="1006" spans="1:8" x14ac:dyDescent="0.25">
      <c r="E1006" t="str">
        <f>""</f>
        <v/>
      </c>
      <c r="F1006" t="str">
        <f>""</f>
        <v/>
      </c>
      <c r="H1006" t="str">
        <f>"Q887"</f>
        <v>Q887</v>
      </c>
    </row>
    <row r="1007" spans="1:8" x14ac:dyDescent="0.25">
      <c r="E1007" t="str">
        <f>""</f>
        <v/>
      </c>
      <c r="F1007" t="str">
        <f>""</f>
        <v/>
      </c>
      <c r="H1007" t="str">
        <f>"PROMO"</f>
        <v>PROMO</v>
      </c>
    </row>
    <row r="1008" spans="1:8" x14ac:dyDescent="0.25">
      <c r="E1008" t="str">
        <f>""</f>
        <v/>
      </c>
      <c r="F1008" t="str">
        <f>""</f>
        <v/>
      </c>
      <c r="H1008" t="str">
        <f>"QA09008"</f>
        <v>QA09008</v>
      </c>
    </row>
    <row r="1009" spans="1:8" x14ac:dyDescent="0.25">
      <c r="E1009" t="str">
        <f>""</f>
        <v/>
      </c>
      <c r="F1009" t="str">
        <f>""</f>
        <v/>
      </c>
      <c r="H1009" t="str">
        <f>"NNTN860A"</f>
        <v>NNTN860A</v>
      </c>
    </row>
    <row r="1010" spans="1:8" x14ac:dyDescent="0.25">
      <c r="E1010" t="str">
        <f>""</f>
        <v/>
      </c>
      <c r="F1010" t="str">
        <f>""</f>
        <v/>
      </c>
      <c r="H1010" t="str">
        <f>"NNTN8930"</f>
        <v>NNTN8930</v>
      </c>
    </row>
    <row r="1011" spans="1:8" x14ac:dyDescent="0.25">
      <c r="E1011" t="str">
        <f>""</f>
        <v/>
      </c>
      <c r="F1011" t="str">
        <f>""</f>
        <v/>
      </c>
      <c r="H1011" t="str">
        <f>"PMMN4069A"</f>
        <v>PMMN4069A</v>
      </c>
    </row>
    <row r="1012" spans="1:8" x14ac:dyDescent="0.25">
      <c r="E1012" t="str">
        <f>"16054362"</f>
        <v>16054362</v>
      </c>
      <c r="F1012" t="str">
        <f>"inv# 16054362"</f>
        <v>inv# 16054362</v>
      </c>
      <c r="G1012" s="2">
        <v>77</v>
      </c>
      <c r="H1012" t="str">
        <f>"inv# 16054362"</f>
        <v>inv# 16054362</v>
      </c>
    </row>
    <row r="1013" spans="1:8" x14ac:dyDescent="0.25">
      <c r="E1013" t="str">
        <f>"16054363"</f>
        <v>16054363</v>
      </c>
      <c r="F1013" t="str">
        <f>"Travel Chargers for APX40"</f>
        <v>Travel Chargers for APX40</v>
      </c>
      <c r="G1013" s="2">
        <v>71.25</v>
      </c>
      <c r="H1013" t="str">
        <f>"Item# NNTN8525A"</f>
        <v>Item# NNTN8525A</v>
      </c>
    </row>
    <row r="1014" spans="1:8" x14ac:dyDescent="0.25">
      <c r="E1014" t="str">
        <f>"8230225912"</f>
        <v>8230225912</v>
      </c>
      <c r="F1014" t="str">
        <f>"ACCT#1036215277/RADIO SVC AGRE"</f>
        <v>ACCT#1036215277/RADIO SVC AGRE</v>
      </c>
      <c r="G1014" s="2">
        <v>20461.88</v>
      </c>
      <c r="H1014" t="str">
        <f>"ACCT#1036215277/RADIO SVC AGRE"</f>
        <v>ACCT#1036215277/RADIO SVC AGRE</v>
      </c>
    </row>
    <row r="1015" spans="1:8" x14ac:dyDescent="0.25">
      <c r="A1015" t="s">
        <v>284</v>
      </c>
      <c r="B1015">
        <v>82751</v>
      </c>
      <c r="C1015" s="2">
        <v>826.8</v>
      </c>
      <c r="D1015" s="1">
        <v>43640</v>
      </c>
      <c r="E1015" t="str">
        <f>"86678136"</f>
        <v>86678136</v>
      </c>
      <c r="F1015" t="str">
        <f>"ACCT#150344157/GEN SVCS"</f>
        <v>ACCT#150344157/GEN SVCS</v>
      </c>
      <c r="G1015" s="2">
        <v>826.8</v>
      </c>
      <c r="H1015" t="str">
        <f>"ACCT#150344157/GEN SVCS"</f>
        <v>ACCT#150344157/GEN SVCS</v>
      </c>
    </row>
    <row r="1016" spans="1:8" x14ac:dyDescent="0.25">
      <c r="A1016" t="s">
        <v>285</v>
      </c>
      <c r="B1016">
        <v>82542</v>
      </c>
      <c r="C1016" s="2">
        <v>1262.5</v>
      </c>
      <c r="D1016" s="1">
        <v>43626</v>
      </c>
      <c r="E1016" t="str">
        <f>"5-23-19-01"</f>
        <v>5-23-19-01</v>
      </c>
      <c r="F1016" t="str">
        <f>"JOB 5-23-19-01"</f>
        <v>JOB 5-23-19-01</v>
      </c>
      <c r="G1016" s="2">
        <v>965</v>
      </c>
      <c r="H1016" t="str">
        <f>"JOB 5-23-19-01"</f>
        <v>JOB 5-23-19-01</v>
      </c>
    </row>
    <row r="1017" spans="1:8" x14ac:dyDescent="0.25">
      <c r="E1017" t="str">
        <f>"5-30-19-02"</f>
        <v>5-30-19-02</v>
      </c>
      <c r="F1017" t="str">
        <f>"JOB 5-30-19-02"</f>
        <v>JOB 5-30-19-02</v>
      </c>
      <c r="G1017" s="2">
        <v>297.5</v>
      </c>
      <c r="H1017" t="str">
        <f>"JOB 5-30-19-02"</f>
        <v>JOB 5-30-19-02</v>
      </c>
    </row>
    <row r="1018" spans="1:8" x14ac:dyDescent="0.25">
      <c r="A1018" t="s">
        <v>285</v>
      </c>
      <c r="B1018">
        <v>82752</v>
      </c>
      <c r="C1018" s="2">
        <v>885</v>
      </c>
      <c r="D1018" s="1">
        <v>43640</v>
      </c>
      <c r="E1018" t="str">
        <f>"5-3-19-01"</f>
        <v>5-3-19-01</v>
      </c>
      <c r="F1018" t="str">
        <f>"JOB 5-3-19-01"</f>
        <v>JOB 5-3-19-01</v>
      </c>
      <c r="G1018" s="2">
        <v>672.5</v>
      </c>
      <c r="H1018" t="str">
        <f>"JOB 5-3-19-01"</f>
        <v>JOB 5-3-19-01</v>
      </c>
    </row>
    <row r="1019" spans="1:8" x14ac:dyDescent="0.25">
      <c r="E1019" t="str">
        <f>"6-17-19-03"</f>
        <v>6-17-19-03</v>
      </c>
      <c r="F1019" t="str">
        <f>"JOB 6-17-19-03"</f>
        <v>JOB 6-17-19-03</v>
      </c>
      <c r="G1019" s="2">
        <v>212.5</v>
      </c>
      <c r="H1019" t="str">
        <f>"JOB 6-17-19-03"</f>
        <v>JOB 6-17-19-03</v>
      </c>
    </row>
    <row r="1020" spans="1:8" x14ac:dyDescent="0.25">
      <c r="A1020" t="s">
        <v>286</v>
      </c>
      <c r="B1020">
        <v>82543</v>
      </c>
      <c r="C1020" s="2">
        <v>289.61</v>
      </c>
      <c r="D1020" s="1">
        <v>43626</v>
      </c>
      <c r="E1020" t="str">
        <f>"518368"</f>
        <v>518368</v>
      </c>
      <c r="F1020" t="str">
        <f>"ACCT#24367000/ANIMAL SVCS"</f>
        <v>ACCT#24367000/ANIMAL SVCS</v>
      </c>
      <c r="G1020" s="2">
        <v>289.61</v>
      </c>
      <c r="H1020" t="str">
        <f>"ACCT#24367000/ANIMAL SVCS"</f>
        <v>ACCT#24367000/ANIMAL SVCS</v>
      </c>
    </row>
    <row r="1021" spans="1:8" x14ac:dyDescent="0.25">
      <c r="A1021" t="s">
        <v>287</v>
      </c>
      <c r="B1021">
        <v>875</v>
      </c>
      <c r="C1021" s="2">
        <v>1774.96</v>
      </c>
      <c r="D1021" s="1">
        <v>43627</v>
      </c>
      <c r="E1021" t="str">
        <f>"IN0823486"</f>
        <v>IN0823486</v>
      </c>
      <c r="F1021" t="str">
        <f>"INV IN0823486"</f>
        <v>INV IN0823486</v>
      </c>
      <c r="G1021" s="2">
        <v>1774.96</v>
      </c>
      <c r="H1021" t="str">
        <f>"INV IN0823486"</f>
        <v>INV IN0823486</v>
      </c>
    </row>
    <row r="1022" spans="1:8" x14ac:dyDescent="0.25">
      <c r="A1022" t="s">
        <v>287</v>
      </c>
      <c r="B1022">
        <v>934</v>
      </c>
      <c r="C1022" s="2">
        <v>2557.88</v>
      </c>
      <c r="D1022" s="1">
        <v>43641</v>
      </c>
      <c r="E1022" t="str">
        <f>"IN0824009"</f>
        <v>IN0824009</v>
      </c>
      <c r="F1022" t="str">
        <f>"IN0824009"</f>
        <v>IN0824009</v>
      </c>
      <c r="G1022" s="2">
        <v>2557.88</v>
      </c>
      <c r="H1022" t="str">
        <f>"IN0824009"</f>
        <v>IN0824009</v>
      </c>
    </row>
    <row r="1023" spans="1:8" x14ac:dyDescent="0.25">
      <c r="A1023" t="s">
        <v>288</v>
      </c>
      <c r="B1023">
        <v>82753</v>
      </c>
      <c r="C1023" s="2">
        <v>75</v>
      </c>
      <c r="D1023" s="1">
        <v>43640</v>
      </c>
      <c r="E1023" t="str">
        <f>"11102"</f>
        <v>11102</v>
      </c>
      <c r="F1023" t="str">
        <f>"SERVICE  05/14/19"</f>
        <v>SERVICE  05/14/19</v>
      </c>
      <c r="G1023" s="2">
        <v>75</v>
      </c>
      <c r="H1023" t="str">
        <f>"SERVICE  05/14/19"</f>
        <v>SERVICE  05/14/19</v>
      </c>
    </row>
    <row r="1024" spans="1:8" x14ac:dyDescent="0.25">
      <c r="A1024" t="s">
        <v>289</v>
      </c>
      <c r="B1024">
        <v>82544</v>
      </c>
      <c r="C1024" s="2">
        <v>50</v>
      </c>
      <c r="D1024" s="1">
        <v>43626</v>
      </c>
      <c r="E1024" t="str">
        <f>"201906059693"</f>
        <v>201906059693</v>
      </c>
      <c r="F1024" t="str">
        <f>"REFUND ADOPTION FEE"</f>
        <v>REFUND ADOPTION FEE</v>
      </c>
      <c r="G1024" s="2">
        <v>50</v>
      </c>
      <c r="H1024" t="str">
        <f>"REFUND ADOPTION FEE"</f>
        <v>REFUND ADOPTION FEE</v>
      </c>
    </row>
    <row r="1025" spans="1:8" x14ac:dyDescent="0.25">
      <c r="A1025" t="s">
        <v>290</v>
      </c>
      <c r="B1025">
        <v>82754</v>
      </c>
      <c r="C1025" s="2">
        <v>990</v>
      </c>
      <c r="D1025" s="1">
        <v>43640</v>
      </c>
      <c r="E1025" t="str">
        <f>"201906190041"</f>
        <v>201906190041</v>
      </c>
      <c r="F1025" t="str">
        <f>"INV  JUNE 6  2019"</f>
        <v>INV  JUNE 6  2019</v>
      </c>
      <c r="G1025" s="2">
        <v>990</v>
      </c>
      <c r="H1025" t="str">
        <f>"INV  JUNE 6  2019"</f>
        <v>INV  JUNE 6  2019</v>
      </c>
    </row>
    <row r="1026" spans="1:8" x14ac:dyDescent="0.25">
      <c r="A1026" t="s">
        <v>291</v>
      </c>
      <c r="B1026">
        <v>82755</v>
      </c>
      <c r="C1026" s="2">
        <v>142.52000000000001</v>
      </c>
      <c r="D1026" s="1">
        <v>43640</v>
      </c>
      <c r="E1026" t="str">
        <f>"31330V"</f>
        <v>31330V</v>
      </c>
      <c r="F1026" t="str">
        <f>"PARTS/PCT#2"</f>
        <v>PARTS/PCT#2</v>
      </c>
      <c r="G1026" s="2">
        <v>142.52000000000001</v>
      </c>
      <c r="H1026" t="str">
        <f>"PARTS/PCT#2"</f>
        <v>PARTS/PCT#2</v>
      </c>
    </row>
    <row r="1027" spans="1:8" x14ac:dyDescent="0.25">
      <c r="A1027" t="s">
        <v>292</v>
      </c>
      <c r="B1027">
        <v>921</v>
      </c>
      <c r="C1027" s="2">
        <v>31.44</v>
      </c>
      <c r="D1027" s="1">
        <v>43627</v>
      </c>
      <c r="E1027" t="str">
        <f>"201906049582"</f>
        <v>201906049582</v>
      </c>
      <c r="F1027" t="str">
        <f>"CUST#99088/PCT#4"</f>
        <v>CUST#99088/PCT#4</v>
      </c>
      <c r="G1027" s="2">
        <v>31.44</v>
      </c>
      <c r="H1027" t="str">
        <f>"CUST#99088/PCT#4"</f>
        <v>CUST#99088/PCT#4</v>
      </c>
    </row>
    <row r="1028" spans="1:8" x14ac:dyDescent="0.25">
      <c r="A1028" t="s">
        <v>292</v>
      </c>
      <c r="B1028">
        <v>996</v>
      </c>
      <c r="C1028" s="2">
        <v>7.98</v>
      </c>
      <c r="D1028" s="1">
        <v>43641</v>
      </c>
      <c r="E1028" t="str">
        <f>"0581-456904"</f>
        <v>0581-456904</v>
      </c>
      <c r="F1028" t="str">
        <f>"INV  0581-456904"</f>
        <v>INV  0581-456904</v>
      </c>
      <c r="G1028" s="2">
        <v>7.98</v>
      </c>
      <c r="H1028" t="str">
        <f>"INV 0581-456904"</f>
        <v>INV 0581-456904</v>
      </c>
    </row>
    <row r="1029" spans="1:8" x14ac:dyDescent="0.25">
      <c r="A1029" t="s">
        <v>293</v>
      </c>
      <c r="B1029">
        <v>82545</v>
      </c>
      <c r="C1029" s="2">
        <v>843.18</v>
      </c>
      <c r="D1029" s="1">
        <v>43626</v>
      </c>
      <c r="E1029" t="str">
        <f>"1638474 164126 401"</f>
        <v>1638474 164126 401</v>
      </c>
      <c r="F1029" t="str">
        <f>"INV 1638474"</f>
        <v>INV 1638474</v>
      </c>
      <c r="G1029" s="2">
        <v>843.18</v>
      </c>
      <c r="H1029" t="str">
        <f>"INV 1638474"</f>
        <v>INV 1638474</v>
      </c>
    </row>
    <row r="1030" spans="1:8" x14ac:dyDescent="0.25">
      <c r="E1030" t="str">
        <f>""</f>
        <v/>
      </c>
      <c r="F1030" t="str">
        <f>""</f>
        <v/>
      </c>
      <c r="H1030" t="str">
        <f>"INV 1641426"</f>
        <v>INV 1641426</v>
      </c>
    </row>
    <row r="1031" spans="1:8" x14ac:dyDescent="0.25">
      <c r="E1031" t="str">
        <f>""</f>
        <v/>
      </c>
      <c r="F1031" t="str">
        <f>""</f>
        <v/>
      </c>
      <c r="H1031" t="str">
        <f>"INV 40170843"</f>
        <v>INV 40170843</v>
      </c>
    </row>
    <row r="1032" spans="1:8" x14ac:dyDescent="0.25">
      <c r="E1032" t="str">
        <f>""</f>
        <v/>
      </c>
      <c r="F1032" t="str">
        <f>""</f>
        <v/>
      </c>
      <c r="H1032" t="str">
        <f>"INV 1645799"</f>
        <v>INV 1645799</v>
      </c>
    </row>
    <row r="1033" spans="1:8" x14ac:dyDescent="0.25">
      <c r="E1033" t="str">
        <f>""</f>
        <v/>
      </c>
      <c r="F1033" t="str">
        <f>""</f>
        <v/>
      </c>
      <c r="H1033" t="str">
        <f>"INV 1648312"</f>
        <v>INV 1648312</v>
      </c>
    </row>
    <row r="1034" spans="1:8" x14ac:dyDescent="0.25">
      <c r="A1034" t="s">
        <v>293</v>
      </c>
      <c r="B1034">
        <v>82756</v>
      </c>
      <c r="C1034" s="2">
        <v>964.07</v>
      </c>
      <c r="D1034" s="1">
        <v>43640</v>
      </c>
      <c r="E1034" t="str">
        <f>"1652279 1654664 16"</f>
        <v>1652279 1654664 16</v>
      </c>
      <c r="F1034" t="str">
        <f>"INV 1652279"</f>
        <v>INV 1652279</v>
      </c>
      <c r="G1034" s="2">
        <v>964.07</v>
      </c>
      <c r="H1034" t="str">
        <f>"INV 1652279"</f>
        <v>INV 1652279</v>
      </c>
    </row>
    <row r="1035" spans="1:8" x14ac:dyDescent="0.25">
      <c r="E1035" t="str">
        <f>""</f>
        <v/>
      </c>
      <c r="F1035" t="str">
        <f>""</f>
        <v/>
      </c>
      <c r="H1035" t="str">
        <f>"INV 1654664"</f>
        <v>INV 1654664</v>
      </c>
    </row>
    <row r="1036" spans="1:8" x14ac:dyDescent="0.25">
      <c r="E1036" t="str">
        <f>""</f>
        <v/>
      </c>
      <c r="F1036" t="str">
        <f>""</f>
        <v/>
      </c>
      <c r="H1036" t="str">
        <f>"INV 1658513"</f>
        <v>INV 1658513</v>
      </c>
    </row>
    <row r="1037" spans="1:8" x14ac:dyDescent="0.25">
      <c r="E1037" t="str">
        <f>""</f>
        <v/>
      </c>
      <c r="F1037" t="str">
        <f>""</f>
        <v/>
      </c>
      <c r="H1037" t="str">
        <f>"INV 1660717"</f>
        <v>INV 1660717</v>
      </c>
    </row>
    <row r="1038" spans="1:8" x14ac:dyDescent="0.25">
      <c r="A1038" t="s">
        <v>294</v>
      </c>
      <c r="B1038">
        <v>82757</v>
      </c>
      <c r="C1038" s="2">
        <v>2079.3000000000002</v>
      </c>
      <c r="D1038" s="1">
        <v>43640</v>
      </c>
      <c r="E1038" t="str">
        <f>"11671608"</f>
        <v>11671608</v>
      </c>
      <c r="F1038" t="str">
        <f>"Bill# 11671608"</f>
        <v>Bill# 11671608</v>
      </c>
      <c r="G1038" s="2">
        <v>2079.3000000000002</v>
      </c>
      <c r="H1038" t="str">
        <f>"Ord# 322278604001"</f>
        <v>Ord# 322278604001</v>
      </c>
    </row>
    <row r="1039" spans="1:8" x14ac:dyDescent="0.25">
      <c r="E1039" t="str">
        <f>""</f>
        <v/>
      </c>
      <c r="F1039" t="str">
        <f>""</f>
        <v/>
      </c>
      <c r="H1039" t="str">
        <f>"Ord# 318914966001"</f>
        <v>Ord# 318914966001</v>
      </c>
    </row>
    <row r="1040" spans="1:8" x14ac:dyDescent="0.25">
      <c r="E1040" t="str">
        <f>""</f>
        <v/>
      </c>
      <c r="F1040" t="str">
        <f>""</f>
        <v/>
      </c>
      <c r="H1040" t="str">
        <f>"Ord# 318927580001"</f>
        <v>Ord# 318927580001</v>
      </c>
    </row>
    <row r="1041" spans="1:8" x14ac:dyDescent="0.25">
      <c r="E1041" t="str">
        <f>""</f>
        <v/>
      </c>
      <c r="F1041" t="str">
        <f>""</f>
        <v/>
      </c>
      <c r="H1041" t="str">
        <f>"Ord# 318927581001"</f>
        <v>Ord# 318927581001</v>
      </c>
    </row>
    <row r="1042" spans="1:8" x14ac:dyDescent="0.25">
      <c r="E1042" t="str">
        <f>""</f>
        <v/>
      </c>
      <c r="F1042" t="str">
        <f>""</f>
        <v/>
      </c>
      <c r="H1042" t="str">
        <f>"Ord# 320142531001"</f>
        <v>Ord# 320142531001</v>
      </c>
    </row>
    <row r="1043" spans="1:8" x14ac:dyDescent="0.25">
      <c r="E1043" t="str">
        <f>""</f>
        <v/>
      </c>
      <c r="F1043" t="str">
        <f>""</f>
        <v/>
      </c>
      <c r="H1043" t="str">
        <f>"Ord# 322670161001"</f>
        <v>Ord# 322670161001</v>
      </c>
    </row>
    <row r="1044" spans="1:8" x14ac:dyDescent="0.25">
      <c r="E1044" t="str">
        <f>""</f>
        <v/>
      </c>
      <c r="F1044" t="str">
        <f>""</f>
        <v/>
      </c>
      <c r="H1044" t="str">
        <f>"Ord# 319088180001"</f>
        <v>Ord# 319088180001</v>
      </c>
    </row>
    <row r="1045" spans="1:8" x14ac:dyDescent="0.25">
      <c r="E1045" t="str">
        <f>""</f>
        <v/>
      </c>
      <c r="F1045" t="str">
        <f>""</f>
        <v/>
      </c>
      <c r="H1045" t="str">
        <f>"Ord# 319792463001"</f>
        <v>Ord# 319792463001</v>
      </c>
    </row>
    <row r="1046" spans="1:8" x14ac:dyDescent="0.25">
      <c r="E1046" t="str">
        <f>""</f>
        <v/>
      </c>
      <c r="F1046" t="str">
        <f>""</f>
        <v/>
      </c>
      <c r="H1046" t="str">
        <f>"Ord# 31686864001"</f>
        <v>Ord# 31686864001</v>
      </c>
    </row>
    <row r="1047" spans="1:8" x14ac:dyDescent="0.25">
      <c r="E1047" t="str">
        <f>""</f>
        <v/>
      </c>
      <c r="F1047" t="str">
        <f>""</f>
        <v/>
      </c>
      <c r="H1047" t="str">
        <f>"Ord# 321898521001"</f>
        <v>Ord# 321898521001</v>
      </c>
    </row>
    <row r="1048" spans="1:8" x14ac:dyDescent="0.25">
      <c r="E1048" t="str">
        <f>""</f>
        <v/>
      </c>
      <c r="F1048" t="str">
        <f>""</f>
        <v/>
      </c>
      <c r="H1048" t="str">
        <f>"Ord# 321900419001"</f>
        <v>Ord# 321900419001</v>
      </c>
    </row>
    <row r="1049" spans="1:8" x14ac:dyDescent="0.25">
      <c r="E1049" t="str">
        <f>""</f>
        <v/>
      </c>
      <c r="F1049" t="str">
        <f>""</f>
        <v/>
      </c>
      <c r="H1049" t="str">
        <f>"Ord# 299686583001"</f>
        <v>Ord# 299686583001</v>
      </c>
    </row>
    <row r="1050" spans="1:8" x14ac:dyDescent="0.25">
      <c r="E1050" t="str">
        <f>""</f>
        <v/>
      </c>
      <c r="F1050" t="str">
        <f>""</f>
        <v/>
      </c>
      <c r="H1050" t="str">
        <f>"Ord# 317192256001"</f>
        <v>Ord# 317192256001</v>
      </c>
    </row>
    <row r="1051" spans="1:8" x14ac:dyDescent="0.25">
      <c r="E1051" t="str">
        <f>""</f>
        <v/>
      </c>
      <c r="F1051" t="str">
        <f>""</f>
        <v/>
      </c>
      <c r="H1051" t="str">
        <f>"Ord# 317193900001"</f>
        <v>Ord# 317193900001</v>
      </c>
    </row>
    <row r="1052" spans="1:8" x14ac:dyDescent="0.25">
      <c r="E1052" t="str">
        <f>""</f>
        <v/>
      </c>
      <c r="F1052" t="str">
        <f>""</f>
        <v/>
      </c>
      <c r="H1052" t="str">
        <f>"Ord# 317193901001"</f>
        <v>Ord# 317193901001</v>
      </c>
    </row>
    <row r="1053" spans="1:8" x14ac:dyDescent="0.25">
      <c r="E1053" t="str">
        <f>""</f>
        <v/>
      </c>
      <c r="F1053" t="str">
        <f>""</f>
        <v/>
      </c>
      <c r="H1053" t="str">
        <f>"Ord# 319153045001"</f>
        <v>Ord# 319153045001</v>
      </c>
    </row>
    <row r="1054" spans="1:8" x14ac:dyDescent="0.25">
      <c r="A1054" t="s">
        <v>295</v>
      </c>
      <c r="B1054">
        <v>82758</v>
      </c>
      <c r="C1054" s="2">
        <v>893.64</v>
      </c>
      <c r="D1054" s="1">
        <v>43640</v>
      </c>
      <c r="E1054" t="str">
        <f>"201906180036"</f>
        <v>201906180036</v>
      </c>
      <c r="F1054" t="str">
        <f>"LODGING"</f>
        <v>LODGING</v>
      </c>
      <c r="G1054" s="2">
        <v>893.64</v>
      </c>
      <c r="H1054" t="str">
        <f>"LODGING"</f>
        <v>LODGING</v>
      </c>
    </row>
    <row r="1055" spans="1:8" x14ac:dyDescent="0.25">
      <c r="A1055" t="s">
        <v>296</v>
      </c>
      <c r="B1055">
        <v>82759</v>
      </c>
      <c r="C1055" s="2">
        <v>570</v>
      </c>
      <c r="D1055" s="1">
        <v>43640</v>
      </c>
      <c r="E1055" t="str">
        <f>"285644"</f>
        <v>285644</v>
      </c>
      <c r="F1055" t="str">
        <f>"CUST ID:BASCOU/DRUG TESTING"</f>
        <v>CUST ID:BASCOU/DRUG TESTING</v>
      </c>
      <c r="G1055" s="2">
        <v>570</v>
      </c>
      <c r="H1055" t="str">
        <f>"CUST ID:BASCOU/DRUG TESTING"</f>
        <v>CUST ID:BASCOU/DRUG TESTING</v>
      </c>
    </row>
    <row r="1056" spans="1:8" x14ac:dyDescent="0.25">
      <c r="E1056" t="str">
        <f>""</f>
        <v/>
      </c>
      <c r="F1056" t="str">
        <f>""</f>
        <v/>
      </c>
      <c r="H1056" t="str">
        <f>"CUST ID:BASCOU/DRUG TESTING"</f>
        <v>CUST ID:BASCOU/DRUG TESTING</v>
      </c>
    </row>
    <row r="1057" spans="1:8" x14ac:dyDescent="0.25">
      <c r="E1057" t="str">
        <f>""</f>
        <v/>
      </c>
      <c r="F1057" t="str">
        <f>""</f>
        <v/>
      </c>
      <c r="H1057" t="str">
        <f>"CUST ID:BASCOU/DRUG TESTING"</f>
        <v>CUST ID:BASCOU/DRUG TESTING</v>
      </c>
    </row>
    <row r="1058" spans="1:8" x14ac:dyDescent="0.25">
      <c r="E1058" t="str">
        <f>""</f>
        <v/>
      </c>
      <c r="F1058" t="str">
        <f>""</f>
        <v/>
      </c>
      <c r="H1058" t="str">
        <f>"CUST ID:BASCOU/DRUG TESTING"</f>
        <v>CUST ID:BASCOU/DRUG TESTING</v>
      </c>
    </row>
    <row r="1059" spans="1:8" x14ac:dyDescent="0.25">
      <c r="E1059" t="str">
        <f>""</f>
        <v/>
      </c>
      <c r="F1059" t="str">
        <f>""</f>
        <v/>
      </c>
      <c r="H1059" t="str">
        <f>"CUST ID:BASCOU/DRUG TESTING"</f>
        <v>CUST ID:BASCOU/DRUG TESTING</v>
      </c>
    </row>
    <row r="1060" spans="1:8" x14ac:dyDescent="0.25">
      <c r="A1060" t="s">
        <v>297</v>
      </c>
      <c r="B1060">
        <v>82760</v>
      </c>
      <c r="C1060" s="2">
        <v>265</v>
      </c>
      <c r="D1060" s="1">
        <v>43640</v>
      </c>
      <c r="E1060" t="str">
        <f>"201906129757"</f>
        <v>201906129757</v>
      </c>
      <c r="F1060" t="str">
        <f>"REIMBURSE TX BAR CLE"</f>
        <v>REIMBURSE TX BAR CLE</v>
      </c>
      <c r="G1060" s="2">
        <v>265</v>
      </c>
      <c r="H1060" t="str">
        <f>"REIMBURSE TX BAR CLE"</f>
        <v>REIMBURSE TX BAR CLE</v>
      </c>
    </row>
    <row r="1061" spans="1:8" x14ac:dyDescent="0.25">
      <c r="A1061" t="s">
        <v>298</v>
      </c>
      <c r="B1061">
        <v>82546</v>
      </c>
      <c r="C1061" s="2">
        <v>10461.23</v>
      </c>
      <c r="D1061" s="1">
        <v>43626</v>
      </c>
      <c r="E1061" t="str">
        <f>"577774"</f>
        <v>577774</v>
      </c>
      <c r="F1061" t="str">
        <f>"INV 577774"</f>
        <v>INV 577774</v>
      </c>
      <c r="G1061" s="2">
        <v>10461.23</v>
      </c>
      <c r="H1061" t="str">
        <f>"INV 577774"</f>
        <v>INV 577774</v>
      </c>
    </row>
    <row r="1062" spans="1:8" x14ac:dyDescent="0.25">
      <c r="A1062" t="s">
        <v>299</v>
      </c>
      <c r="B1062">
        <v>82761</v>
      </c>
      <c r="C1062" s="2">
        <v>950.4</v>
      </c>
      <c r="D1062" s="1">
        <v>43640</v>
      </c>
      <c r="E1062" t="str">
        <f>"67322"</f>
        <v>67322</v>
      </c>
      <c r="F1062" t="str">
        <f>"FREIGHT/PCT#2"</f>
        <v>FREIGHT/PCT#2</v>
      </c>
      <c r="G1062" s="2">
        <v>38.44</v>
      </c>
      <c r="H1062" t="str">
        <f>"FREIGHT/PCT#2"</f>
        <v>FREIGHT/PCT#2</v>
      </c>
    </row>
    <row r="1063" spans="1:8" x14ac:dyDescent="0.25">
      <c r="E1063" t="str">
        <f>"68376"</f>
        <v>68376</v>
      </c>
      <c r="F1063" t="str">
        <f>"PARTS/PCT#2"</f>
        <v>PARTS/PCT#2</v>
      </c>
      <c r="G1063" s="2">
        <v>911.96</v>
      </c>
      <c r="H1063" t="str">
        <f>"PARTS/PCT#2"</f>
        <v>PARTS/PCT#2</v>
      </c>
    </row>
    <row r="1064" spans="1:8" x14ac:dyDescent="0.25">
      <c r="A1064" t="s">
        <v>300</v>
      </c>
      <c r="B1064">
        <v>82762</v>
      </c>
      <c r="C1064" s="2">
        <v>52.47</v>
      </c>
      <c r="D1064" s="1">
        <v>43640</v>
      </c>
      <c r="E1064" t="str">
        <f>"201906129742"</f>
        <v>201906129742</v>
      </c>
      <c r="F1064" t="str">
        <f>"ACCT#1137/PCT#4"</f>
        <v>ACCT#1137/PCT#4</v>
      </c>
      <c r="G1064" s="2">
        <v>52.47</v>
      </c>
      <c r="H1064" t="str">
        <f>"ACCT#1137/PCT#4"</f>
        <v>ACCT#1137/PCT#4</v>
      </c>
    </row>
    <row r="1065" spans="1:8" x14ac:dyDescent="0.25">
      <c r="A1065" t="s">
        <v>301</v>
      </c>
      <c r="B1065">
        <v>82763</v>
      </c>
      <c r="C1065" s="2">
        <v>4962.2</v>
      </c>
      <c r="D1065" s="1">
        <v>43640</v>
      </c>
      <c r="E1065" t="str">
        <f>"2637"</f>
        <v>2637</v>
      </c>
      <c r="F1065" t="str">
        <f>"Signs"</f>
        <v>Signs</v>
      </c>
      <c r="G1065" s="2">
        <v>4962.2</v>
      </c>
      <c r="H1065" t="str">
        <f>"STAND WIND"</f>
        <v>STAND WIND</v>
      </c>
    </row>
    <row r="1066" spans="1:8" x14ac:dyDescent="0.25">
      <c r="E1066" t="str">
        <f>""</f>
        <v/>
      </c>
      <c r="F1066" t="str">
        <f>""</f>
        <v/>
      </c>
      <c r="H1066" t="str">
        <f>"ROAD WORK AHEAD"</f>
        <v>ROAD WORK AHEAD</v>
      </c>
    </row>
    <row r="1067" spans="1:8" x14ac:dyDescent="0.25">
      <c r="E1067" t="str">
        <f>""</f>
        <v/>
      </c>
      <c r="F1067" t="str">
        <f>""</f>
        <v/>
      </c>
      <c r="H1067" t="str">
        <f>"FRESH OIL"</f>
        <v>FRESH OIL</v>
      </c>
    </row>
    <row r="1068" spans="1:8" x14ac:dyDescent="0.25">
      <c r="E1068" t="str">
        <f>""</f>
        <v/>
      </c>
      <c r="F1068" t="str">
        <f>""</f>
        <v/>
      </c>
      <c r="H1068" t="str">
        <f>"LOOSE GRAVEL"</f>
        <v>LOOSE GRAVEL</v>
      </c>
    </row>
    <row r="1069" spans="1:8" x14ac:dyDescent="0.25">
      <c r="E1069" t="str">
        <f>""</f>
        <v/>
      </c>
      <c r="F1069" t="str">
        <f>""</f>
        <v/>
      </c>
      <c r="H1069" t="str">
        <f>"ROAD CLOSED"</f>
        <v>ROAD CLOSED</v>
      </c>
    </row>
    <row r="1070" spans="1:8" x14ac:dyDescent="0.25">
      <c r="E1070" t="str">
        <f>""</f>
        <v/>
      </c>
      <c r="F1070" t="str">
        <f>""</f>
        <v/>
      </c>
      <c r="H1070" t="str">
        <f>"ROAD MAY FLOOD"</f>
        <v>ROAD MAY FLOOD</v>
      </c>
    </row>
    <row r="1071" spans="1:8" x14ac:dyDescent="0.25">
      <c r="E1071" t="str">
        <f>""</f>
        <v/>
      </c>
      <c r="F1071" t="str">
        <f>""</f>
        <v/>
      </c>
      <c r="H1071" t="str">
        <f>"FLOOD DEPTH"</f>
        <v>FLOOD DEPTH</v>
      </c>
    </row>
    <row r="1072" spans="1:8" x14ac:dyDescent="0.25">
      <c r="E1072" t="str">
        <f>""</f>
        <v/>
      </c>
      <c r="F1072" t="str">
        <f>""</f>
        <v/>
      </c>
      <c r="H1072" t="str">
        <f>"FLOOD GUAGE"</f>
        <v>FLOOD GUAGE</v>
      </c>
    </row>
    <row r="1073" spans="1:8" x14ac:dyDescent="0.25">
      <c r="A1073" t="s">
        <v>302</v>
      </c>
      <c r="B1073">
        <v>82547</v>
      </c>
      <c r="C1073" s="2">
        <v>410</v>
      </c>
      <c r="D1073" s="1">
        <v>43626</v>
      </c>
      <c r="E1073" t="str">
        <f>"P0119"</f>
        <v>P0119</v>
      </c>
      <c r="F1073" t="str">
        <f>"INV P0119"</f>
        <v>INV P0119</v>
      </c>
      <c r="G1073" s="2">
        <v>165</v>
      </c>
      <c r="H1073" t="str">
        <f>"INV P0119"</f>
        <v>INV P0119</v>
      </c>
    </row>
    <row r="1074" spans="1:8" x14ac:dyDescent="0.25">
      <c r="E1074" t="str">
        <f>"P1124"</f>
        <v>P1124</v>
      </c>
      <c r="F1074" t="str">
        <f>"INV P1124"</f>
        <v>INV P1124</v>
      </c>
      <c r="G1074" s="2">
        <v>80</v>
      </c>
      <c r="H1074" t="str">
        <f>"INV P1124"</f>
        <v>INV P1124</v>
      </c>
    </row>
    <row r="1075" spans="1:8" x14ac:dyDescent="0.25">
      <c r="E1075" t="str">
        <f>"P2203"</f>
        <v>P2203</v>
      </c>
      <c r="F1075" t="str">
        <f>"INV P2203 UNIT 6550"</f>
        <v>INV P2203 UNIT 6550</v>
      </c>
      <c r="G1075" s="2">
        <v>165</v>
      </c>
      <c r="H1075" t="str">
        <f>"INV P2203 UNIT 6550"</f>
        <v>INV P2203 UNIT 6550</v>
      </c>
    </row>
    <row r="1076" spans="1:8" x14ac:dyDescent="0.25">
      <c r="A1076" t="s">
        <v>303</v>
      </c>
      <c r="B1076">
        <v>82764</v>
      </c>
      <c r="C1076" s="2">
        <v>1118.22</v>
      </c>
      <c r="D1076" s="1">
        <v>43640</v>
      </c>
      <c r="E1076" t="str">
        <f>"201906190050"</f>
        <v>201906190050</v>
      </c>
      <c r="F1076" t="str">
        <f>"ACCT#0200140783/ANIMAL CONT"</f>
        <v>ACCT#0200140783/ANIMAL CONT</v>
      </c>
      <c r="G1076" s="2">
        <v>1118.22</v>
      </c>
      <c r="H1076" t="str">
        <f>"ACCT#0200140783/ANIMAL CONT"</f>
        <v>ACCT#0200140783/ANIMAL CONT</v>
      </c>
    </row>
    <row r="1077" spans="1:8" x14ac:dyDescent="0.25">
      <c r="A1077" t="s">
        <v>304</v>
      </c>
      <c r="B1077">
        <v>82548</v>
      </c>
      <c r="C1077" s="2">
        <v>4093.03</v>
      </c>
      <c r="D1077" s="1">
        <v>43626</v>
      </c>
      <c r="E1077" t="str">
        <f>"IVC00046605"</f>
        <v>IVC00046605</v>
      </c>
      <c r="F1077" t="str">
        <f>"ATTORNEY FEES/JP#1"</f>
        <v>ATTORNEY FEES/JP#1</v>
      </c>
      <c r="G1077" s="2">
        <v>4093.03</v>
      </c>
      <c r="H1077" t="str">
        <f>"ATTORNEY FEES/JP#1"</f>
        <v>ATTORNEY FEES/JP#1</v>
      </c>
    </row>
    <row r="1078" spans="1:8" x14ac:dyDescent="0.25">
      <c r="A1078" t="s">
        <v>305</v>
      </c>
      <c r="B1078">
        <v>82549</v>
      </c>
      <c r="C1078" s="2">
        <v>235</v>
      </c>
      <c r="D1078" s="1">
        <v>43626</v>
      </c>
      <c r="E1078" t="str">
        <f>"201906049565"</f>
        <v>201906049565</v>
      </c>
      <c r="F1078" t="str">
        <f>"2019 STATE BAR DUES"</f>
        <v>2019 STATE BAR DUES</v>
      </c>
      <c r="G1078" s="2">
        <v>235</v>
      </c>
      <c r="H1078" t="str">
        <f>"2019 STATE BAR DUES"</f>
        <v>2019 STATE BAR DUES</v>
      </c>
    </row>
    <row r="1079" spans="1:8" x14ac:dyDescent="0.25">
      <c r="A1079" t="s">
        <v>306</v>
      </c>
      <c r="B1079">
        <v>911</v>
      </c>
      <c r="C1079" s="2">
        <v>500</v>
      </c>
      <c r="D1079" s="1">
        <v>43627</v>
      </c>
      <c r="E1079" t="str">
        <f>"201906049596"</f>
        <v>201906049596</v>
      </c>
      <c r="F1079" t="str">
        <f>"JP104202019J  JP104202019K"</f>
        <v>JP104202019J  JP104202019K</v>
      </c>
      <c r="G1079" s="2">
        <v>250</v>
      </c>
      <c r="H1079" t="str">
        <f>"JP104202019J  JP104202019K"</f>
        <v>JP104202019J  JP104202019K</v>
      </c>
    </row>
    <row r="1080" spans="1:8" x14ac:dyDescent="0.25">
      <c r="E1080" t="str">
        <f>"201906049597"</f>
        <v>201906049597</v>
      </c>
      <c r="F1080" t="str">
        <f>"56821"</f>
        <v>56821</v>
      </c>
      <c r="G1080" s="2">
        <v>250</v>
      </c>
      <c r="H1080" t="str">
        <f>"56821"</f>
        <v>56821</v>
      </c>
    </row>
    <row r="1081" spans="1:8" x14ac:dyDescent="0.25">
      <c r="A1081" t="s">
        <v>306</v>
      </c>
      <c r="B1081">
        <v>985</v>
      </c>
      <c r="C1081" s="2">
        <v>3287.5</v>
      </c>
      <c r="D1081" s="1">
        <v>43641</v>
      </c>
      <c r="E1081" t="str">
        <f>"201906129771"</f>
        <v>201906129771</v>
      </c>
      <c r="F1081" t="str">
        <f>"20180535"</f>
        <v>20180535</v>
      </c>
      <c r="G1081" s="2">
        <v>250</v>
      </c>
      <c r="H1081" t="str">
        <f>"20180535"</f>
        <v>20180535</v>
      </c>
    </row>
    <row r="1082" spans="1:8" x14ac:dyDescent="0.25">
      <c r="E1082" t="str">
        <f>"201906129772"</f>
        <v>201906129772</v>
      </c>
      <c r="F1082" t="str">
        <f>"10232019G"</f>
        <v>10232019G</v>
      </c>
      <c r="G1082" s="2">
        <v>250</v>
      </c>
      <c r="H1082" t="str">
        <f>"10232019G"</f>
        <v>10232019G</v>
      </c>
    </row>
    <row r="1083" spans="1:8" x14ac:dyDescent="0.25">
      <c r="E1083" t="str">
        <f>"201906129773"</f>
        <v>201906129773</v>
      </c>
      <c r="F1083" t="str">
        <f>"54807"</f>
        <v>54807</v>
      </c>
      <c r="G1083" s="2">
        <v>250</v>
      </c>
      <c r="H1083" t="str">
        <f>"54807"</f>
        <v>54807</v>
      </c>
    </row>
    <row r="1084" spans="1:8" x14ac:dyDescent="0.25">
      <c r="E1084" t="str">
        <f>"201906129774"</f>
        <v>201906129774</v>
      </c>
      <c r="F1084" t="str">
        <f>"56331"</f>
        <v>56331</v>
      </c>
      <c r="G1084" s="2">
        <v>250</v>
      </c>
      <c r="H1084" t="str">
        <f>"56331"</f>
        <v>56331</v>
      </c>
    </row>
    <row r="1085" spans="1:8" x14ac:dyDescent="0.25">
      <c r="E1085" t="str">
        <f>"201906129775"</f>
        <v>201906129775</v>
      </c>
      <c r="F1085" t="str">
        <f>"55843"</f>
        <v>55843</v>
      </c>
      <c r="G1085" s="2">
        <v>250</v>
      </c>
      <c r="H1085" t="str">
        <f>"55843"</f>
        <v>55843</v>
      </c>
    </row>
    <row r="1086" spans="1:8" x14ac:dyDescent="0.25">
      <c r="E1086" t="str">
        <f>"201906129776"</f>
        <v>201906129776</v>
      </c>
      <c r="F1086" t="str">
        <f>"18-18974"</f>
        <v>18-18974</v>
      </c>
      <c r="G1086" s="2">
        <v>385</v>
      </c>
      <c r="H1086" t="str">
        <f>"18-18974"</f>
        <v>18-18974</v>
      </c>
    </row>
    <row r="1087" spans="1:8" x14ac:dyDescent="0.25">
      <c r="E1087" t="str">
        <f>"201906129777"</f>
        <v>201906129777</v>
      </c>
      <c r="F1087" t="str">
        <f>"1819039"</f>
        <v>1819039</v>
      </c>
      <c r="G1087" s="2">
        <v>212.5</v>
      </c>
      <c r="H1087" t="str">
        <f>"1819039"</f>
        <v>1819039</v>
      </c>
    </row>
    <row r="1088" spans="1:8" x14ac:dyDescent="0.25">
      <c r="E1088" t="str">
        <f>"201906129778"</f>
        <v>201906129778</v>
      </c>
      <c r="F1088" t="str">
        <f>"18-18992"</f>
        <v>18-18992</v>
      </c>
      <c r="G1088" s="2">
        <v>265</v>
      </c>
      <c r="H1088" t="str">
        <f>"18-18992"</f>
        <v>18-18992</v>
      </c>
    </row>
    <row r="1089" spans="1:8" x14ac:dyDescent="0.25">
      <c r="E1089" t="str">
        <f>"201906189984"</f>
        <v>201906189984</v>
      </c>
      <c r="F1089" t="str">
        <f>"19-19558"</f>
        <v>19-19558</v>
      </c>
      <c r="G1089" s="2">
        <v>925</v>
      </c>
      <c r="H1089" t="str">
        <f>"19-19558"</f>
        <v>19-19558</v>
      </c>
    </row>
    <row r="1090" spans="1:8" x14ac:dyDescent="0.25">
      <c r="E1090" t="str">
        <f>"201906189985"</f>
        <v>201906189985</v>
      </c>
      <c r="F1090" t="str">
        <f>"56841"</f>
        <v>56841</v>
      </c>
      <c r="G1090" s="2">
        <v>250</v>
      </c>
      <c r="H1090" t="str">
        <f>"56841"</f>
        <v>56841</v>
      </c>
    </row>
    <row r="1091" spans="1:8" x14ac:dyDescent="0.25">
      <c r="A1091" t="s">
        <v>307</v>
      </c>
      <c r="B1091">
        <v>82550</v>
      </c>
      <c r="C1091" s="2">
        <v>94</v>
      </c>
      <c r="D1091" s="1">
        <v>43626</v>
      </c>
      <c r="E1091" t="str">
        <f>"003169"</f>
        <v>003169</v>
      </c>
      <c r="F1091" t="str">
        <f>"INSPECTIONS/PCT#3"</f>
        <v>INSPECTIONS/PCT#3</v>
      </c>
      <c r="G1091" s="2">
        <v>54</v>
      </c>
      <c r="H1091" t="str">
        <f>"INSPECTIONS/PCT#3"</f>
        <v>INSPECTIONS/PCT#3</v>
      </c>
    </row>
    <row r="1092" spans="1:8" x14ac:dyDescent="0.25">
      <c r="E1092" t="str">
        <f>"003169 - P4"</f>
        <v>003169 - P4</v>
      </c>
      <c r="F1092" t="str">
        <f>"INSPECTION-2008 FT/PCT#4"</f>
        <v>INSPECTION-2008 FT/PCT#4</v>
      </c>
      <c r="G1092" s="2">
        <v>40</v>
      </c>
      <c r="H1092" t="str">
        <f>"INSPECTION-2008 FT/PCT#4"</f>
        <v>INSPECTION-2008 FT/PCT#4</v>
      </c>
    </row>
    <row r="1093" spans="1:8" x14ac:dyDescent="0.25">
      <c r="A1093" t="s">
        <v>308</v>
      </c>
      <c r="B1093">
        <v>887</v>
      </c>
      <c r="C1093" s="2">
        <v>625</v>
      </c>
      <c r="D1093" s="1">
        <v>43627</v>
      </c>
      <c r="E1093" t="str">
        <f>"201906049598"</f>
        <v>201906049598</v>
      </c>
      <c r="F1093" t="str">
        <f>"56 493  56 494"</f>
        <v>56 493  56 494</v>
      </c>
      <c r="G1093" s="2">
        <v>375</v>
      </c>
      <c r="H1093" t="str">
        <f>"56 493  56 494"</f>
        <v>56 493  56 494</v>
      </c>
    </row>
    <row r="1094" spans="1:8" x14ac:dyDescent="0.25">
      <c r="E1094" t="str">
        <f>"201906049599"</f>
        <v>201906049599</v>
      </c>
      <c r="F1094" t="str">
        <f>"56 819"</f>
        <v>56 819</v>
      </c>
      <c r="G1094" s="2">
        <v>250</v>
      </c>
      <c r="H1094" t="str">
        <f>"56 819"</f>
        <v>56 819</v>
      </c>
    </row>
    <row r="1095" spans="1:8" x14ac:dyDescent="0.25">
      <c r="A1095" t="s">
        <v>308</v>
      </c>
      <c r="B1095">
        <v>943</v>
      </c>
      <c r="C1095" s="2">
        <v>4198.75</v>
      </c>
      <c r="D1095" s="1">
        <v>43641</v>
      </c>
      <c r="E1095" t="str">
        <f>"201906129799"</f>
        <v>201906129799</v>
      </c>
      <c r="F1095" t="str">
        <f>"18-19142"</f>
        <v>18-19142</v>
      </c>
      <c r="G1095" s="2">
        <v>1492.5</v>
      </c>
      <c r="H1095" t="str">
        <f>"18-19142"</f>
        <v>18-19142</v>
      </c>
    </row>
    <row r="1096" spans="1:8" x14ac:dyDescent="0.25">
      <c r="E1096" t="str">
        <f>"201906129800"</f>
        <v>201906129800</v>
      </c>
      <c r="F1096" t="str">
        <f>"18-19279"</f>
        <v>18-19279</v>
      </c>
      <c r="G1096" s="2">
        <v>2545</v>
      </c>
      <c r="H1096" t="str">
        <f>"18-19279"</f>
        <v>18-19279</v>
      </c>
    </row>
    <row r="1097" spans="1:8" x14ac:dyDescent="0.25">
      <c r="E1097" t="str">
        <f>"201906129801"</f>
        <v>201906129801</v>
      </c>
      <c r="F1097" t="str">
        <f>"18-19077"</f>
        <v>18-19077</v>
      </c>
      <c r="G1097" s="2">
        <v>161.25</v>
      </c>
      <c r="H1097" t="str">
        <f>"18-19077"</f>
        <v>18-19077</v>
      </c>
    </row>
    <row r="1098" spans="1:8" x14ac:dyDescent="0.25">
      <c r="A1098" t="s">
        <v>309</v>
      </c>
      <c r="B1098">
        <v>960</v>
      </c>
      <c r="C1098" s="2">
        <v>487.85</v>
      </c>
      <c r="D1098" s="1">
        <v>43641</v>
      </c>
      <c r="E1098" t="str">
        <f>"201906129740"</f>
        <v>201906129740</v>
      </c>
      <c r="F1098" t="str">
        <f>"ACCT#0005/PCT#4"</f>
        <v>ACCT#0005/PCT#4</v>
      </c>
      <c r="G1098" s="2">
        <v>487.85</v>
      </c>
      <c r="H1098" t="str">
        <f>"ACCT#0005/PCT#4"</f>
        <v>ACCT#0005/PCT#4</v>
      </c>
    </row>
    <row r="1099" spans="1:8" x14ac:dyDescent="0.25">
      <c r="A1099" t="s">
        <v>310</v>
      </c>
      <c r="B1099">
        <v>82551</v>
      </c>
      <c r="C1099" s="2">
        <v>235</v>
      </c>
      <c r="D1099" s="1">
        <v>43626</v>
      </c>
      <c r="E1099" t="str">
        <f>"201905299505"</f>
        <v>201905299505</v>
      </c>
      <c r="F1099" t="str">
        <f>"BRM PERMIT #10000/ELECTIONS"</f>
        <v>BRM PERMIT #10000/ELECTIONS</v>
      </c>
      <c r="G1099" s="2">
        <v>235</v>
      </c>
      <c r="H1099" t="str">
        <f>"BRM PERMIT #10000/ELECTIONS"</f>
        <v>BRM PERMIT #10000/ELECTIONS</v>
      </c>
    </row>
    <row r="1100" spans="1:8" x14ac:dyDescent="0.25">
      <c r="A1100" t="s">
        <v>310</v>
      </c>
      <c r="B1100">
        <v>82765</v>
      </c>
      <c r="C1100" s="2">
        <v>118</v>
      </c>
      <c r="D1100" s="1">
        <v>43640</v>
      </c>
      <c r="E1100" t="str">
        <f>"201906119724"</f>
        <v>201906119724</v>
      </c>
      <c r="F1100" t="str">
        <f>"PO BOX #676 FEE/TREASURERS OFF"</f>
        <v>PO BOX #676 FEE/TREASURERS OFF</v>
      </c>
      <c r="G1100" s="2">
        <v>118</v>
      </c>
      <c r="H1100" t="str">
        <f>"PO BOX #676 FEE/TREASURERS OFF"</f>
        <v>PO BOX #676 FEE/TREASURERS OFF</v>
      </c>
    </row>
    <row r="1101" spans="1:8" x14ac:dyDescent="0.25">
      <c r="A1101" t="s">
        <v>310</v>
      </c>
      <c r="B1101">
        <v>82766</v>
      </c>
      <c r="C1101" s="2">
        <v>204</v>
      </c>
      <c r="D1101" s="1">
        <v>43640</v>
      </c>
      <c r="E1101" t="str">
        <f>"201906119729"</f>
        <v>201906119729</v>
      </c>
      <c r="F1101" t="str">
        <f>"PO BOX FEE#577/COUNTY CLERK"</f>
        <v>PO BOX FEE#577/COUNTY CLERK</v>
      </c>
      <c r="G1101" s="2">
        <v>204</v>
      </c>
      <c r="H1101" t="str">
        <f>"PO BOX FEE#577/COUNTY CLERK"</f>
        <v>PO BOX FEE#577/COUNTY CLERK</v>
      </c>
    </row>
    <row r="1102" spans="1:8" x14ac:dyDescent="0.25">
      <c r="A1102" t="s">
        <v>310</v>
      </c>
      <c r="B1102">
        <v>82767</v>
      </c>
      <c r="C1102" s="2">
        <v>204</v>
      </c>
      <c r="D1102" s="1">
        <v>43640</v>
      </c>
      <c r="E1102" t="str">
        <f>"201906129750"</f>
        <v>201906129750</v>
      </c>
      <c r="F1102" t="str">
        <f>"PO BOX FEE #579/TAX COLLECTOR"</f>
        <v>PO BOX FEE #579/TAX COLLECTOR</v>
      </c>
      <c r="G1102" s="2">
        <v>204</v>
      </c>
      <c r="H1102" t="str">
        <f>"PO BOX FEE #579/TAX COLLECTOR"</f>
        <v>PO BOX FEE #579/TAX COLLECTOR</v>
      </c>
    </row>
    <row r="1103" spans="1:8" x14ac:dyDescent="0.25">
      <c r="A1103" t="s">
        <v>310</v>
      </c>
      <c r="B1103">
        <v>82768</v>
      </c>
      <c r="C1103" s="2">
        <v>204</v>
      </c>
      <c r="D1103" s="1">
        <v>43640</v>
      </c>
      <c r="E1103" t="str">
        <f>"201906179923"</f>
        <v>201906179923</v>
      </c>
      <c r="F1103" t="str">
        <f>"P O BOX #650 FEE/TEXAS A&amp;M AGR"</f>
        <v>P O BOX #650 FEE/TEXAS A&amp;M AGR</v>
      </c>
      <c r="G1103" s="2">
        <v>204</v>
      </c>
      <c r="H1103" t="str">
        <f>"P O BOX #650 FEE/TEXAS A&amp;M AGR"</f>
        <v>P O BOX #650 FEE/TEXAS A&amp;M AGR</v>
      </c>
    </row>
    <row r="1104" spans="1:8" x14ac:dyDescent="0.25">
      <c r="A1104" t="s">
        <v>311</v>
      </c>
      <c r="B1104">
        <v>82769</v>
      </c>
      <c r="C1104" s="2">
        <v>150</v>
      </c>
      <c r="D1104" s="1">
        <v>43640</v>
      </c>
      <c r="E1104" t="str">
        <f>"1090641"</f>
        <v>1090641</v>
      </c>
      <c r="F1104" t="str">
        <f>"WORK ORD#W083128/PCT#4"</f>
        <v>WORK ORD#W083128/PCT#4</v>
      </c>
      <c r="G1104" s="2">
        <v>150</v>
      </c>
      <c r="H1104" t="str">
        <f>"WORK ORD#W083128/PCT#4"</f>
        <v>WORK ORD#W083128/PCT#4</v>
      </c>
    </row>
    <row r="1105" spans="1:8" x14ac:dyDescent="0.25">
      <c r="A1105" t="s">
        <v>312</v>
      </c>
      <c r="B1105">
        <v>82770</v>
      </c>
      <c r="C1105" s="2">
        <v>546.04</v>
      </c>
      <c r="D1105" s="1">
        <v>43640</v>
      </c>
      <c r="E1105" t="str">
        <f>"232382"</f>
        <v>232382</v>
      </c>
      <c r="F1105" t="str">
        <f>"INV 232382"</f>
        <v>INV 232382</v>
      </c>
      <c r="G1105" s="2">
        <v>546.04</v>
      </c>
      <c r="H1105" t="str">
        <f>"INV 232382"</f>
        <v>INV 232382</v>
      </c>
    </row>
    <row r="1106" spans="1:8" x14ac:dyDescent="0.25">
      <c r="A1106" t="s">
        <v>313</v>
      </c>
      <c r="B1106">
        <v>82771</v>
      </c>
      <c r="C1106" s="2">
        <v>289</v>
      </c>
      <c r="D1106" s="1">
        <v>43640</v>
      </c>
      <c r="E1106" t="str">
        <f>"201906180022"</f>
        <v>201906180022</v>
      </c>
      <c r="F1106" t="str">
        <f>"TRAINING"</f>
        <v>TRAINING</v>
      </c>
      <c r="G1106" s="2">
        <v>289</v>
      </c>
      <c r="H1106" t="str">
        <f>"TRAINING"</f>
        <v>TRAINING</v>
      </c>
    </row>
    <row r="1107" spans="1:8" x14ac:dyDescent="0.25">
      <c r="A1107" t="s">
        <v>314</v>
      </c>
      <c r="B1107">
        <v>82772</v>
      </c>
      <c r="C1107" s="2">
        <v>640</v>
      </c>
      <c r="D1107" s="1">
        <v>43640</v>
      </c>
      <c r="E1107" t="str">
        <f>"2019054"</f>
        <v>2019054</v>
      </c>
      <c r="F1107" t="str">
        <f>"TRANSPORT-E. WINKLER"</f>
        <v>TRANSPORT-E. WINKLER</v>
      </c>
      <c r="G1107" s="2">
        <v>345</v>
      </c>
      <c r="H1107" t="str">
        <f>"TRANSPORT-E. WINKLER"</f>
        <v>TRANSPORT-E. WINKLER</v>
      </c>
    </row>
    <row r="1108" spans="1:8" x14ac:dyDescent="0.25">
      <c r="E1108" t="str">
        <f>"2019068"</f>
        <v>2019068</v>
      </c>
      <c r="F1108" t="str">
        <f>"TRANSPORT-D. DAGENHART"</f>
        <v>TRANSPORT-D. DAGENHART</v>
      </c>
      <c r="G1108" s="2">
        <v>295</v>
      </c>
      <c r="H1108" t="str">
        <f>"TRANSPORT-D. DAGENHART"</f>
        <v>TRANSPORT-D. DAGENHART</v>
      </c>
    </row>
    <row r="1109" spans="1:8" x14ac:dyDescent="0.25">
      <c r="A1109" t="s">
        <v>315</v>
      </c>
      <c r="B1109">
        <v>82773</v>
      </c>
      <c r="C1109" s="2">
        <v>1389.14</v>
      </c>
      <c r="D1109" s="1">
        <v>43640</v>
      </c>
      <c r="E1109" t="str">
        <f>"0025610"</f>
        <v>0025610</v>
      </c>
      <c r="F1109" t="str">
        <f>"REPAIRS 2007 FRHT/PCT#2"</f>
        <v>REPAIRS 2007 FRHT/PCT#2</v>
      </c>
      <c r="G1109" s="2">
        <v>1389.14</v>
      </c>
      <c r="H1109" t="str">
        <f>"REPAIRS 2007 FRHT/PCT#2"</f>
        <v>REPAIRS 2007 FRHT/PCT#2</v>
      </c>
    </row>
    <row r="1110" spans="1:8" x14ac:dyDescent="0.25">
      <c r="A1110" t="s">
        <v>316</v>
      </c>
      <c r="B1110">
        <v>935</v>
      </c>
      <c r="C1110" s="2">
        <v>28.92</v>
      </c>
      <c r="D1110" s="1">
        <v>43641</v>
      </c>
      <c r="E1110" t="str">
        <f>"19F0121569859"</f>
        <v>19F0121569859</v>
      </c>
      <c r="F1110" t="str">
        <f>"ACCT#0121569859/JP#4"</f>
        <v>ACCT#0121569859/JP#4</v>
      </c>
      <c r="G1110" s="2">
        <v>28.92</v>
      </c>
      <c r="H1110" t="str">
        <f>"ACCT#0121569859/JP#4"</f>
        <v>ACCT#0121569859/JP#4</v>
      </c>
    </row>
    <row r="1111" spans="1:8" x14ac:dyDescent="0.25">
      <c r="A1111" t="s">
        <v>317</v>
      </c>
      <c r="B1111">
        <v>82774</v>
      </c>
      <c r="C1111" s="2">
        <v>250</v>
      </c>
      <c r="D1111" s="1">
        <v>43640</v>
      </c>
      <c r="E1111" t="str">
        <f>"20190610019610"</f>
        <v>20190610019610</v>
      </c>
      <c r="F1111" t="str">
        <f>"CUST#19610/PCT#4"</f>
        <v>CUST#19610/PCT#4</v>
      </c>
      <c r="G1111" s="2">
        <v>250</v>
      </c>
      <c r="H1111" t="str">
        <f>"CUST#19610/PCT#4"</f>
        <v>CUST#19610/PCT#4</v>
      </c>
    </row>
    <row r="1112" spans="1:8" x14ac:dyDescent="0.25">
      <c r="A1112" t="s">
        <v>318</v>
      </c>
      <c r="B1112">
        <v>82552</v>
      </c>
      <c r="C1112" s="2">
        <v>374.65</v>
      </c>
      <c r="D1112" s="1">
        <v>43626</v>
      </c>
      <c r="E1112" t="str">
        <f>"163 003 744 019 8"</f>
        <v>163 003 744 019 8</v>
      </c>
      <c r="F1112" t="str">
        <f>"ACCT#15 069 451 1/BASTROP COUN"</f>
        <v>ACCT#15 069 451 1/BASTROP COUN</v>
      </c>
      <c r="G1112" s="2">
        <v>374.65</v>
      </c>
      <c r="H1112" t="str">
        <f>"ACCT#15 069 451 1/BASTROP COUN"</f>
        <v>ACCT#15 069 451 1/BASTROP COUN</v>
      </c>
    </row>
    <row r="1113" spans="1:8" x14ac:dyDescent="0.25">
      <c r="A1113" t="s">
        <v>318</v>
      </c>
      <c r="B1113">
        <v>82775</v>
      </c>
      <c r="C1113" s="2">
        <v>1189.01</v>
      </c>
      <c r="D1113" s="1">
        <v>43640</v>
      </c>
      <c r="E1113" t="str">
        <f>"348 000 227 153 5"</f>
        <v>348 000 227 153 5</v>
      </c>
      <c r="F1113" t="str">
        <f>"ACCT#15 070 712 - 3/HWY 290 GR"</f>
        <v>ACCT#15 070 712 - 3/HWY 290 GR</v>
      </c>
      <c r="G1113" s="2">
        <v>17.899999999999999</v>
      </c>
      <c r="H1113" t="str">
        <f>"ACCT#15 070 712 - 3/HWY 290 GR"</f>
        <v>ACCT#15 070 712 - 3/HWY 290 GR</v>
      </c>
    </row>
    <row r="1114" spans="1:8" x14ac:dyDescent="0.25">
      <c r="E1114" t="str">
        <f>"348 000 227 154 3"</f>
        <v>348 000 227 154 3</v>
      </c>
      <c r="F1114" t="str">
        <f>"ACCT#15 070 713 - 1/708 BULL R"</f>
        <v>ACCT#15 070 713 - 1/708 BULL R</v>
      </c>
      <c r="G1114" s="2">
        <v>21.4</v>
      </c>
      <c r="H1114" t="str">
        <f>"ACCT#15 070 713 - 1/708 BULL R"</f>
        <v>ACCT#15 070 713 - 1/708 BULL R</v>
      </c>
    </row>
    <row r="1115" spans="1:8" x14ac:dyDescent="0.25">
      <c r="E1115" t="str">
        <f>"348 000 227 155 0"</f>
        <v>348 000 227 155 0</v>
      </c>
      <c r="F1115" t="str">
        <f>"ACCT#15 072 199 - 1/704 HWY290"</f>
        <v>ACCT#15 072 199 - 1/704 HWY290</v>
      </c>
      <c r="G1115" s="2">
        <v>68</v>
      </c>
      <c r="H1115" t="str">
        <f>"ACCT#15 072 199 - 1/704 HWY290"</f>
        <v>ACCT#15 072 199 - 1/704 HWY290</v>
      </c>
    </row>
    <row r="1116" spans="1:8" x14ac:dyDescent="0.25">
      <c r="E1116" t="str">
        <f>"348 000 227 156 8"</f>
        <v>348 000 227 156 8</v>
      </c>
      <c r="F1116" t="str">
        <f>"ACCT#15 072 200 - 7/PCT#4"</f>
        <v>ACCT#15 072 200 - 7/PCT#4</v>
      </c>
      <c r="G1116" s="2">
        <v>234.32</v>
      </c>
      <c r="H1116" t="str">
        <f>"ACCT#15 072 200 - 7/PCT#4"</f>
        <v>ACCT#15 072 200 - 7/PCT#4</v>
      </c>
    </row>
    <row r="1117" spans="1:8" x14ac:dyDescent="0.25">
      <c r="E1117" t="str">
        <f>"348 000 227 157 6"</f>
        <v>348 000 227 157 6</v>
      </c>
      <c r="F1117" t="str">
        <f>"ACCT#15 072 201 - 5/204 S MAIN"</f>
        <v>ACCT#15 072 201 - 5/204 S MAIN</v>
      </c>
      <c r="G1117" s="2">
        <v>484.54</v>
      </c>
      <c r="H1117" t="str">
        <f>"ACCT#15 072 201 - 5/204 S MAIN"</f>
        <v>ACCT#15 072 201 - 5/204 S MAIN</v>
      </c>
    </row>
    <row r="1118" spans="1:8" x14ac:dyDescent="0.25">
      <c r="E1118" t="str">
        <f>"348 000 227 158 4"</f>
        <v>348 000 227 158 4</v>
      </c>
      <c r="F1118" t="str">
        <f>"ACCT#15 072 202 - 3/708 BULL R"</f>
        <v>ACCT#15 072 202 - 3/708 BULL R</v>
      </c>
      <c r="G1118" s="2">
        <v>27.41</v>
      </c>
      <c r="H1118" t="str">
        <f>"ACCT#15 072 202 - 3/708 BULL R"</f>
        <v>ACCT#15 072 202 - 3/708 BULL R</v>
      </c>
    </row>
    <row r="1119" spans="1:8" x14ac:dyDescent="0.25">
      <c r="E1119" t="str">
        <f>"348 000 227 159 2"</f>
        <v>348 000 227 159 2</v>
      </c>
      <c r="F1119" t="str">
        <f>"ACCT#15 072 203 - 1/130 BULL R"</f>
        <v>ACCT#15 072 203 - 1/130 BULL R</v>
      </c>
      <c r="G1119" s="2">
        <v>15.58</v>
      </c>
      <c r="H1119" t="str">
        <f>"ACCT#15 072 203 - 1/130 BULL R"</f>
        <v>ACCT#15 072 203 - 1/130 BULL R</v>
      </c>
    </row>
    <row r="1120" spans="1:8" x14ac:dyDescent="0.25">
      <c r="E1120" t="str">
        <f>"348 000 227 160 0"</f>
        <v>348 000 227 160 0</v>
      </c>
      <c r="F1120" t="str">
        <f>"ACCT#15 072 204 - 9/1125 DILDY"</f>
        <v>ACCT#15 072 204 - 9/1125 DILDY</v>
      </c>
      <c r="G1120" s="2">
        <v>319.86</v>
      </c>
      <c r="H1120" t="str">
        <f>"ACCT#15 072 204 - 9/1125 DILDY"</f>
        <v>ACCT#15 072 204 - 9/1125 DILDY</v>
      </c>
    </row>
    <row r="1121" spans="1:8" x14ac:dyDescent="0.25">
      <c r="A1121" t="s">
        <v>319</v>
      </c>
      <c r="B1121">
        <v>82553</v>
      </c>
      <c r="C1121" s="2">
        <v>1196.56</v>
      </c>
      <c r="D1121" s="1">
        <v>43626</v>
      </c>
      <c r="E1121" t="str">
        <f>"0000012187"</f>
        <v>0000012187</v>
      </c>
      <c r="F1121" t="str">
        <f>"WK ORD#0000013306/PCT#4"</f>
        <v>WK ORD#0000013306/PCT#4</v>
      </c>
      <c r="G1121" s="2">
        <v>1196.56</v>
      </c>
      <c r="H1121" t="str">
        <f>"WK ORD#0000013306/PCT#4"</f>
        <v>WK ORD#0000013306/PCT#4</v>
      </c>
    </row>
    <row r="1122" spans="1:8" x14ac:dyDescent="0.25">
      <c r="A1122" t="s">
        <v>320</v>
      </c>
      <c r="B1122">
        <v>82776</v>
      </c>
      <c r="C1122" s="2">
        <v>2500</v>
      </c>
      <c r="D1122" s="1">
        <v>43640</v>
      </c>
      <c r="E1122" t="str">
        <f>"201906190042"</f>
        <v>201906190042</v>
      </c>
      <c r="F1122" t="str">
        <f>"ACCT. 36251536"</f>
        <v>ACCT. 36251536</v>
      </c>
      <c r="G1122" s="2">
        <v>2500</v>
      </c>
      <c r="H1122" t="str">
        <f>"ACCT. 36251536"</f>
        <v>ACCT. 36251536</v>
      </c>
    </row>
    <row r="1123" spans="1:8" x14ac:dyDescent="0.25">
      <c r="A1123" t="s">
        <v>320</v>
      </c>
      <c r="B1123">
        <v>82777</v>
      </c>
      <c r="C1123" s="2">
        <v>9000</v>
      </c>
      <c r="D1123" s="1">
        <v>43640</v>
      </c>
      <c r="E1123" t="str">
        <f>"201906119726"</f>
        <v>201906119726</v>
      </c>
      <c r="F1123" t="str">
        <f>"ACCT#34549337"</f>
        <v>ACCT#34549337</v>
      </c>
      <c r="G1123" s="2">
        <v>9000</v>
      </c>
      <c r="H1123" t="str">
        <f>"ACCT#34549337"</f>
        <v>ACCT#34549337</v>
      </c>
    </row>
    <row r="1124" spans="1:8" x14ac:dyDescent="0.25">
      <c r="A1124" t="s">
        <v>321</v>
      </c>
      <c r="B1124">
        <v>914</v>
      </c>
      <c r="C1124" s="2">
        <v>375</v>
      </c>
      <c r="D1124" s="1">
        <v>43627</v>
      </c>
      <c r="E1124" t="str">
        <f>"201906049639"</f>
        <v>201906049639</v>
      </c>
      <c r="F1124" t="str">
        <f>"02-0222-2  02-0222-3"</f>
        <v>02-0222-2  02-0222-3</v>
      </c>
      <c r="G1124" s="2">
        <v>375</v>
      </c>
      <c r="H1124" t="str">
        <f>"02-0222-2  02-0222-3"</f>
        <v>02-0222-2  02-0222-3</v>
      </c>
    </row>
    <row r="1125" spans="1:8" x14ac:dyDescent="0.25">
      <c r="A1125" t="s">
        <v>321</v>
      </c>
      <c r="B1125">
        <v>988</v>
      </c>
      <c r="C1125" s="2">
        <v>375</v>
      </c>
      <c r="D1125" s="1">
        <v>43641</v>
      </c>
      <c r="E1125" t="str">
        <f>"201906129797"</f>
        <v>201906129797</v>
      </c>
      <c r="F1125" t="str">
        <f>"02-1030-1  02-1030-2"</f>
        <v>02-1030-1  02-1030-2</v>
      </c>
      <c r="G1125" s="2">
        <v>375</v>
      </c>
      <c r="H1125" t="str">
        <f>"02-1030-1  02-1030-2"</f>
        <v>02-1030-1  02-1030-2</v>
      </c>
    </row>
    <row r="1126" spans="1:8" x14ac:dyDescent="0.25">
      <c r="A1126" t="s">
        <v>322</v>
      </c>
      <c r="B1126">
        <v>82778</v>
      </c>
      <c r="C1126" s="2">
        <v>56.58</v>
      </c>
      <c r="D1126" s="1">
        <v>43640</v>
      </c>
      <c r="E1126" t="str">
        <f>"83626"</f>
        <v>83626</v>
      </c>
      <c r="F1126" t="str">
        <f>"ACCT#3510/PCT#4"</f>
        <v>ACCT#3510/PCT#4</v>
      </c>
      <c r="G1126" s="2">
        <v>56.58</v>
      </c>
      <c r="H1126" t="str">
        <f>"ACCT#3510/PCT#4"</f>
        <v>ACCT#3510/PCT#4</v>
      </c>
    </row>
    <row r="1127" spans="1:8" x14ac:dyDescent="0.25">
      <c r="A1127" t="s">
        <v>323</v>
      </c>
      <c r="B1127">
        <v>82779</v>
      </c>
      <c r="C1127" s="2">
        <v>2050</v>
      </c>
      <c r="D1127" s="1">
        <v>43640</v>
      </c>
      <c r="E1127" t="str">
        <f>"201906119722"</f>
        <v>201906119722</v>
      </c>
      <c r="F1127" t="str">
        <f>"16 492"</f>
        <v>16 492</v>
      </c>
      <c r="G1127" s="2">
        <v>1000</v>
      </c>
      <c r="H1127" t="str">
        <f>"16 492"</f>
        <v>16 492</v>
      </c>
    </row>
    <row r="1128" spans="1:8" x14ac:dyDescent="0.25">
      <c r="E1128" t="str">
        <f>"201906189986"</f>
        <v>201906189986</v>
      </c>
      <c r="F1128" t="str">
        <f>"302262019G 302262019H 3022620J"</f>
        <v>302262019G 302262019H 3022620J</v>
      </c>
      <c r="G1128" s="2">
        <v>1050</v>
      </c>
      <c r="H1128" t="str">
        <f>"302262019G 302262019H 3022620J"</f>
        <v>302262019G 302262019H 3022620J</v>
      </c>
    </row>
    <row r="1129" spans="1:8" x14ac:dyDescent="0.25">
      <c r="A1129" t="s">
        <v>324</v>
      </c>
      <c r="B1129">
        <v>82780</v>
      </c>
      <c r="C1129" s="2">
        <v>828</v>
      </c>
      <c r="D1129" s="1">
        <v>43640</v>
      </c>
      <c r="E1129" t="str">
        <f>"201906190054"</f>
        <v>201906190054</v>
      </c>
      <c r="F1129" t="str">
        <f>"CONTRACT LABOR-VETERANS SVCS"</f>
        <v>CONTRACT LABOR-VETERANS SVCS</v>
      </c>
      <c r="G1129" s="2">
        <v>828</v>
      </c>
      <c r="H1129" t="str">
        <f>"CONTRACT LABOR-VETERANS SVCS"</f>
        <v>CONTRACT LABOR-VETERANS SVCS</v>
      </c>
    </row>
    <row r="1130" spans="1:8" x14ac:dyDescent="0.25">
      <c r="A1130" t="s">
        <v>325</v>
      </c>
      <c r="B1130">
        <v>82781</v>
      </c>
      <c r="C1130" s="2">
        <v>102.81</v>
      </c>
      <c r="D1130" s="1">
        <v>43640</v>
      </c>
      <c r="E1130" t="str">
        <f>"201906190046"</f>
        <v>201906190046</v>
      </c>
      <c r="F1130" t="str">
        <f>"REIMBURSEMENT-JEANS"</f>
        <v>REIMBURSEMENT-JEANS</v>
      </c>
      <c r="G1130" s="2">
        <v>102.81</v>
      </c>
      <c r="H1130" t="str">
        <f>"REIMBURSEMENT-JEANS"</f>
        <v>REIMBURSEMENT-JEANS</v>
      </c>
    </row>
    <row r="1131" spans="1:8" x14ac:dyDescent="0.25">
      <c r="A1131" t="s">
        <v>326</v>
      </c>
      <c r="B1131">
        <v>877</v>
      </c>
      <c r="C1131" s="2">
        <v>1746.85</v>
      </c>
      <c r="D1131" s="1">
        <v>43627</v>
      </c>
      <c r="E1131" t="str">
        <f>"5056684920"</f>
        <v>5056684920</v>
      </c>
      <c r="F1131" t="str">
        <f>"CONTRACT#4746243"</f>
        <v>CONTRACT#4746243</v>
      </c>
      <c r="G1131" s="2">
        <v>1674.33</v>
      </c>
      <c r="H1131" t="str">
        <f t="shared" ref="H1131:H1155" si="24">"CONTRACT#4746243"</f>
        <v>CONTRACT#4746243</v>
      </c>
    </row>
    <row r="1132" spans="1:8" x14ac:dyDescent="0.25">
      <c r="E1132" t="str">
        <f>""</f>
        <v/>
      </c>
      <c r="F1132" t="str">
        <f>""</f>
        <v/>
      </c>
      <c r="H1132" t="str">
        <f t="shared" si="24"/>
        <v>CONTRACT#4746243</v>
      </c>
    </row>
    <row r="1133" spans="1:8" x14ac:dyDescent="0.25">
      <c r="E1133" t="str">
        <f>""</f>
        <v/>
      </c>
      <c r="F1133" t="str">
        <f>""</f>
        <v/>
      </c>
      <c r="H1133" t="str">
        <f t="shared" si="24"/>
        <v>CONTRACT#4746243</v>
      </c>
    </row>
    <row r="1134" spans="1:8" x14ac:dyDescent="0.25">
      <c r="E1134" t="str">
        <f>""</f>
        <v/>
      </c>
      <c r="F1134" t="str">
        <f>""</f>
        <v/>
      </c>
      <c r="H1134" t="str">
        <f t="shared" si="24"/>
        <v>CONTRACT#4746243</v>
      </c>
    </row>
    <row r="1135" spans="1:8" x14ac:dyDescent="0.25">
      <c r="E1135" t="str">
        <f>""</f>
        <v/>
      </c>
      <c r="F1135" t="str">
        <f>""</f>
        <v/>
      </c>
      <c r="H1135" t="str">
        <f t="shared" si="24"/>
        <v>CONTRACT#4746243</v>
      </c>
    </row>
    <row r="1136" spans="1:8" x14ac:dyDescent="0.25">
      <c r="E1136" t="str">
        <f>""</f>
        <v/>
      </c>
      <c r="F1136" t="str">
        <f>""</f>
        <v/>
      </c>
      <c r="H1136" t="str">
        <f t="shared" si="24"/>
        <v>CONTRACT#4746243</v>
      </c>
    </row>
    <row r="1137" spans="5:8" x14ac:dyDescent="0.25">
      <c r="E1137" t="str">
        <f>""</f>
        <v/>
      </c>
      <c r="F1137" t="str">
        <f>""</f>
        <v/>
      </c>
      <c r="H1137" t="str">
        <f t="shared" si="24"/>
        <v>CONTRACT#4746243</v>
      </c>
    </row>
    <row r="1138" spans="5:8" x14ac:dyDescent="0.25">
      <c r="E1138" t="str">
        <f>""</f>
        <v/>
      </c>
      <c r="F1138" t="str">
        <f>""</f>
        <v/>
      </c>
      <c r="H1138" t="str">
        <f t="shared" si="24"/>
        <v>CONTRACT#4746243</v>
      </c>
    </row>
    <row r="1139" spans="5:8" x14ac:dyDescent="0.25">
      <c r="E1139" t="str">
        <f>""</f>
        <v/>
      </c>
      <c r="F1139" t="str">
        <f>""</f>
        <v/>
      </c>
      <c r="H1139" t="str">
        <f t="shared" si="24"/>
        <v>CONTRACT#4746243</v>
      </c>
    </row>
    <row r="1140" spans="5:8" x14ac:dyDescent="0.25">
      <c r="E1140" t="str">
        <f>""</f>
        <v/>
      </c>
      <c r="F1140" t="str">
        <f>""</f>
        <v/>
      </c>
      <c r="H1140" t="str">
        <f t="shared" si="24"/>
        <v>CONTRACT#4746243</v>
      </c>
    </row>
    <row r="1141" spans="5:8" x14ac:dyDescent="0.25">
      <c r="E1141" t="str">
        <f>""</f>
        <v/>
      </c>
      <c r="F1141" t="str">
        <f>""</f>
        <v/>
      </c>
      <c r="H1141" t="str">
        <f t="shared" si="24"/>
        <v>CONTRACT#4746243</v>
      </c>
    </row>
    <row r="1142" spans="5:8" x14ac:dyDescent="0.25">
      <c r="E1142" t="str">
        <f>""</f>
        <v/>
      </c>
      <c r="F1142" t="str">
        <f>""</f>
        <v/>
      </c>
      <c r="H1142" t="str">
        <f t="shared" si="24"/>
        <v>CONTRACT#4746243</v>
      </c>
    </row>
    <row r="1143" spans="5:8" x14ac:dyDescent="0.25">
      <c r="E1143" t="str">
        <f>""</f>
        <v/>
      </c>
      <c r="F1143" t="str">
        <f>""</f>
        <v/>
      </c>
      <c r="H1143" t="str">
        <f t="shared" si="24"/>
        <v>CONTRACT#4746243</v>
      </c>
    </row>
    <row r="1144" spans="5:8" x14ac:dyDescent="0.25">
      <c r="E1144" t="str">
        <f>""</f>
        <v/>
      </c>
      <c r="F1144" t="str">
        <f>""</f>
        <v/>
      </c>
      <c r="H1144" t="str">
        <f t="shared" si="24"/>
        <v>CONTRACT#4746243</v>
      </c>
    </row>
    <row r="1145" spans="5:8" x14ac:dyDescent="0.25">
      <c r="E1145" t="str">
        <f>""</f>
        <v/>
      </c>
      <c r="F1145" t="str">
        <f>""</f>
        <v/>
      </c>
      <c r="H1145" t="str">
        <f t="shared" si="24"/>
        <v>CONTRACT#4746243</v>
      </c>
    </row>
    <row r="1146" spans="5:8" x14ac:dyDescent="0.25">
      <c r="E1146" t="str">
        <f>""</f>
        <v/>
      </c>
      <c r="F1146" t="str">
        <f>""</f>
        <v/>
      </c>
      <c r="H1146" t="str">
        <f t="shared" si="24"/>
        <v>CONTRACT#4746243</v>
      </c>
    </row>
    <row r="1147" spans="5:8" x14ac:dyDescent="0.25">
      <c r="E1147" t="str">
        <f>""</f>
        <v/>
      </c>
      <c r="F1147" t="str">
        <f>""</f>
        <v/>
      </c>
      <c r="H1147" t="str">
        <f t="shared" si="24"/>
        <v>CONTRACT#4746243</v>
      </c>
    </row>
    <row r="1148" spans="5:8" x14ac:dyDescent="0.25">
      <c r="E1148" t="str">
        <f>""</f>
        <v/>
      </c>
      <c r="F1148" t="str">
        <f>""</f>
        <v/>
      </c>
      <c r="H1148" t="str">
        <f t="shared" si="24"/>
        <v>CONTRACT#4746243</v>
      </c>
    </row>
    <row r="1149" spans="5:8" x14ac:dyDescent="0.25">
      <c r="E1149" t="str">
        <f>""</f>
        <v/>
      </c>
      <c r="F1149" t="str">
        <f>""</f>
        <v/>
      </c>
      <c r="H1149" t="str">
        <f t="shared" si="24"/>
        <v>CONTRACT#4746243</v>
      </c>
    </row>
    <row r="1150" spans="5:8" x14ac:dyDescent="0.25">
      <c r="E1150" t="str">
        <f>""</f>
        <v/>
      </c>
      <c r="F1150" t="str">
        <f>""</f>
        <v/>
      </c>
      <c r="H1150" t="str">
        <f t="shared" si="24"/>
        <v>CONTRACT#4746243</v>
      </c>
    </row>
    <row r="1151" spans="5:8" x14ac:dyDescent="0.25">
      <c r="E1151" t="str">
        <f>""</f>
        <v/>
      </c>
      <c r="F1151" t="str">
        <f>""</f>
        <v/>
      </c>
      <c r="H1151" t="str">
        <f t="shared" si="24"/>
        <v>CONTRACT#4746243</v>
      </c>
    </row>
    <row r="1152" spans="5:8" x14ac:dyDescent="0.25">
      <c r="E1152" t="str">
        <f>""</f>
        <v/>
      </c>
      <c r="F1152" t="str">
        <f>""</f>
        <v/>
      </c>
      <c r="H1152" t="str">
        <f t="shared" si="24"/>
        <v>CONTRACT#4746243</v>
      </c>
    </row>
    <row r="1153" spans="1:8" x14ac:dyDescent="0.25">
      <c r="E1153" t="str">
        <f>""</f>
        <v/>
      </c>
      <c r="F1153" t="str">
        <f>""</f>
        <v/>
      </c>
      <c r="H1153" t="str">
        <f t="shared" si="24"/>
        <v>CONTRACT#4746243</v>
      </c>
    </row>
    <row r="1154" spans="1:8" x14ac:dyDescent="0.25">
      <c r="E1154" t="str">
        <f>""</f>
        <v/>
      </c>
      <c r="F1154" t="str">
        <f>""</f>
        <v/>
      </c>
      <c r="H1154" t="str">
        <f t="shared" si="24"/>
        <v>CONTRACT#4746243</v>
      </c>
    </row>
    <row r="1155" spans="1:8" x14ac:dyDescent="0.25">
      <c r="E1155" t="str">
        <f>""</f>
        <v/>
      </c>
      <c r="F1155" t="str">
        <f>""</f>
        <v/>
      </c>
      <c r="H1155" t="str">
        <f t="shared" si="24"/>
        <v>CONTRACT#4746243</v>
      </c>
    </row>
    <row r="1156" spans="1:8" x14ac:dyDescent="0.25">
      <c r="E1156" t="str">
        <f>"5056684920 - P2"</f>
        <v>5056684920 - P2</v>
      </c>
      <c r="F1156" t="str">
        <f>"CONTRACT#4746243/PCT#2"</f>
        <v>CONTRACT#4746243/PCT#2</v>
      </c>
      <c r="G1156" s="2">
        <v>72.52</v>
      </c>
      <c r="H1156" t="str">
        <f>"CONTRACT#4746243/PCT#2"</f>
        <v>CONTRACT#4746243/PCT#2</v>
      </c>
    </row>
    <row r="1157" spans="1:8" x14ac:dyDescent="0.25">
      <c r="A1157" t="s">
        <v>327</v>
      </c>
      <c r="B1157">
        <v>82554</v>
      </c>
      <c r="C1157" s="2">
        <v>15839.8</v>
      </c>
      <c r="D1157" s="1">
        <v>43626</v>
      </c>
      <c r="E1157" t="str">
        <f>"33432180"</f>
        <v>33432180</v>
      </c>
      <c r="F1157" t="str">
        <f>"CUST#2000172616"</f>
        <v>CUST#2000172616</v>
      </c>
      <c r="G1157" s="2">
        <v>7919.9</v>
      </c>
      <c r="H1157" t="str">
        <f t="shared" ref="H1157:H1188" si="25">"CUST#2000172616"</f>
        <v>CUST#2000172616</v>
      </c>
    </row>
    <row r="1158" spans="1:8" x14ac:dyDescent="0.25">
      <c r="E1158" t="str">
        <f>""</f>
        <v/>
      </c>
      <c r="F1158" t="str">
        <f>""</f>
        <v/>
      </c>
      <c r="H1158" t="str">
        <f t="shared" si="25"/>
        <v>CUST#2000172616</v>
      </c>
    </row>
    <row r="1159" spans="1:8" x14ac:dyDescent="0.25">
      <c r="E1159" t="str">
        <f>""</f>
        <v/>
      </c>
      <c r="F1159" t="str">
        <f>""</f>
        <v/>
      </c>
      <c r="H1159" t="str">
        <f t="shared" si="25"/>
        <v>CUST#2000172616</v>
      </c>
    </row>
    <row r="1160" spans="1:8" x14ac:dyDescent="0.25">
      <c r="E1160" t="str">
        <f>""</f>
        <v/>
      </c>
      <c r="F1160" t="str">
        <f>""</f>
        <v/>
      </c>
      <c r="H1160" t="str">
        <f t="shared" si="25"/>
        <v>CUST#2000172616</v>
      </c>
    </row>
    <row r="1161" spans="1:8" x14ac:dyDescent="0.25">
      <c r="E1161" t="str">
        <f>""</f>
        <v/>
      </c>
      <c r="F1161" t="str">
        <f>""</f>
        <v/>
      </c>
      <c r="H1161" t="str">
        <f t="shared" si="25"/>
        <v>CUST#2000172616</v>
      </c>
    </row>
    <row r="1162" spans="1:8" x14ac:dyDescent="0.25">
      <c r="E1162" t="str">
        <f>""</f>
        <v/>
      </c>
      <c r="F1162" t="str">
        <f>""</f>
        <v/>
      </c>
      <c r="H1162" t="str">
        <f t="shared" si="25"/>
        <v>CUST#2000172616</v>
      </c>
    </row>
    <row r="1163" spans="1:8" x14ac:dyDescent="0.25">
      <c r="E1163" t="str">
        <f>""</f>
        <v/>
      </c>
      <c r="F1163" t="str">
        <f>""</f>
        <v/>
      </c>
      <c r="H1163" t="str">
        <f t="shared" si="25"/>
        <v>CUST#2000172616</v>
      </c>
    </row>
    <row r="1164" spans="1:8" x14ac:dyDescent="0.25">
      <c r="E1164" t="str">
        <f>""</f>
        <v/>
      </c>
      <c r="F1164" t="str">
        <f>""</f>
        <v/>
      </c>
      <c r="H1164" t="str">
        <f t="shared" si="25"/>
        <v>CUST#2000172616</v>
      </c>
    </row>
    <row r="1165" spans="1:8" x14ac:dyDescent="0.25">
      <c r="E1165" t="str">
        <f>""</f>
        <v/>
      </c>
      <c r="F1165" t="str">
        <f>""</f>
        <v/>
      </c>
      <c r="H1165" t="str">
        <f t="shared" si="25"/>
        <v>CUST#2000172616</v>
      </c>
    </row>
    <row r="1166" spans="1:8" x14ac:dyDescent="0.25">
      <c r="E1166" t="str">
        <f>""</f>
        <v/>
      </c>
      <c r="F1166" t="str">
        <f>""</f>
        <v/>
      </c>
      <c r="H1166" t="str">
        <f t="shared" si="25"/>
        <v>CUST#2000172616</v>
      </c>
    </row>
    <row r="1167" spans="1:8" x14ac:dyDescent="0.25">
      <c r="E1167" t="str">
        <f>""</f>
        <v/>
      </c>
      <c r="F1167" t="str">
        <f>""</f>
        <v/>
      </c>
      <c r="H1167" t="str">
        <f t="shared" si="25"/>
        <v>CUST#2000172616</v>
      </c>
    </row>
    <row r="1168" spans="1:8" x14ac:dyDescent="0.25">
      <c r="E1168" t="str">
        <f>""</f>
        <v/>
      </c>
      <c r="F1168" t="str">
        <f>""</f>
        <v/>
      </c>
      <c r="H1168" t="str">
        <f t="shared" si="25"/>
        <v>CUST#2000172616</v>
      </c>
    </row>
    <row r="1169" spans="5:8" x14ac:dyDescent="0.25">
      <c r="E1169" t="str">
        <f>""</f>
        <v/>
      </c>
      <c r="F1169" t="str">
        <f>""</f>
        <v/>
      </c>
      <c r="H1169" t="str">
        <f t="shared" si="25"/>
        <v>CUST#2000172616</v>
      </c>
    </row>
    <row r="1170" spans="5:8" x14ac:dyDescent="0.25">
      <c r="E1170" t="str">
        <f>""</f>
        <v/>
      </c>
      <c r="F1170" t="str">
        <f>""</f>
        <v/>
      </c>
      <c r="H1170" t="str">
        <f t="shared" si="25"/>
        <v>CUST#2000172616</v>
      </c>
    </row>
    <row r="1171" spans="5:8" x14ac:dyDescent="0.25">
      <c r="E1171" t="str">
        <f>""</f>
        <v/>
      </c>
      <c r="F1171" t="str">
        <f>""</f>
        <v/>
      </c>
      <c r="H1171" t="str">
        <f t="shared" si="25"/>
        <v>CUST#2000172616</v>
      </c>
    </row>
    <row r="1172" spans="5:8" x14ac:dyDescent="0.25">
      <c r="E1172" t="str">
        <f>""</f>
        <v/>
      </c>
      <c r="F1172" t="str">
        <f>""</f>
        <v/>
      </c>
      <c r="H1172" t="str">
        <f t="shared" si="25"/>
        <v>CUST#2000172616</v>
      </c>
    </row>
    <row r="1173" spans="5:8" x14ac:dyDescent="0.25">
      <c r="E1173" t="str">
        <f>""</f>
        <v/>
      </c>
      <c r="F1173" t="str">
        <f>""</f>
        <v/>
      </c>
      <c r="H1173" t="str">
        <f t="shared" si="25"/>
        <v>CUST#2000172616</v>
      </c>
    </row>
    <row r="1174" spans="5:8" x14ac:dyDescent="0.25">
      <c r="E1174" t="str">
        <f>""</f>
        <v/>
      </c>
      <c r="F1174" t="str">
        <f>""</f>
        <v/>
      </c>
      <c r="H1174" t="str">
        <f t="shared" si="25"/>
        <v>CUST#2000172616</v>
      </c>
    </row>
    <row r="1175" spans="5:8" x14ac:dyDescent="0.25">
      <c r="E1175" t="str">
        <f>""</f>
        <v/>
      </c>
      <c r="F1175" t="str">
        <f>""</f>
        <v/>
      </c>
      <c r="H1175" t="str">
        <f t="shared" si="25"/>
        <v>CUST#2000172616</v>
      </c>
    </row>
    <row r="1176" spans="5:8" x14ac:dyDescent="0.25">
      <c r="E1176" t="str">
        <f>""</f>
        <v/>
      </c>
      <c r="F1176" t="str">
        <f>""</f>
        <v/>
      </c>
      <c r="H1176" t="str">
        <f t="shared" si="25"/>
        <v>CUST#2000172616</v>
      </c>
    </row>
    <row r="1177" spans="5:8" x14ac:dyDescent="0.25">
      <c r="E1177" t="str">
        <f>""</f>
        <v/>
      </c>
      <c r="F1177" t="str">
        <f>""</f>
        <v/>
      </c>
      <c r="H1177" t="str">
        <f t="shared" si="25"/>
        <v>CUST#2000172616</v>
      </c>
    </row>
    <row r="1178" spans="5:8" x14ac:dyDescent="0.25">
      <c r="E1178" t="str">
        <f>""</f>
        <v/>
      </c>
      <c r="F1178" t="str">
        <f>""</f>
        <v/>
      </c>
      <c r="H1178" t="str">
        <f t="shared" si="25"/>
        <v>CUST#2000172616</v>
      </c>
    </row>
    <row r="1179" spans="5:8" x14ac:dyDescent="0.25">
      <c r="E1179" t="str">
        <f>""</f>
        <v/>
      </c>
      <c r="F1179" t="str">
        <f>""</f>
        <v/>
      </c>
      <c r="H1179" t="str">
        <f t="shared" si="25"/>
        <v>CUST#2000172616</v>
      </c>
    </row>
    <row r="1180" spans="5:8" x14ac:dyDescent="0.25">
      <c r="E1180" t="str">
        <f>""</f>
        <v/>
      </c>
      <c r="F1180" t="str">
        <f>""</f>
        <v/>
      </c>
      <c r="H1180" t="str">
        <f t="shared" si="25"/>
        <v>CUST#2000172616</v>
      </c>
    </row>
    <row r="1181" spans="5:8" x14ac:dyDescent="0.25">
      <c r="E1181" t="str">
        <f>""</f>
        <v/>
      </c>
      <c r="F1181" t="str">
        <f>""</f>
        <v/>
      </c>
      <c r="H1181" t="str">
        <f t="shared" si="25"/>
        <v>CUST#2000172616</v>
      </c>
    </row>
    <row r="1182" spans="5:8" x14ac:dyDescent="0.25">
      <c r="E1182" t="str">
        <f>""</f>
        <v/>
      </c>
      <c r="F1182" t="str">
        <f>""</f>
        <v/>
      </c>
      <c r="H1182" t="str">
        <f t="shared" si="25"/>
        <v>CUST#2000172616</v>
      </c>
    </row>
    <row r="1183" spans="5:8" x14ac:dyDescent="0.25">
      <c r="E1183" t="str">
        <f>""</f>
        <v/>
      </c>
      <c r="F1183" t="str">
        <f>""</f>
        <v/>
      </c>
      <c r="H1183" t="str">
        <f t="shared" si="25"/>
        <v>CUST#2000172616</v>
      </c>
    </row>
    <row r="1184" spans="5:8" x14ac:dyDescent="0.25">
      <c r="E1184" t="str">
        <f>""</f>
        <v/>
      </c>
      <c r="F1184" t="str">
        <f>""</f>
        <v/>
      </c>
      <c r="H1184" t="str">
        <f t="shared" si="25"/>
        <v>CUST#2000172616</v>
      </c>
    </row>
    <row r="1185" spans="5:8" x14ac:dyDescent="0.25">
      <c r="E1185" t="str">
        <f>""</f>
        <v/>
      </c>
      <c r="F1185" t="str">
        <f>""</f>
        <v/>
      </c>
      <c r="H1185" t="str">
        <f t="shared" si="25"/>
        <v>CUST#2000172616</v>
      </c>
    </row>
    <row r="1186" spans="5:8" x14ac:dyDescent="0.25">
      <c r="E1186" t="str">
        <f>"33555779"</f>
        <v>33555779</v>
      </c>
      <c r="F1186" t="str">
        <f>"CUST#2000172616"</f>
        <v>CUST#2000172616</v>
      </c>
      <c r="G1186" s="2">
        <v>7919.9</v>
      </c>
      <c r="H1186" t="str">
        <f t="shared" si="25"/>
        <v>CUST#2000172616</v>
      </c>
    </row>
    <row r="1187" spans="5:8" x14ac:dyDescent="0.25">
      <c r="E1187" t="str">
        <f>""</f>
        <v/>
      </c>
      <c r="F1187" t="str">
        <f>""</f>
        <v/>
      </c>
      <c r="H1187" t="str">
        <f t="shared" si="25"/>
        <v>CUST#2000172616</v>
      </c>
    </row>
    <row r="1188" spans="5:8" x14ac:dyDescent="0.25">
      <c r="E1188" t="str">
        <f>""</f>
        <v/>
      </c>
      <c r="F1188" t="str">
        <f>""</f>
        <v/>
      </c>
      <c r="H1188" t="str">
        <f t="shared" si="25"/>
        <v>CUST#2000172616</v>
      </c>
    </row>
    <row r="1189" spans="5:8" x14ac:dyDescent="0.25">
      <c r="E1189" t="str">
        <f>""</f>
        <v/>
      </c>
      <c r="F1189" t="str">
        <f>""</f>
        <v/>
      </c>
      <c r="H1189" t="str">
        <f t="shared" ref="H1189:H1214" si="26">"CUST#2000172616"</f>
        <v>CUST#2000172616</v>
      </c>
    </row>
    <row r="1190" spans="5:8" x14ac:dyDescent="0.25">
      <c r="E1190" t="str">
        <f>""</f>
        <v/>
      </c>
      <c r="F1190" t="str">
        <f>""</f>
        <v/>
      </c>
      <c r="H1190" t="str">
        <f t="shared" si="26"/>
        <v>CUST#2000172616</v>
      </c>
    </row>
    <row r="1191" spans="5:8" x14ac:dyDescent="0.25">
      <c r="E1191" t="str">
        <f>""</f>
        <v/>
      </c>
      <c r="F1191" t="str">
        <f>""</f>
        <v/>
      </c>
      <c r="H1191" t="str">
        <f t="shared" si="26"/>
        <v>CUST#2000172616</v>
      </c>
    </row>
    <row r="1192" spans="5:8" x14ac:dyDescent="0.25">
      <c r="E1192" t="str">
        <f>""</f>
        <v/>
      </c>
      <c r="F1192" t="str">
        <f>""</f>
        <v/>
      </c>
      <c r="H1192" t="str">
        <f t="shared" si="26"/>
        <v>CUST#2000172616</v>
      </c>
    </row>
    <row r="1193" spans="5:8" x14ac:dyDescent="0.25">
      <c r="E1193" t="str">
        <f>""</f>
        <v/>
      </c>
      <c r="F1193" t="str">
        <f>""</f>
        <v/>
      </c>
      <c r="H1193" t="str">
        <f t="shared" si="26"/>
        <v>CUST#2000172616</v>
      </c>
    </row>
    <row r="1194" spans="5:8" x14ac:dyDescent="0.25">
      <c r="E1194" t="str">
        <f>""</f>
        <v/>
      </c>
      <c r="F1194" t="str">
        <f>""</f>
        <v/>
      </c>
      <c r="H1194" t="str">
        <f t="shared" si="26"/>
        <v>CUST#2000172616</v>
      </c>
    </row>
    <row r="1195" spans="5:8" x14ac:dyDescent="0.25">
      <c r="E1195" t="str">
        <f>""</f>
        <v/>
      </c>
      <c r="F1195" t="str">
        <f>""</f>
        <v/>
      </c>
      <c r="H1195" t="str">
        <f t="shared" si="26"/>
        <v>CUST#2000172616</v>
      </c>
    </row>
    <row r="1196" spans="5:8" x14ac:dyDescent="0.25">
      <c r="E1196" t="str">
        <f>""</f>
        <v/>
      </c>
      <c r="F1196" t="str">
        <f>""</f>
        <v/>
      </c>
      <c r="H1196" t="str">
        <f t="shared" si="26"/>
        <v>CUST#2000172616</v>
      </c>
    </row>
    <row r="1197" spans="5:8" x14ac:dyDescent="0.25">
      <c r="E1197" t="str">
        <f>""</f>
        <v/>
      </c>
      <c r="F1197" t="str">
        <f>""</f>
        <v/>
      </c>
      <c r="H1197" t="str">
        <f t="shared" si="26"/>
        <v>CUST#2000172616</v>
      </c>
    </row>
    <row r="1198" spans="5:8" x14ac:dyDescent="0.25">
      <c r="E1198" t="str">
        <f>""</f>
        <v/>
      </c>
      <c r="F1198" t="str">
        <f>""</f>
        <v/>
      </c>
      <c r="H1198" t="str">
        <f t="shared" si="26"/>
        <v>CUST#2000172616</v>
      </c>
    </row>
    <row r="1199" spans="5:8" x14ac:dyDescent="0.25">
      <c r="E1199" t="str">
        <f>""</f>
        <v/>
      </c>
      <c r="F1199" t="str">
        <f>""</f>
        <v/>
      </c>
      <c r="H1199" t="str">
        <f t="shared" si="26"/>
        <v>CUST#2000172616</v>
      </c>
    </row>
    <row r="1200" spans="5:8" x14ac:dyDescent="0.25">
      <c r="E1200" t="str">
        <f>""</f>
        <v/>
      </c>
      <c r="F1200" t="str">
        <f>""</f>
        <v/>
      </c>
      <c r="H1200" t="str">
        <f t="shared" si="26"/>
        <v>CUST#2000172616</v>
      </c>
    </row>
    <row r="1201" spans="1:8" x14ac:dyDescent="0.25">
      <c r="E1201" t="str">
        <f>""</f>
        <v/>
      </c>
      <c r="F1201" t="str">
        <f>""</f>
        <v/>
      </c>
      <c r="H1201" t="str">
        <f t="shared" si="26"/>
        <v>CUST#2000172616</v>
      </c>
    </row>
    <row r="1202" spans="1:8" x14ac:dyDescent="0.25">
      <c r="E1202" t="str">
        <f>""</f>
        <v/>
      </c>
      <c r="F1202" t="str">
        <f>""</f>
        <v/>
      </c>
      <c r="H1202" t="str">
        <f t="shared" si="26"/>
        <v>CUST#2000172616</v>
      </c>
    </row>
    <row r="1203" spans="1:8" x14ac:dyDescent="0.25">
      <c r="E1203" t="str">
        <f>""</f>
        <v/>
      </c>
      <c r="F1203" t="str">
        <f>""</f>
        <v/>
      </c>
      <c r="H1203" t="str">
        <f t="shared" si="26"/>
        <v>CUST#2000172616</v>
      </c>
    </row>
    <row r="1204" spans="1:8" x14ac:dyDescent="0.25">
      <c r="E1204" t="str">
        <f>""</f>
        <v/>
      </c>
      <c r="F1204" t="str">
        <f>""</f>
        <v/>
      </c>
      <c r="H1204" t="str">
        <f t="shared" si="26"/>
        <v>CUST#2000172616</v>
      </c>
    </row>
    <row r="1205" spans="1:8" x14ac:dyDescent="0.25">
      <c r="E1205" t="str">
        <f>""</f>
        <v/>
      </c>
      <c r="F1205" t="str">
        <f>""</f>
        <v/>
      </c>
      <c r="H1205" t="str">
        <f t="shared" si="26"/>
        <v>CUST#2000172616</v>
      </c>
    </row>
    <row r="1206" spans="1:8" x14ac:dyDescent="0.25">
      <c r="E1206" t="str">
        <f>""</f>
        <v/>
      </c>
      <c r="F1206" t="str">
        <f>""</f>
        <v/>
      </c>
      <c r="H1206" t="str">
        <f t="shared" si="26"/>
        <v>CUST#2000172616</v>
      </c>
    </row>
    <row r="1207" spans="1:8" x14ac:dyDescent="0.25">
      <c r="E1207" t="str">
        <f>""</f>
        <v/>
      </c>
      <c r="F1207" t="str">
        <f>""</f>
        <v/>
      </c>
      <c r="H1207" t="str">
        <f t="shared" si="26"/>
        <v>CUST#2000172616</v>
      </c>
    </row>
    <row r="1208" spans="1:8" x14ac:dyDescent="0.25">
      <c r="E1208" t="str">
        <f>""</f>
        <v/>
      </c>
      <c r="F1208" t="str">
        <f>""</f>
        <v/>
      </c>
      <c r="H1208" t="str">
        <f t="shared" si="26"/>
        <v>CUST#2000172616</v>
      </c>
    </row>
    <row r="1209" spans="1:8" x14ac:dyDescent="0.25">
      <c r="E1209" t="str">
        <f>""</f>
        <v/>
      </c>
      <c r="F1209" t="str">
        <f>""</f>
        <v/>
      </c>
      <c r="H1209" t="str">
        <f t="shared" si="26"/>
        <v>CUST#2000172616</v>
      </c>
    </row>
    <row r="1210" spans="1:8" x14ac:dyDescent="0.25">
      <c r="E1210" t="str">
        <f>""</f>
        <v/>
      </c>
      <c r="F1210" t="str">
        <f>""</f>
        <v/>
      </c>
      <c r="H1210" t="str">
        <f t="shared" si="26"/>
        <v>CUST#2000172616</v>
      </c>
    </row>
    <row r="1211" spans="1:8" x14ac:dyDescent="0.25">
      <c r="E1211" t="str">
        <f>""</f>
        <v/>
      </c>
      <c r="F1211" t="str">
        <f>""</f>
        <v/>
      </c>
      <c r="H1211" t="str">
        <f t="shared" si="26"/>
        <v>CUST#2000172616</v>
      </c>
    </row>
    <row r="1212" spans="1:8" x14ac:dyDescent="0.25">
      <c r="E1212" t="str">
        <f>""</f>
        <v/>
      </c>
      <c r="F1212" t="str">
        <f>""</f>
        <v/>
      </c>
      <c r="H1212" t="str">
        <f t="shared" si="26"/>
        <v>CUST#2000172616</v>
      </c>
    </row>
    <row r="1213" spans="1:8" x14ac:dyDescent="0.25">
      <c r="E1213" t="str">
        <f>""</f>
        <v/>
      </c>
      <c r="F1213" t="str">
        <f>""</f>
        <v/>
      </c>
      <c r="H1213" t="str">
        <f t="shared" si="26"/>
        <v>CUST#2000172616</v>
      </c>
    </row>
    <row r="1214" spans="1:8" x14ac:dyDescent="0.25">
      <c r="E1214" t="str">
        <f>""</f>
        <v/>
      </c>
      <c r="F1214" t="str">
        <f>""</f>
        <v/>
      </c>
      <c r="H1214" t="str">
        <f t="shared" si="26"/>
        <v>CUST#2000172616</v>
      </c>
    </row>
    <row r="1215" spans="1:8" x14ac:dyDescent="0.25">
      <c r="A1215" t="s">
        <v>328</v>
      </c>
      <c r="B1215">
        <v>954</v>
      </c>
      <c r="C1215" s="2">
        <v>450</v>
      </c>
      <c r="D1215" s="1">
        <v>43641</v>
      </c>
      <c r="E1215" t="str">
        <f>"BCMAY2019"</f>
        <v>BCMAY2019</v>
      </c>
      <c r="F1215" t="str">
        <f>"INV BCMAY2019"</f>
        <v>INV BCMAY2019</v>
      </c>
      <c r="G1215" s="2">
        <v>450</v>
      </c>
      <c r="H1215" t="str">
        <f>"INV BCMAY2019"</f>
        <v>INV BCMAY2019</v>
      </c>
    </row>
    <row r="1216" spans="1:8" x14ac:dyDescent="0.25">
      <c r="A1216" t="s">
        <v>329</v>
      </c>
      <c r="B1216">
        <v>82555</v>
      </c>
      <c r="C1216" s="2">
        <v>28.7</v>
      </c>
      <c r="D1216" s="1">
        <v>43626</v>
      </c>
      <c r="E1216" t="str">
        <f>"4620790"</f>
        <v>4620790</v>
      </c>
      <c r="F1216" t="str">
        <f>"INV 4620790"</f>
        <v>INV 4620790</v>
      </c>
      <c r="G1216" s="2">
        <v>13.16</v>
      </c>
      <c r="H1216" t="str">
        <f>"INV 4620790"</f>
        <v>INV 4620790</v>
      </c>
    </row>
    <row r="1217" spans="1:8" x14ac:dyDescent="0.25">
      <c r="E1217" t="str">
        <f>"4621581"</f>
        <v>4621581</v>
      </c>
      <c r="F1217" t="str">
        <f>"CUST ID:90564/GEN SVCS"</f>
        <v>CUST ID:90564/GEN SVCS</v>
      </c>
      <c r="G1217" s="2">
        <v>15.54</v>
      </c>
      <c r="H1217" t="str">
        <f>"CUST ID:90564/GEN SVCS"</f>
        <v>CUST ID:90564/GEN SVCS</v>
      </c>
    </row>
    <row r="1218" spans="1:8" x14ac:dyDescent="0.25">
      <c r="A1218" t="s">
        <v>330</v>
      </c>
      <c r="B1218">
        <v>82782</v>
      </c>
      <c r="C1218" s="2">
        <v>300</v>
      </c>
      <c r="D1218" s="1">
        <v>43640</v>
      </c>
      <c r="E1218" t="str">
        <f>"201906180040"</f>
        <v>201906180040</v>
      </c>
      <c r="F1218" t="str">
        <f>"ANNUAL SUBSCRIPTION"</f>
        <v>ANNUAL SUBSCRIPTION</v>
      </c>
      <c r="G1218" s="2">
        <v>300</v>
      </c>
      <c r="H1218" t="str">
        <f>"ANNUAL SUBSCRIPTION"</f>
        <v>ANNUAL SUBSCRIPTION</v>
      </c>
    </row>
    <row r="1219" spans="1:8" x14ac:dyDescent="0.25">
      <c r="A1219" t="s">
        <v>331</v>
      </c>
      <c r="B1219">
        <v>82783</v>
      </c>
      <c r="C1219" s="2">
        <v>50</v>
      </c>
      <c r="D1219" s="1">
        <v>43640</v>
      </c>
      <c r="E1219" t="str">
        <f>"190520-5"</f>
        <v>190520-5</v>
      </c>
      <c r="F1219" t="str">
        <f>"Uniform Shirts"</f>
        <v>Uniform Shirts</v>
      </c>
      <c r="G1219" s="2">
        <v>50</v>
      </c>
      <c r="H1219" t="str">
        <f>"Blk Long Sleeve"</f>
        <v>Blk Long Sleeve</v>
      </c>
    </row>
    <row r="1220" spans="1:8" x14ac:dyDescent="0.25">
      <c r="E1220" t="str">
        <f>""</f>
        <v/>
      </c>
      <c r="F1220" t="str">
        <f>""</f>
        <v/>
      </c>
      <c r="H1220" t="str">
        <f>"Blk Short Sleeve"</f>
        <v>Blk Short Sleeve</v>
      </c>
    </row>
    <row r="1221" spans="1:8" x14ac:dyDescent="0.25">
      <c r="E1221" t="str">
        <f>""</f>
        <v/>
      </c>
      <c r="F1221" t="str">
        <f>""</f>
        <v/>
      </c>
      <c r="H1221" t="str">
        <f>"Cherry Short Sleeve"</f>
        <v>Cherry Short Sleeve</v>
      </c>
    </row>
    <row r="1222" spans="1:8" x14ac:dyDescent="0.25">
      <c r="E1222" t="str">
        <f>""</f>
        <v/>
      </c>
      <c r="F1222" t="str">
        <f>""</f>
        <v/>
      </c>
      <c r="H1222" t="str">
        <f>"Blk V-Neck"</f>
        <v>Blk V-Neck</v>
      </c>
    </row>
    <row r="1223" spans="1:8" x14ac:dyDescent="0.25">
      <c r="E1223" t="str">
        <f>""</f>
        <v/>
      </c>
      <c r="F1223" t="str">
        <f>""</f>
        <v/>
      </c>
      <c r="H1223" t="str">
        <f>"Charcoal V-Neck"</f>
        <v>Charcoal V-Neck</v>
      </c>
    </row>
    <row r="1224" spans="1:8" x14ac:dyDescent="0.25">
      <c r="A1224" t="s">
        <v>332</v>
      </c>
      <c r="B1224">
        <v>82556</v>
      </c>
      <c r="C1224" s="2">
        <v>148</v>
      </c>
      <c r="D1224" s="1">
        <v>43626</v>
      </c>
      <c r="E1224" t="str">
        <f>"201906049578"</f>
        <v>201906049578</v>
      </c>
      <c r="F1224" t="str">
        <f>"LPHCP RECORDING FEES"</f>
        <v>LPHCP RECORDING FEES</v>
      </c>
      <c r="G1224" s="2">
        <v>148</v>
      </c>
      <c r="H1224" t="str">
        <f>"LPHCP RECORDING FEES"</f>
        <v>LPHCP RECORDING FEES</v>
      </c>
    </row>
    <row r="1225" spans="1:8" x14ac:dyDescent="0.25">
      <c r="A1225" t="s">
        <v>332</v>
      </c>
      <c r="B1225">
        <v>82557</v>
      </c>
      <c r="C1225" s="2">
        <v>344</v>
      </c>
      <c r="D1225" s="1">
        <v>43626</v>
      </c>
      <c r="E1225" t="str">
        <f>"201906049672"</f>
        <v>201906049672</v>
      </c>
      <c r="F1225" t="str">
        <f>"DEVELOPMENT SVCS RECORDING FEE"</f>
        <v>DEVELOPMENT SVCS RECORDING FEE</v>
      </c>
      <c r="G1225" s="2">
        <v>344</v>
      </c>
      <c r="H1225" t="str">
        <f>"DEVELOPMENT SVCS RECORDING FEE"</f>
        <v>DEVELOPMENT SVCS RECORDING FEE</v>
      </c>
    </row>
    <row r="1226" spans="1:8" x14ac:dyDescent="0.25">
      <c r="A1226" t="s">
        <v>332</v>
      </c>
      <c r="B1226">
        <v>82784</v>
      </c>
      <c r="C1226" s="2">
        <v>240</v>
      </c>
      <c r="D1226" s="1">
        <v>43640</v>
      </c>
      <c r="E1226" t="str">
        <f>"201906189931"</f>
        <v>201906189931</v>
      </c>
      <c r="F1226" t="str">
        <f>"LPHCP RECORDING FEES"</f>
        <v>LPHCP RECORDING FEES</v>
      </c>
      <c r="G1226" s="2">
        <v>240</v>
      </c>
      <c r="H1226" t="str">
        <f>"LPHCP RECORDING FEES"</f>
        <v>LPHCP RECORDING FEES</v>
      </c>
    </row>
    <row r="1227" spans="1:8" x14ac:dyDescent="0.25">
      <c r="A1227" t="s">
        <v>332</v>
      </c>
      <c r="B1227">
        <v>82785</v>
      </c>
      <c r="C1227" s="2">
        <v>172</v>
      </c>
      <c r="D1227" s="1">
        <v>43640</v>
      </c>
      <c r="E1227" t="str">
        <f>"201906180003"</f>
        <v>201906180003</v>
      </c>
      <c r="F1227" t="str">
        <f>"DEVELOPMENT SVCS RECORDING FEE"</f>
        <v>DEVELOPMENT SVCS RECORDING FEE</v>
      </c>
      <c r="G1227" s="2">
        <v>172</v>
      </c>
      <c r="H1227" t="str">
        <f>"DEVELOPMENT SVCS RECORDING FEE"</f>
        <v>DEVELOPMENT SVCS RECORDING FEE</v>
      </c>
    </row>
    <row r="1228" spans="1:8" x14ac:dyDescent="0.25">
      <c r="A1228" t="s">
        <v>333</v>
      </c>
      <c r="B1228">
        <v>82786</v>
      </c>
      <c r="C1228" s="2">
        <v>337.97</v>
      </c>
      <c r="D1228" s="1">
        <v>43640</v>
      </c>
      <c r="E1228" t="str">
        <f>"00636-928435"</f>
        <v>00636-928435</v>
      </c>
      <c r="F1228" t="str">
        <f>"ACCT#353829/PCT#4"</f>
        <v>ACCT#353829/PCT#4</v>
      </c>
      <c r="G1228" s="2">
        <v>337.97</v>
      </c>
      <c r="H1228" t="str">
        <f>"ACCT#353829/PCT#4"</f>
        <v>ACCT#353829/PCT#4</v>
      </c>
    </row>
    <row r="1229" spans="1:8" x14ac:dyDescent="0.25">
      <c r="A1229" t="s">
        <v>334</v>
      </c>
      <c r="B1229">
        <v>82787</v>
      </c>
      <c r="C1229" s="2">
        <v>530</v>
      </c>
      <c r="D1229" s="1">
        <v>43640</v>
      </c>
      <c r="E1229" t="str">
        <f>"201906180037"</f>
        <v>201906180037</v>
      </c>
      <c r="F1229" t="str">
        <f>"REGISTRATION"</f>
        <v>REGISTRATION</v>
      </c>
      <c r="G1229" s="2">
        <v>530</v>
      </c>
      <c r="H1229" t="str">
        <f>"REGISTRATION"</f>
        <v>REGISTRATION</v>
      </c>
    </row>
    <row r="1230" spans="1:8" x14ac:dyDescent="0.25">
      <c r="A1230" t="s">
        <v>335</v>
      </c>
      <c r="B1230">
        <v>989</v>
      </c>
      <c r="C1230" s="2">
        <v>159.77000000000001</v>
      </c>
      <c r="D1230" s="1">
        <v>43641</v>
      </c>
      <c r="E1230" t="str">
        <f>"201906180013"</f>
        <v>201906180013</v>
      </c>
      <c r="F1230" t="str">
        <f>"INDIGENT HEALTH"</f>
        <v>INDIGENT HEALTH</v>
      </c>
      <c r="G1230" s="2">
        <v>159.77000000000001</v>
      </c>
      <c r="H1230" t="str">
        <f>"INDIGENT HEALTH"</f>
        <v>INDIGENT HEALTH</v>
      </c>
    </row>
    <row r="1231" spans="1:8" x14ac:dyDescent="0.25">
      <c r="A1231" t="s">
        <v>336</v>
      </c>
      <c r="B1231">
        <v>82558</v>
      </c>
      <c r="C1231" s="2">
        <v>1000</v>
      </c>
      <c r="D1231" s="1">
        <v>43626</v>
      </c>
      <c r="E1231" t="str">
        <f>"201906049677"</f>
        <v>201906049677</v>
      </c>
      <c r="F1231" t="str">
        <f>"18-S-05265/ACCT#20035199437"</f>
        <v>18-S-05265/ACCT#20035199437</v>
      </c>
      <c r="G1231" s="2">
        <v>1000</v>
      </c>
      <c r="H1231" t="str">
        <f>"18-S-05265/ACCT#20035199437"</f>
        <v>18-S-05265/ACCT#20035199437</v>
      </c>
    </row>
    <row r="1232" spans="1:8" x14ac:dyDescent="0.25">
      <c r="A1232" t="s">
        <v>337</v>
      </c>
      <c r="B1232">
        <v>82788</v>
      </c>
      <c r="C1232" s="2">
        <v>79.290000000000006</v>
      </c>
      <c r="D1232" s="1">
        <v>43640</v>
      </c>
      <c r="E1232" t="str">
        <f>"201906180014"</f>
        <v>201906180014</v>
      </c>
      <c r="F1232" t="str">
        <f>"INDIGENT HEALTH"</f>
        <v>INDIGENT HEALTH</v>
      </c>
      <c r="G1232" s="2">
        <v>79.290000000000006</v>
      </c>
      <c r="H1232" t="str">
        <f>"INDIGENT HEALTH"</f>
        <v>INDIGENT HEALTH</v>
      </c>
    </row>
    <row r="1233" spans="1:9" x14ac:dyDescent="0.25">
      <c r="E1233" t="str">
        <f>""</f>
        <v/>
      </c>
      <c r="F1233" t="str">
        <f>""</f>
        <v/>
      </c>
      <c r="H1233" t="str">
        <f>"INDIGENT HEALTH"</f>
        <v>INDIGENT HEALTH</v>
      </c>
    </row>
    <row r="1234" spans="1:9" x14ac:dyDescent="0.25">
      <c r="A1234" t="s">
        <v>338</v>
      </c>
      <c r="B1234">
        <v>82789</v>
      </c>
      <c r="C1234" s="2">
        <v>1165.21</v>
      </c>
      <c r="D1234" s="1">
        <v>43640</v>
      </c>
      <c r="E1234" t="str">
        <f>"201906180015"</f>
        <v>201906180015</v>
      </c>
      <c r="F1234" t="str">
        <f>"INDIGENT HEALTH"</f>
        <v>INDIGENT HEALTH</v>
      </c>
      <c r="G1234" s="2">
        <v>1165.21</v>
      </c>
      <c r="H1234" t="str">
        <f>"INDIGENT HEALTH"</f>
        <v>INDIGENT HEALTH</v>
      </c>
    </row>
    <row r="1235" spans="1:9" x14ac:dyDescent="0.25">
      <c r="A1235" t="s">
        <v>339</v>
      </c>
      <c r="B1235">
        <v>82790</v>
      </c>
      <c r="C1235" s="2">
        <v>50</v>
      </c>
      <c r="D1235" s="1">
        <v>43640</v>
      </c>
      <c r="E1235" t="str">
        <f>"201906200076"</f>
        <v>201906200076</v>
      </c>
      <c r="F1235" t="str">
        <f>"FERAL HOGS"</f>
        <v>FERAL HOGS</v>
      </c>
      <c r="G1235" s="2">
        <v>50</v>
      </c>
      <c r="H1235" t="str">
        <f>"FERAL HOGS"</f>
        <v>FERAL HOGS</v>
      </c>
    </row>
    <row r="1236" spans="1:9" x14ac:dyDescent="0.25">
      <c r="A1236" t="s">
        <v>340</v>
      </c>
      <c r="B1236">
        <v>886</v>
      </c>
      <c r="C1236" s="2">
        <v>8152</v>
      </c>
      <c r="D1236" s="1">
        <v>43627</v>
      </c>
      <c r="E1236" t="str">
        <f>"PPDINV0012581 &amp; 2"</f>
        <v>PPDINV0012581 &amp; 2</v>
      </c>
      <c r="F1236" t="str">
        <f>"INV PPDINV0012582"</f>
        <v>INV PPDINV0012582</v>
      </c>
      <c r="G1236" s="2">
        <v>8152</v>
      </c>
      <c r="H1236" t="str">
        <f>"INV PPDINV0012582"</f>
        <v>INV PPDINV0012582</v>
      </c>
    </row>
    <row r="1237" spans="1:9" x14ac:dyDescent="0.25">
      <c r="E1237" t="str">
        <f>""</f>
        <v/>
      </c>
      <c r="F1237" t="str">
        <f>""</f>
        <v/>
      </c>
      <c r="H1237" t="str">
        <f>"INV PPDINV0012581"</f>
        <v>INV PPDINV0012581</v>
      </c>
    </row>
    <row r="1238" spans="1:9" x14ac:dyDescent="0.25">
      <c r="A1238" t="s">
        <v>341</v>
      </c>
      <c r="B1238">
        <v>82791</v>
      </c>
      <c r="C1238" s="2">
        <v>3814.12</v>
      </c>
      <c r="D1238" s="1">
        <v>43640</v>
      </c>
      <c r="E1238" t="str">
        <f>"201906180016"</f>
        <v>201906180016</v>
      </c>
      <c r="F1238" t="str">
        <f>"INDIGENT HEALTH"</f>
        <v>INDIGENT HEALTH</v>
      </c>
      <c r="G1238" s="2">
        <v>481.12</v>
      </c>
      <c r="H1238" t="str">
        <f>"INDIGENT HEALTH"</f>
        <v>INDIGENT HEALTH</v>
      </c>
    </row>
    <row r="1239" spans="1:9" x14ac:dyDescent="0.25">
      <c r="E1239" t="str">
        <f>"520191"</f>
        <v>520191</v>
      </c>
      <c r="F1239" t="str">
        <f>"4282*42*24/BU DEPT#30061-66752"</f>
        <v>4282*42*24/BU DEPT#30061-66752</v>
      </c>
      <c r="G1239" s="2">
        <v>3333</v>
      </c>
      <c r="H1239" t="str">
        <f>"4282*42*24/BU DEPT#30061-66752"</f>
        <v>4282*42*24/BU DEPT#30061-66752</v>
      </c>
    </row>
    <row r="1240" spans="1:9" x14ac:dyDescent="0.25">
      <c r="A1240" t="s">
        <v>342</v>
      </c>
      <c r="B1240">
        <v>82792</v>
      </c>
      <c r="C1240" s="2">
        <v>30</v>
      </c>
      <c r="D1240" s="1">
        <v>43640</v>
      </c>
      <c r="E1240" t="s">
        <v>67</v>
      </c>
      <c r="F1240" t="s">
        <v>343</v>
      </c>
      <c r="G1240" s="2" t="str">
        <f>"RESTITUTION-D. MCCOMB"</f>
        <v>RESTITUTION-D. MCCOMB</v>
      </c>
      <c r="H1240" t="str">
        <f>"210-0000"</f>
        <v>210-0000</v>
      </c>
      <c r="I1240" t="str">
        <f>""</f>
        <v/>
      </c>
    </row>
    <row r="1241" spans="1:9" x14ac:dyDescent="0.25">
      <c r="A1241" t="s">
        <v>344</v>
      </c>
      <c r="B1241">
        <v>82793</v>
      </c>
      <c r="C1241" s="2">
        <v>994</v>
      </c>
      <c r="D1241" s="1">
        <v>43640</v>
      </c>
      <c r="E1241" t="str">
        <f>"GB00324992 328042"</f>
        <v>GB00324992 328042</v>
      </c>
      <c r="F1241" t="str">
        <f>"Axis camera mount &amp; kit f"</f>
        <v>Axis camera mount &amp; kit f</v>
      </c>
      <c r="G1241" s="2">
        <v>84</v>
      </c>
      <c r="H1241" t="str">
        <f>" Part#: 5502-321"</f>
        <v xml:space="preserve"> Part#: 5502-321</v>
      </c>
    </row>
    <row r="1242" spans="1:9" x14ac:dyDescent="0.25">
      <c r="E1242" t="str">
        <f>""</f>
        <v/>
      </c>
      <c r="F1242" t="str">
        <f>""</f>
        <v/>
      </c>
      <c r="H1242" t="str">
        <f>"Part#: 5506-481"</f>
        <v>Part#: 5506-481</v>
      </c>
    </row>
    <row r="1243" spans="1:9" x14ac:dyDescent="0.25">
      <c r="E1243" t="str">
        <f>"GB00328509"</f>
        <v>GB00328509</v>
      </c>
      <c r="F1243" t="str">
        <f>"Scanner - JP1"</f>
        <v>Scanner - JP1</v>
      </c>
      <c r="G1243" s="2">
        <v>910</v>
      </c>
      <c r="H1243" t="str">
        <f>"Part#: PA03670-B065"</f>
        <v>Part#: PA03670-B065</v>
      </c>
    </row>
    <row r="1244" spans="1:9" x14ac:dyDescent="0.25">
      <c r="A1244" t="s">
        <v>345</v>
      </c>
      <c r="B1244">
        <v>82559</v>
      </c>
      <c r="C1244" s="2">
        <v>468.45</v>
      </c>
      <c r="D1244" s="1">
        <v>43626</v>
      </c>
      <c r="E1244" t="str">
        <f>"19-22748"</f>
        <v>19-22748</v>
      </c>
      <c r="F1244" t="str">
        <f>"INV 8127429054"</f>
        <v>INV 8127429054</v>
      </c>
      <c r="G1244" s="2">
        <v>130.54</v>
      </c>
      <c r="H1244" t="str">
        <f>"INV 8127429054 - LE"</f>
        <v>INV 8127429054 - LE</v>
      </c>
    </row>
    <row r="1245" spans="1:9" x14ac:dyDescent="0.25">
      <c r="E1245" t="str">
        <f>""</f>
        <v/>
      </c>
      <c r="F1245" t="str">
        <f>""</f>
        <v/>
      </c>
      <c r="H1245" t="str">
        <f>"INV 8127429054 - JAI"</f>
        <v>INV 8127429054 - JAI</v>
      </c>
    </row>
    <row r="1246" spans="1:9" x14ac:dyDescent="0.25">
      <c r="E1246" t="str">
        <f>"201905299511"</f>
        <v>201905299511</v>
      </c>
      <c r="F1246" t="str">
        <f>"CUST#16160327/OEM/VET SVCS/IH"</f>
        <v>CUST#16160327/OEM/VET SVCS/IH</v>
      </c>
      <c r="G1246" s="2">
        <v>168.85</v>
      </c>
      <c r="H1246" t="str">
        <f>"CUST#16160327/OEM/VET SVCS/IH"</f>
        <v>CUST#16160327/OEM/VET SVCS/IH</v>
      </c>
    </row>
    <row r="1247" spans="1:9" x14ac:dyDescent="0.25">
      <c r="E1247" t="str">
        <f>""</f>
        <v/>
      </c>
      <c r="F1247" t="str">
        <f>""</f>
        <v/>
      </c>
      <c r="H1247" t="str">
        <f>"CUST#16160327/OEM/VET SVCS/IH"</f>
        <v>CUST#16160327/OEM/VET SVCS/IH</v>
      </c>
    </row>
    <row r="1248" spans="1:9" x14ac:dyDescent="0.25">
      <c r="E1248" t="str">
        <f>""</f>
        <v/>
      </c>
      <c r="F1248" t="str">
        <f>""</f>
        <v/>
      </c>
      <c r="H1248" t="str">
        <f>"CUST#16160327/OEM/VET SVCS/IH"</f>
        <v>CUST#16160327/OEM/VET SVCS/IH</v>
      </c>
    </row>
    <row r="1249" spans="1:8" x14ac:dyDescent="0.25">
      <c r="E1249" t="str">
        <f>"8127429677"</f>
        <v>8127429677</v>
      </c>
      <c r="F1249" t="str">
        <f>"CUST#16155373/PURCHASING"</f>
        <v>CUST#16155373/PURCHASING</v>
      </c>
      <c r="G1249" s="2">
        <v>110.21</v>
      </c>
      <c r="H1249" t="str">
        <f t="shared" ref="H1249:H1254" si="27">"CUST#16155373/PURCHASING"</f>
        <v>CUST#16155373/PURCHASING</v>
      </c>
    </row>
    <row r="1250" spans="1:8" x14ac:dyDescent="0.25">
      <c r="E1250" t="str">
        <f>""</f>
        <v/>
      </c>
      <c r="F1250" t="str">
        <f>""</f>
        <v/>
      </c>
      <c r="H1250" t="str">
        <f t="shared" si="27"/>
        <v>CUST#16155373/PURCHASING</v>
      </c>
    </row>
    <row r="1251" spans="1:8" x14ac:dyDescent="0.25">
      <c r="E1251" t="str">
        <f>""</f>
        <v/>
      </c>
      <c r="F1251" t="str">
        <f>""</f>
        <v/>
      </c>
      <c r="H1251" t="str">
        <f t="shared" si="27"/>
        <v>CUST#16155373/PURCHASING</v>
      </c>
    </row>
    <row r="1252" spans="1:8" x14ac:dyDescent="0.25">
      <c r="E1252" t="str">
        <f>""</f>
        <v/>
      </c>
      <c r="F1252" t="str">
        <f>""</f>
        <v/>
      </c>
      <c r="H1252" t="str">
        <f t="shared" si="27"/>
        <v>CUST#16155373/PURCHASING</v>
      </c>
    </row>
    <row r="1253" spans="1:8" x14ac:dyDescent="0.25">
      <c r="E1253" t="str">
        <f>""</f>
        <v/>
      </c>
      <c r="F1253" t="str">
        <f>""</f>
        <v/>
      </c>
      <c r="H1253" t="str">
        <f t="shared" si="27"/>
        <v>CUST#16155373/PURCHASING</v>
      </c>
    </row>
    <row r="1254" spans="1:8" x14ac:dyDescent="0.25">
      <c r="E1254" t="str">
        <f>""</f>
        <v/>
      </c>
      <c r="F1254" t="str">
        <f>""</f>
        <v/>
      </c>
      <c r="H1254" t="str">
        <f t="shared" si="27"/>
        <v>CUST#16155373/PURCHASING</v>
      </c>
    </row>
    <row r="1255" spans="1:8" x14ac:dyDescent="0.25">
      <c r="E1255" t="str">
        <f>"8127429940"</f>
        <v>8127429940</v>
      </c>
      <c r="F1255" t="str">
        <f>"CUST#16160327/OFFICE OF ER MGM"</f>
        <v>CUST#16160327/OFFICE OF ER MGM</v>
      </c>
      <c r="G1255" s="2">
        <v>58.85</v>
      </c>
      <c r="H1255" t="str">
        <f>"CUST#16160327/OFFICE OF ER MGM"</f>
        <v>CUST#16160327/OFFICE OF ER MGM</v>
      </c>
    </row>
    <row r="1256" spans="1:8" x14ac:dyDescent="0.25">
      <c r="A1256" t="s">
        <v>345</v>
      </c>
      <c r="B1256">
        <v>82794</v>
      </c>
      <c r="C1256" s="2">
        <v>123.59</v>
      </c>
      <c r="D1256" s="1">
        <v>43640</v>
      </c>
      <c r="E1256" t="str">
        <f>"8127429721"</f>
        <v>8127429721</v>
      </c>
      <c r="F1256" t="str">
        <f>"CUST#16156071/TAX OFFICE"</f>
        <v>CUST#16156071/TAX OFFICE</v>
      </c>
      <c r="G1256" s="2">
        <v>68.48</v>
      </c>
      <c r="H1256" t="str">
        <f>"CUST#16156071/TAX OFFICE"</f>
        <v>CUST#16156071/TAX OFFICE</v>
      </c>
    </row>
    <row r="1257" spans="1:8" x14ac:dyDescent="0.25">
      <c r="E1257" t="str">
        <f>"8127429805"</f>
        <v>8127429805</v>
      </c>
      <c r="F1257" t="str">
        <f>"CUST#16158670/JP#4"</f>
        <v>CUST#16158670/JP#4</v>
      </c>
      <c r="G1257" s="2">
        <v>55.11</v>
      </c>
      <c r="H1257" t="str">
        <f>"CUST#16158670/JP#4"</f>
        <v>CUST#16158670/JP#4</v>
      </c>
    </row>
    <row r="1258" spans="1:8" x14ac:dyDescent="0.25">
      <c r="A1258" t="s">
        <v>346</v>
      </c>
      <c r="B1258">
        <v>82560</v>
      </c>
      <c r="C1258" s="2">
        <v>320</v>
      </c>
      <c r="D1258" s="1">
        <v>43626</v>
      </c>
      <c r="E1258" t="str">
        <f>"201906049568"</f>
        <v>201906049568</v>
      </c>
      <c r="F1258" t="str">
        <f>"PUMPED AND CLEANED SEPTIC SYT"</f>
        <v>PUMPED AND CLEANED SEPTIC SYT</v>
      </c>
      <c r="G1258" s="2">
        <v>320</v>
      </c>
      <c r="H1258" t="str">
        <f>"PUMPED AND CLEANED SEPTIC SYT"</f>
        <v>PUMPED AND CLEANED SEPTIC SYT</v>
      </c>
    </row>
    <row r="1259" spans="1:8" x14ac:dyDescent="0.25">
      <c r="A1259" t="s">
        <v>347</v>
      </c>
      <c r="B1259">
        <v>82795</v>
      </c>
      <c r="C1259" s="2">
        <v>27.53</v>
      </c>
      <c r="D1259" s="1">
        <v>43640</v>
      </c>
      <c r="E1259" t="str">
        <f>"201906180017"</f>
        <v>201906180017</v>
      </c>
      <c r="F1259" t="str">
        <f>"INDIGENT HEALTH"</f>
        <v>INDIGENT HEALTH</v>
      </c>
      <c r="G1259" s="2">
        <v>27.53</v>
      </c>
      <c r="H1259" t="str">
        <f>"INDIGENT HEALTH"</f>
        <v>INDIGENT HEALTH</v>
      </c>
    </row>
    <row r="1260" spans="1:8" x14ac:dyDescent="0.25">
      <c r="A1260" t="s">
        <v>348</v>
      </c>
      <c r="B1260">
        <v>82561</v>
      </c>
      <c r="C1260" s="2">
        <v>1229.45</v>
      </c>
      <c r="D1260" s="1">
        <v>43626</v>
      </c>
      <c r="E1260" t="str">
        <f>"0400968-IN 0401983"</f>
        <v>0400968-IN 0401983</v>
      </c>
      <c r="F1260" t="str">
        <f>"INV 0400968-IN/0401983-IN"</f>
        <v>INV 0400968-IN/0401983-IN</v>
      </c>
      <c r="G1260" s="2">
        <v>1229.45</v>
      </c>
      <c r="H1260" t="str">
        <f>"INV 0400968-IN"</f>
        <v>INV 0400968-IN</v>
      </c>
    </row>
    <row r="1261" spans="1:8" x14ac:dyDescent="0.25">
      <c r="E1261" t="str">
        <f>""</f>
        <v/>
      </c>
      <c r="F1261" t="str">
        <f>""</f>
        <v/>
      </c>
      <c r="H1261" t="str">
        <f>"INV 0401983-IN"</f>
        <v>INV 0401983-IN</v>
      </c>
    </row>
    <row r="1262" spans="1:8" x14ac:dyDescent="0.25">
      <c r="E1262" t="str">
        <f>""</f>
        <v/>
      </c>
      <c r="F1262" t="str">
        <f>""</f>
        <v/>
      </c>
      <c r="H1262" t="str">
        <f>"INV 0399583-IN"</f>
        <v>INV 0399583-IN</v>
      </c>
    </row>
    <row r="1263" spans="1:8" x14ac:dyDescent="0.25">
      <c r="E1263" t="str">
        <f>""</f>
        <v/>
      </c>
      <c r="F1263" t="str">
        <f>""</f>
        <v/>
      </c>
      <c r="H1263" t="str">
        <f>"INV 0401002-IN"</f>
        <v>INV 0401002-IN</v>
      </c>
    </row>
    <row r="1264" spans="1:8" x14ac:dyDescent="0.25">
      <c r="A1264" t="s">
        <v>349</v>
      </c>
      <c r="B1264">
        <v>82796</v>
      </c>
      <c r="C1264" s="2">
        <v>1495.74</v>
      </c>
      <c r="D1264" s="1">
        <v>43640</v>
      </c>
      <c r="E1264" t="str">
        <f>"201906129737"</f>
        <v>201906129737</v>
      </c>
      <c r="F1264" t="str">
        <f>"STATEMENT#30580/PCT#2"</f>
        <v>STATEMENT#30580/PCT#2</v>
      </c>
      <c r="G1264" s="2">
        <v>253.29</v>
      </c>
      <c r="H1264" t="str">
        <f>"STATEMENT#30580/PCT#2"</f>
        <v>STATEMENT#30580/PCT#2</v>
      </c>
    </row>
    <row r="1265" spans="1:8" x14ac:dyDescent="0.25">
      <c r="E1265" t="str">
        <f>"201906129739"</f>
        <v>201906129739</v>
      </c>
      <c r="F1265" t="str">
        <f>"STATEMENT#30579/PCT#1"</f>
        <v>STATEMENT#30579/PCT#1</v>
      </c>
      <c r="G1265" s="2">
        <v>1195.8</v>
      </c>
      <c r="H1265" t="str">
        <f>"STATEMENT#30579/PCT#1"</f>
        <v>STATEMENT#30579/PCT#1</v>
      </c>
    </row>
    <row r="1266" spans="1:8" x14ac:dyDescent="0.25">
      <c r="E1266" t="str">
        <f>"426343"</f>
        <v>426343</v>
      </c>
      <c r="F1266" t="str">
        <f>"STATEMENT#30581/PCT#3"</f>
        <v>STATEMENT#30581/PCT#3</v>
      </c>
      <c r="G1266" s="2">
        <v>46.65</v>
      </c>
      <c r="H1266" t="str">
        <f>"STATEMENT#30581/PCT#3"</f>
        <v>STATEMENT#30581/PCT#3</v>
      </c>
    </row>
    <row r="1267" spans="1:8" x14ac:dyDescent="0.25">
      <c r="A1267" t="s">
        <v>350</v>
      </c>
      <c r="B1267">
        <v>82797</v>
      </c>
      <c r="C1267" s="2">
        <v>1115.3800000000001</v>
      </c>
      <c r="D1267" s="1">
        <v>43640</v>
      </c>
      <c r="E1267" t="str">
        <f>"201906129736"</f>
        <v>201906129736</v>
      </c>
      <c r="F1267" t="str">
        <f>"ACCT#260/PCT#2"</f>
        <v>ACCT#260/PCT#2</v>
      </c>
      <c r="G1267" s="2">
        <v>1115.3800000000001</v>
      </c>
      <c r="H1267" t="str">
        <f>"ACCT#260/PCT#2"</f>
        <v>ACCT#260/PCT#2</v>
      </c>
    </row>
    <row r="1268" spans="1:8" x14ac:dyDescent="0.25">
      <c r="A1268" t="s">
        <v>351</v>
      </c>
      <c r="B1268">
        <v>82562</v>
      </c>
      <c r="C1268" s="2">
        <v>2886.8</v>
      </c>
      <c r="D1268" s="1">
        <v>43626</v>
      </c>
      <c r="E1268" t="str">
        <f>"4650011780"</f>
        <v>4650011780</v>
      </c>
      <c r="F1268" t="str">
        <f>"CUST#52157/PCT#3"</f>
        <v>CUST#52157/PCT#3</v>
      </c>
      <c r="G1268" s="2">
        <v>1659.22</v>
      </c>
      <c r="H1268" t="str">
        <f>"CUST#52157/PCT#3"</f>
        <v>CUST#52157/PCT#3</v>
      </c>
    </row>
    <row r="1269" spans="1:8" x14ac:dyDescent="0.25">
      <c r="E1269" t="str">
        <f>"4650012061"</f>
        <v>4650012061</v>
      </c>
      <c r="F1269" t="str">
        <f>"CUST#52157/PCT#3"</f>
        <v>CUST#52157/PCT#3</v>
      </c>
      <c r="G1269" s="2">
        <v>908.58</v>
      </c>
      <c r="H1269" t="str">
        <f>"CUST#52157/PCT#3"</f>
        <v>CUST#52157/PCT#3</v>
      </c>
    </row>
    <row r="1270" spans="1:8" x14ac:dyDescent="0.25">
      <c r="E1270" t="str">
        <f>"4660000523"</f>
        <v>4660000523</v>
      </c>
      <c r="F1270" t="str">
        <f>"CUST#52157/PCT#3"</f>
        <v>CUST#52157/PCT#3</v>
      </c>
      <c r="G1270" s="2">
        <v>319</v>
      </c>
      <c r="H1270" t="str">
        <f>"CUST#52157/PCT#3"</f>
        <v>CUST#52157/PCT#3</v>
      </c>
    </row>
    <row r="1271" spans="1:8" x14ac:dyDescent="0.25">
      <c r="A1271" t="s">
        <v>351</v>
      </c>
      <c r="B1271">
        <v>82798</v>
      </c>
      <c r="C1271" s="2">
        <v>554</v>
      </c>
      <c r="D1271" s="1">
        <v>43640</v>
      </c>
      <c r="E1271" t="str">
        <f>"4650013316"</f>
        <v>4650013316</v>
      </c>
      <c r="F1271" t="str">
        <f>"CUST#52157/PCT#4"</f>
        <v>CUST#52157/PCT#4</v>
      </c>
      <c r="G1271" s="2">
        <v>554</v>
      </c>
      <c r="H1271" t="str">
        <f>"CUST#52157/PCT#4"</f>
        <v>CUST#52157/PCT#4</v>
      </c>
    </row>
    <row r="1272" spans="1:8" x14ac:dyDescent="0.25">
      <c r="A1272" t="s">
        <v>352</v>
      </c>
      <c r="B1272">
        <v>82563</v>
      </c>
      <c r="C1272" s="2">
        <v>11.71</v>
      </c>
      <c r="D1272" s="1">
        <v>43626</v>
      </c>
      <c r="E1272" t="str">
        <f>"9604456 052319"</f>
        <v>9604456 052319</v>
      </c>
      <c r="F1272" t="str">
        <f>"ACCT#46668439604456/JP#2"</f>
        <v>ACCT#46668439604456/JP#2</v>
      </c>
      <c r="G1272" s="2">
        <v>11.71</v>
      </c>
      <c r="H1272" t="str">
        <f>"ACCT#46668439604456/JP#2"</f>
        <v>ACCT#46668439604456/JP#2</v>
      </c>
    </row>
    <row r="1273" spans="1:8" x14ac:dyDescent="0.25">
      <c r="A1273" t="s">
        <v>353</v>
      </c>
      <c r="B1273">
        <v>82799</v>
      </c>
      <c r="C1273" s="2">
        <v>283.45999999999998</v>
      </c>
      <c r="D1273" s="1">
        <v>43640</v>
      </c>
      <c r="E1273" t="str">
        <f>"958486"</f>
        <v>958486</v>
      </c>
      <c r="F1273" t="str">
        <f>"ACCT#114382/MEDS/ANIMAL SHELTE"</f>
        <v>ACCT#114382/MEDS/ANIMAL SHELTE</v>
      </c>
      <c r="G1273" s="2">
        <v>283.45999999999998</v>
      </c>
      <c r="H1273" t="str">
        <f>"ACCT#114382/MEDS/ANIMAL SHELTE"</f>
        <v>ACCT#114382/MEDS/ANIMAL SHELTE</v>
      </c>
    </row>
    <row r="1274" spans="1:8" x14ac:dyDescent="0.25">
      <c r="A1274" t="s">
        <v>354</v>
      </c>
      <c r="B1274">
        <v>82800</v>
      </c>
      <c r="C1274" s="2">
        <v>7132.97</v>
      </c>
      <c r="D1274" s="1">
        <v>43640</v>
      </c>
      <c r="E1274" t="str">
        <f>"201906180018"</f>
        <v>201906180018</v>
      </c>
      <c r="F1274" t="str">
        <f>"INDIGENT HEALTH"</f>
        <v>INDIGENT HEALTH</v>
      </c>
      <c r="G1274" s="2">
        <v>6244.22</v>
      </c>
      <c r="H1274" t="str">
        <f>"INDIGENT HEALTH"</f>
        <v>INDIGENT HEALTH</v>
      </c>
    </row>
    <row r="1275" spans="1:8" x14ac:dyDescent="0.25">
      <c r="E1275" t="str">
        <f>"201906180019"</f>
        <v>201906180019</v>
      </c>
      <c r="F1275" t="str">
        <f>"INDIGENT HEALTH"</f>
        <v>INDIGENT HEALTH</v>
      </c>
      <c r="G1275" s="2">
        <v>470.16</v>
      </c>
      <c r="H1275" t="str">
        <f>"INDIGENT HEALTH"</f>
        <v>INDIGENT HEALTH</v>
      </c>
    </row>
    <row r="1276" spans="1:8" x14ac:dyDescent="0.25">
      <c r="E1276" t="str">
        <f>"201906180025"</f>
        <v>201906180025</v>
      </c>
      <c r="F1276" t="str">
        <f>"JAIL MEDICAL"</f>
        <v>JAIL MEDICAL</v>
      </c>
      <c r="G1276" s="2">
        <v>418.59</v>
      </c>
      <c r="H1276" t="str">
        <f>"JAIL MEDICAL"</f>
        <v>JAIL MEDICAL</v>
      </c>
    </row>
    <row r="1277" spans="1:8" x14ac:dyDescent="0.25">
      <c r="A1277" t="s">
        <v>355</v>
      </c>
      <c r="B1277">
        <v>82564</v>
      </c>
      <c r="C1277" s="2">
        <v>2142.02</v>
      </c>
      <c r="D1277" s="1">
        <v>43626</v>
      </c>
      <c r="E1277" t="str">
        <f>"8054344801"</f>
        <v>8054344801</v>
      </c>
      <c r="F1277" t="str">
        <f>"sum inv# 8054344801"</f>
        <v>sum inv# 8054344801</v>
      </c>
      <c r="G1277" s="2">
        <v>2142.02</v>
      </c>
      <c r="H1277" t="str">
        <f>"inv# 3413905708"</f>
        <v>inv# 3413905708</v>
      </c>
    </row>
    <row r="1278" spans="1:8" x14ac:dyDescent="0.25">
      <c r="E1278" t="str">
        <f>""</f>
        <v/>
      </c>
      <c r="F1278" t="str">
        <f>""</f>
        <v/>
      </c>
      <c r="H1278" t="str">
        <f>"inv# 3413905709"</f>
        <v>inv# 3413905709</v>
      </c>
    </row>
    <row r="1279" spans="1:8" x14ac:dyDescent="0.25">
      <c r="E1279" t="str">
        <f>""</f>
        <v/>
      </c>
      <c r="F1279" t="str">
        <f>""</f>
        <v/>
      </c>
      <c r="H1279" t="str">
        <f>"inv# 3413905710"</f>
        <v>inv# 3413905710</v>
      </c>
    </row>
    <row r="1280" spans="1:8" x14ac:dyDescent="0.25">
      <c r="E1280" t="str">
        <f>""</f>
        <v/>
      </c>
      <c r="F1280" t="str">
        <f>""</f>
        <v/>
      </c>
      <c r="H1280" t="str">
        <f>"inv# 3413905713"</f>
        <v>inv# 3413905713</v>
      </c>
    </row>
    <row r="1281" spans="5:8" x14ac:dyDescent="0.25">
      <c r="E1281" t="str">
        <f>""</f>
        <v/>
      </c>
      <c r="F1281" t="str">
        <f>""</f>
        <v/>
      </c>
      <c r="H1281" t="str">
        <f>"inv# 3413905729"</f>
        <v>inv# 3413905729</v>
      </c>
    </row>
    <row r="1282" spans="5:8" x14ac:dyDescent="0.25">
      <c r="E1282" t="str">
        <f>""</f>
        <v/>
      </c>
      <c r="F1282" t="str">
        <f>""</f>
        <v/>
      </c>
      <c r="H1282" t="str">
        <f>"inv# 3413905721"</f>
        <v>inv# 3413905721</v>
      </c>
    </row>
    <row r="1283" spans="5:8" x14ac:dyDescent="0.25">
      <c r="E1283" t="str">
        <f>""</f>
        <v/>
      </c>
      <c r="F1283" t="str">
        <f>""</f>
        <v/>
      </c>
      <c r="H1283" t="str">
        <f>"inv# 3413905731"</f>
        <v>inv# 3413905731</v>
      </c>
    </row>
    <row r="1284" spans="5:8" x14ac:dyDescent="0.25">
      <c r="E1284" t="str">
        <f>""</f>
        <v/>
      </c>
      <c r="F1284" t="str">
        <f>""</f>
        <v/>
      </c>
      <c r="H1284" t="str">
        <f>"inv# 3413905724"</f>
        <v>inv# 3413905724</v>
      </c>
    </row>
    <row r="1285" spans="5:8" x14ac:dyDescent="0.25">
      <c r="E1285" t="str">
        <f>""</f>
        <v/>
      </c>
      <c r="F1285" t="str">
        <f>""</f>
        <v/>
      </c>
      <c r="H1285" t="str">
        <f>"inv# 3413905726"</f>
        <v>inv# 3413905726</v>
      </c>
    </row>
    <row r="1286" spans="5:8" x14ac:dyDescent="0.25">
      <c r="E1286" t="str">
        <f>""</f>
        <v/>
      </c>
      <c r="F1286" t="str">
        <f>""</f>
        <v/>
      </c>
      <c r="H1286" t="str">
        <f>"inv# 3413905727"</f>
        <v>inv# 3413905727</v>
      </c>
    </row>
    <row r="1287" spans="5:8" x14ac:dyDescent="0.25">
      <c r="E1287" t="str">
        <f>""</f>
        <v/>
      </c>
      <c r="F1287" t="str">
        <f>""</f>
        <v/>
      </c>
      <c r="H1287" t="str">
        <f>"inv# 3413905714"</f>
        <v>inv# 3413905714</v>
      </c>
    </row>
    <row r="1288" spans="5:8" x14ac:dyDescent="0.25">
      <c r="E1288" t="str">
        <f>""</f>
        <v/>
      </c>
      <c r="F1288" t="str">
        <f>""</f>
        <v/>
      </c>
      <c r="H1288" t="str">
        <f>"inv# 3413905715"</f>
        <v>inv# 3413905715</v>
      </c>
    </row>
    <row r="1289" spans="5:8" x14ac:dyDescent="0.25">
      <c r="E1289" t="str">
        <f>""</f>
        <v/>
      </c>
      <c r="F1289" t="str">
        <f>""</f>
        <v/>
      </c>
      <c r="H1289" t="str">
        <f>"inv# 3413905716"</f>
        <v>inv# 3413905716</v>
      </c>
    </row>
    <row r="1290" spans="5:8" x14ac:dyDescent="0.25">
      <c r="E1290" t="str">
        <f>""</f>
        <v/>
      </c>
      <c r="F1290" t="str">
        <f>""</f>
        <v/>
      </c>
      <c r="H1290" t="str">
        <f>"inv# 3413905730"</f>
        <v>inv# 3413905730</v>
      </c>
    </row>
    <row r="1291" spans="5:8" x14ac:dyDescent="0.25">
      <c r="E1291" t="str">
        <f>""</f>
        <v/>
      </c>
      <c r="F1291" t="str">
        <f>""</f>
        <v/>
      </c>
      <c r="H1291" t="str">
        <f>"inv# 3413905734"</f>
        <v>inv# 3413905734</v>
      </c>
    </row>
    <row r="1292" spans="5:8" x14ac:dyDescent="0.25">
      <c r="E1292" t="str">
        <f>""</f>
        <v/>
      </c>
      <c r="F1292" t="str">
        <f>""</f>
        <v/>
      </c>
      <c r="H1292" t="str">
        <f>"inv# 3413905735"</f>
        <v>inv# 3413905735</v>
      </c>
    </row>
    <row r="1293" spans="5:8" x14ac:dyDescent="0.25">
      <c r="E1293" t="str">
        <f>""</f>
        <v/>
      </c>
      <c r="F1293" t="str">
        <f>""</f>
        <v/>
      </c>
      <c r="H1293" t="str">
        <f>"inv# 3413905736"</f>
        <v>inv# 3413905736</v>
      </c>
    </row>
    <row r="1294" spans="5:8" x14ac:dyDescent="0.25">
      <c r="E1294" t="str">
        <f>""</f>
        <v/>
      </c>
      <c r="F1294" t="str">
        <f>""</f>
        <v/>
      </c>
      <c r="H1294" t="str">
        <f>"inv# 3413905717"</f>
        <v>inv# 3413905717</v>
      </c>
    </row>
    <row r="1295" spans="5:8" x14ac:dyDescent="0.25">
      <c r="E1295" t="str">
        <f>""</f>
        <v/>
      </c>
      <c r="F1295" t="str">
        <f>""</f>
        <v/>
      </c>
      <c r="H1295" t="str">
        <f>"inv# 3413905718"</f>
        <v>inv# 3413905718</v>
      </c>
    </row>
    <row r="1296" spans="5:8" x14ac:dyDescent="0.25">
      <c r="E1296" t="str">
        <f>""</f>
        <v/>
      </c>
      <c r="F1296" t="str">
        <f>""</f>
        <v/>
      </c>
      <c r="H1296" t="str">
        <f>"inv# 3413905719"</f>
        <v>inv# 3413905719</v>
      </c>
    </row>
    <row r="1297" spans="1:8" x14ac:dyDescent="0.25">
      <c r="E1297" t="str">
        <f>""</f>
        <v/>
      </c>
      <c r="F1297" t="str">
        <f>""</f>
        <v/>
      </c>
      <c r="H1297" t="str">
        <f>"inv# 3413905720"</f>
        <v>inv# 3413905720</v>
      </c>
    </row>
    <row r="1298" spans="1:8" x14ac:dyDescent="0.25">
      <c r="E1298" t="str">
        <f>""</f>
        <v/>
      </c>
      <c r="F1298" t="str">
        <f>""</f>
        <v/>
      </c>
      <c r="H1298" t="str">
        <f>"inv# 3413905711"</f>
        <v>inv# 3413905711</v>
      </c>
    </row>
    <row r="1299" spans="1:8" x14ac:dyDescent="0.25">
      <c r="E1299" t="str">
        <f>""</f>
        <v/>
      </c>
      <c r="F1299" t="str">
        <f>""</f>
        <v/>
      </c>
      <c r="H1299" t="str">
        <f>"inv# 3413905725"</f>
        <v>inv# 3413905725</v>
      </c>
    </row>
    <row r="1300" spans="1:8" x14ac:dyDescent="0.25">
      <c r="A1300" t="s">
        <v>355</v>
      </c>
      <c r="B1300">
        <v>82801</v>
      </c>
      <c r="C1300" s="2">
        <v>4380.6899999999996</v>
      </c>
      <c r="D1300" s="1">
        <v>43640</v>
      </c>
      <c r="E1300" t="str">
        <f>"8054566174"</f>
        <v>8054566174</v>
      </c>
      <c r="F1300" t="str">
        <f>"sum inv# 8054566174"</f>
        <v>sum inv# 8054566174</v>
      </c>
      <c r="G1300" s="2">
        <v>4380.6899999999996</v>
      </c>
      <c r="H1300" t="str">
        <f>"inv# 3415779496"</f>
        <v>inv# 3415779496</v>
      </c>
    </row>
    <row r="1301" spans="1:8" x14ac:dyDescent="0.25">
      <c r="E1301" t="str">
        <f>""</f>
        <v/>
      </c>
      <c r="F1301" t="str">
        <f>""</f>
        <v/>
      </c>
      <c r="H1301" t="str">
        <f>"inv# 3415779493"</f>
        <v>inv# 3415779493</v>
      </c>
    </row>
    <row r="1302" spans="1:8" x14ac:dyDescent="0.25">
      <c r="E1302" t="str">
        <f>""</f>
        <v/>
      </c>
      <c r="F1302" t="str">
        <f>""</f>
        <v/>
      </c>
      <c r="H1302" t="str">
        <f>"inv# 3415779488"</f>
        <v>inv# 3415779488</v>
      </c>
    </row>
    <row r="1303" spans="1:8" x14ac:dyDescent="0.25">
      <c r="E1303" t="str">
        <f>""</f>
        <v/>
      </c>
      <c r="F1303" t="str">
        <f>""</f>
        <v/>
      </c>
      <c r="H1303" t="str">
        <f>"inv# 3415779489"</f>
        <v>inv# 3415779489</v>
      </c>
    </row>
    <row r="1304" spans="1:8" x14ac:dyDescent="0.25">
      <c r="E1304" t="str">
        <f>""</f>
        <v/>
      </c>
      <c r="F1304" t="str">
        <f>""</f>
        <v/>
      </c>
      <c r="H1304" t="str">
        <f>"inv# 3415779494"</f>
        <v>inv# 3415779494</v>
      </c>
    </row>
    <row r="1305" spans="1:8" x14ac:dyDescent="0.25">
      <c r="E1305" t="str">
        <f>""</f>
        <v/>
      </c>
      <c r="F1305" t="str">
        <f>""</f>
        <v/>
      </c>
      <c r="H1305" t="str">
        <f>"inv# 3415779495"</f>
        <v>inv# 3415779495</v>
      </c>
    </row>
    <row r="1306" spans="1:8" x14ac:dyDescent="0.25">
      <c r="E1306" t="str">
        <f>""</f>
        <v/>
      </c>
      <c r="F1306" t="str">
        <f>""</f>
        <v/>
      </c>
      <c r="H1306" t="str">
        <f>"inv# 3415779490"</f>
        <v>inv# 3415779490</v>
      </c>
    </row>
    <row r="1307" spans="1:8" x14ac:dyDescent="0.25">
      <c r="E1307" t="str">
        <f>""</f>
        <v/>
      </c>
      <c r="F1307" t="str">
        <f>""</f>
        <v/>
      </c>
      <c r="H1307" t="str">
        <f>"inv# 3415779491"</f>
        <v>inv# 3415779491</v>
      </c>
    </row>
    <row r="1308" spans="1:8" x14ac:dyDescent="0.25">
      <c r="E1308" t="str">
        <f>""</f>
        <v/>
      </c>
      <c r="F1308" t="str">
        <f>""</f>
        <v/>
      </c>
      <c r="H1308" t="str">
        <f>"inv# 3415779512"</f>
        <v>inv# 3415779512</v>
      </c>
    </row>
    <row r="1309" spans="1:8" x14ac:dyDescent="0.25">
      <c r="E1309" t="str">
        <f>""</f>
        <v/>
      </c>
      <c r="F1309" t="str">
        <f>""</f>
        <v/>
      </c>
      <c r="H1309" t="str">
        <f>"inv# 3415779499"</f>
        <v>inv# 3415779499</v>
      </c>
    </row>
    <row r="1310" spans="1:8" x14ac:dyDescent="0.25">
      <c r="E1310" t="str">
        <f>""</f>
        <v/>
      </c>
      <c r="F1310" t="str">
        <f>""</f>
        <v/>
      </c>
      <c r="H1310" t="str">
        <f>"inv# 3415779509"</f>
        <v>inv# 3415779509</v>
      </c>
    </row>
    <row r="1311" spans="1:8" x14ac:dyDescent="0.25">
      <c r="E1311" t="str">
        <f>""</f>
        <v/>
      </c>
      <c r="F1311" t="str">
        <f>""</f>
        <v/>
      </c>
      <c r="H1311" t="str">
        <f>"inv# 3415779510"</f>
        <v>inv# 3415779510</v>
      </c>
    </row>
    <row r="1312" spans="1:8" x14ac:dyDescent="0.25">
      <c r="E1312" t="str">
        <f>""</f>
        <v/>
      </c>
      <c r="F1312" t="str">
        <f>""</f>
        <v/>
      </c>
      <c r="H1312" t="str">
        <f>"inv# 3415779511"</f>
        <v>inv# 3415779511</v>
      </c>
    </row>
    <row r="1313" spans="1:8" x14ac:dyDescent="0.25">
      <c r="E1313" t="str">
        <f>""</f>
        <v/>
      </c>
      <c r="F1313" t="str">
        <f>""</f>
        <v/>
      </c>
      <c r="H1313" t="str">
        <f>"inv# 3415779500"</f>
        <v>inv# 3415779500</v>
      </c>
    </row>
    <row r="1314" spans="1:8" x14ac:dyDescent="0.25">
      <c r="E1314" t="str">
        <f>""</f>
        <v/>
      </c>
      <c r="F1314" t="str">
        <f>""</f>
        <v/>
      </c>
      <c r="H1314" t="str">
        <f>"inv# 3415779501"</f>
        <v>inv# 3415779501</v>
      </c>
    </row>
    <row r="1315" spans="1:8" x14ac:dyDescent="0.25">
      <c r="E1315" t="str">
        <f>""</f>
        <v/>
      </c>
      <c r="F1315" t="str">
        <f>""</f>
        <v/>
      </c>
      <c r="H1315" t="str">
        <f>"inv# 3415779502"</f>
        <v>inv# 3415779502</v>
      </c>
    </row>
    <row r="1316" spans="1:8" x14ac:dyDescent="0.25">
      <c r="E1316" t="str">
        <f>""</f>
        <v/>
      </c>
      <c r="F1316" t="str">
        <f>""</f>
        <v/>
      </c>
      <c r="H1316" t="str">
        <f>"inv# 3415779498"</f>
        <v>inv# 3415779498</v>
      </c>
    </row>
    <row r="1317" spans="1:8" x14ac:dyDescent="0.25">
      <c r="E1317" t="str">
        <f>""</f>
        <v/>
      </c>
      <c r="F1317" t="str">
        <f>""</f>
        <v/>
      </c>
      <c r="H1317" t="str">
        <f>"inv# 3415779497"</f>
        <v>inv# 3415779497</v>
      </c>
    </row>
    <row r="1318" spans="1:8" x14ac:dyDescent="0.25">
      <c r="E1318" t="str">
        <f>""</f>
        <v/>
      </c>
      <c r="F1318" t="str">
        <f>""</f>
        <v/>
      </c>
      <c r="H1318" t="str">
        <f>"inv# 3415779503"</f>
        <v>inv# 3415779503</v>
      </c>
    </row>
    <row r="1319" spans="1:8" x14ac:dyDescent="0.25">
      <c r="E1319" t="str">
        <f>""</f>
        <v/>
      </c>
      <c r="F1319" t="str">
        <f>""</f>
        <v/>
      </c>
      <c r="H1319" t="str">
        <f>"inv# 3415779504"</f>
        <v>inv# 3415779504</v>
      </c>
    </row>
    <row r="1320" spans="1:8" x14ac:dyDescent="0.25">
      <c r="E1320" t="str">
        <f>""</f>
        <v/>
      </c>
      <c r="F1320" t="str">
        <f>""</f>
        <v/>
      </c>
      <c r="H1320" t="str">
        <f>"inv# 3415779506"</f>
        <v>inv# 3415779506</v>
      </c>
    </row>
    <row r="1321" spans="1:8" x14ac:dyDescent="0.25">
      <c r="E1321" t="str">
        <f>""</f>
        <v/>
      </c>
      <c r="F1321" t="str">
        <f>""</f>
        <v/>
      </c>
      <c r="H1321" t="str">
        <f>"inv# 3415779507"</f>
        <v>inv# 3415779507</v>
      </c>
    </row>
    <row r="1322" spans="1:8" x14ac:dyDescent="0.25">
      <c r="E1322" t="str">
        <f>""</f>
        <v/>
      </c>
      <c r="F1322" t="str">
        <f>""</f>
        <v/>
      </c>
      <c r="H1322" t="str">
        <f>"inv# 3415779508"</f>
        <v>inv# 3415779508</v>
      </c>
    </row>
    <row r="1323" spans="1:8" x14ac:dyDescent="0.25">
      <c r="E1323" t="str">
        <f>""</f>
        <v/>
      </c>
      <c r="F1323" t="str">
        <f>""</f>
        <v/>
      </c>
      <c r="H1323" t="str">
        <f>"inv# 3415779492"</f>
        <v>inv# 3415779492</v>
      </c>
    </row>
    <row r="1324" spans="1:8" x14ac:dyDescent="0.25">
      <c r="E1324" t="str">
        <f>""</f>
        <v/>
      </c>
      <c r="F1324" t="str">
        <f>""</f>
        <v/>
      </c>
      <c r="H1324" t="str">
        <f>"inv# 3415779485"</f>
        <v>inv# 3415779485</v>
      </c>
    </row>
    <row r="1325" spans="1:8" x14ac:dyDescent="0.25">
      <c r="E1325" t="str">
        <f>""</f>
        <v/>
      </c>
      <c r="F1325" t="str">
        <f>""</f>
        <v/>
      </c>
      <c r="H1325" t="str">
        <f>"inv# 3415779486"</f>
        <v>inv# 3415779486</v>
      </c>
    </row>
    <row r="1326" spans="1:8" x14ac:dyDescent="0.25">
      <c r="A1326" t="s">
        <v>356</v>
      </c>
      <c r="B1326">
        <v>82802</v>
      </c>
      <c r="C1326" s="2">
        <v>652.77</v>
      </c>
      <c r="D1326" s="1">
        <v>43640</v>
      </c>
      <c r="E1326" t="str">
        <f>"201906189937"</f>
        <v>201906189937</v>
      </c>
      <c r="F1326" t="str">
        <f>"MAY 2019"</f>
        <v>MAY 2019</v>
      </c>
      <c r="G1326" s="2">
        <v>652.77</v>
      </c>
      <c r="H1326" t="str">
        <f>"MAY 2019"</f>
        <v>MAY 2019</v>
      </c>
    </row>
    <row r="1327" spans="1:8" x14ac:dyDescent="0.25">
      <c r="A1327" t="s">
        <v>357</v>
      </c>
      <c r="B1327">
        <v>82803</v>
      </c>
      <c r="C1327" s="2">
        <v>325</v>
      </c>
      <c r="D1327" s="1">
        <v>43640</v>
      </c>
      <c r="E1327" t="str">
        <f>"201906200077"</f>
        <v>201906200077</v>
      </c>
      <c r="F1327" t="str">
        <f t="shared" ref="F1327:F1333" si="28">"FERAL HOGS"</f>
        <v>FERAL HOGS</v>
      </c>
      <c r="G1327" s="2">
        <v>200</v>
      </c>
      <c r="H1327" t="str">
        <f t="shared" ref="H1327:H1333" si="29">"FERAL HOGS"</f>
        <v>FERAL HOGS</v>
      </c>
    </row>
    <row r="1328" spans="1:8" x14ac:dyDescent="0.25">
      <c r="E1328" t="str">
        <f>"201906200078"</f>
        <v>201906200078</v>
      </c>
      <c r="F1328" t="str">
        <f t="shared" si="28"/>
        <v>FERAL HOGS</v>
      </c>
      <c r="G1328" s="2">
        <v>5</v>
      </c>
      <c r="H1328" t="str">
        <f t="shared" si="29"/>
        <v>FERAL HOGS</v>
      </c>
    </row>
    <row r="1329" spans="1:8" x14ac:dyDescent="0.25">
      <c r="E1329" t="str">
        <f>"201906200079"</f>
        <v>201906200079</v>
      </c>
      <c r="F1329" t="str">
        <f t="shared" si="28"/>
        <v>FERAL HOGS</v>
      </c>
      <c r="G1329" s="2">
        <v>80</v>
      </c>
      <c r="H1329" t="str">
        <f t="shared" si="29"/>
        <v>FERAL HOGS</v>
      </c>
    </row>
    <row r="1330" spans="1:8" x14ac:dyDescent="0.25">
      <c r="E1330" t="str">
        <f>"201906200080"</f>
        <v>201906200080</v>
      </c>
      <c r="F1330" t="str">
        <f t="shared" si="28"/>
        <v>FERAL HOGS</v>
      </c>
      <c r="G1330" s="2">
        <v>25</v>
      </c>
      <c r="H1330" t="str">
        <f t="shared" si="29"/>
        <v>FERAL HOGS</v>
      </c>
    </row>
    <row r="1331" spans="1:8" x14ac:dyDescent="0.25">
      <c r="E1331" t="str">
        <f>"201906200081"</f>
        <v>201906200081</v>
      </c>
      <c r="F1331" t="str">
        <f t="shared" si="28"/>
        <v>FERAL HOGS</v>
      </c>
      <c r="G1331" s="2">
        <v>5</v>
      </c>
      <c r="H1331" t="str">
        <f t="shared" si="29"/>
        <v>FERAL HOGS</v>
      </c>
    </row>
    <row r="1332" spans="1:8" x14ac:dyDescent="0.25">
      <c r="E1332" t="str">
        <f>"201906200082"</f>
        <v>201906200082</v>
      </c>
      <c r="F1332" t="str">
        <f t="shared" si="28"/>
        <v>FERAL HOGS</v>
      </c>
      <c r="G1332" s="2">
        <v>5</v>
      </c>
      <c r="H1332" t="str">
        <f t="shared" si="29"/>
        <v>FERAL HOGS</v>
      </c>
    </row>
    <row r="1333" spans="1:8" x14ac:dyDescent="0.25">
      <c r="E1333" t="str">
        <f>"201906200083"</f>
        <v>201906200083</v>
      </c>
      <c r="F1333" t="str">
        <f t="shared" si="28"/>
        <v>FERAL HOGS</v>
      </c>
      <c r="G1333" s="2">
        <v>5</v>
      </c>
      <c r="H1333" t="str">
        <f t="shared" si="29"/>
        <v>FERAL HOGS</v>
      </c>
    </row>
    <row r="1334" spans="1:8" x14ac:dyDescent="0.25">
      <c r="A1334" t="s">
        <v>358</v>
      </c>
      <c r="B1334">
        <v>82565</v>
      </c>
      <c r="C1334" s="2">
        <v>758.72</v>
      </c>
      <c r="D1334" s="1">
        <v>43626</v>
      </c>
      <c r="E1334" t="str">
        <f>"4008613700"</f>
        <v>4008613700</v>
      </c>
      <c r="F1334" t="str">
        <f>"INV 4008613700"</f>
        <v>INV 4008613700</v>
      </c>
      <c r="G1334" s="2">
        <v>758.72</v>
      </c>
      <c r="H1334" t="str">
        <f>"INV 4008613700"</f>
        <v>INV 4008613700</v>
      </c>
    </row>
    <row r="1335" spans="1:8" x14ac:dyDescent="0.25">
      <c r="A1335" t="s">
        <v>359</v>
      </c>
      <c r="B1335">
        <v>82566</v>
      </c>
      <c r="C1335" s="2">
        <v>383.5</v>
      </c>
      <c r="D1335" s="1">
        <v>43626</v>
      </c>
      <c r="E1335" t="str">
        <f>"201906049571"</f>
        <v>201906049571</v>
      </c>
      <c r="F1335" t="str">
        <f>"TRASH REMOVAL 05/27-05/31/P4"</f>
        <v>TRASH REMOVAL 05/27-05/31/P4</v>
      </c>
      <c r="G1335" s="2">
        <v>169</v>
      </c>
      <c r="H1335" t="str">
        <f>"TRASH REMOVAL 05/27-05/31/P4"</f>
        <v>TRASH REMOVAL 05/27-05/31/P4</v>
      </c>
    </row>
    <row r="1336" spans="1:8" x14ac:dyDescent="0.25">
      <c r="E1336" t="str">
        <f>"201906049572"</f>
        <v>201906049572</v>
      </c>
      <c r="F1336" t="str">
        <f>"TRASH REMOVAL 06/03-06/07/P4"</f>
        <v>TRASH REMOVAL 06/03-06/07/P4</v>
      </c>
      <c r="G1336" s="2">
        <v>214.5</v>
      </c>
      <c r="H1336" t="str">
        <f>"TRASH REMOVAL 06/03-06/07/P4"</f>
        <v>TRASH REMOVAL 06/03-06/07/P4</v>
      </c>
    </row>
    <row r="1337" spans="1:8" x14ac:dyDescent="0.25">
      <c r="A1337" t="s">
        <v>359</v>
      </c>
      <c r="B1337">
        <v>82804</v>
      </c>
      <c r="C1337" s="2">
        <v>455</v>
      </c>
      <c r="D1337" s="1">
        <v>43640</v>
      </c>
      <c r="E1337" t="str">
        <f>"201906179926"</f>
        <v>201906179926</v>
      </c>
      <c r="F1337" t="str">
        <f>"TRASH REMOVAL 06/10-06/21/P4"</f>
        <v>TRASH REMOVAL 06/10-06/21/P4</v>
      </c>
      <c r="G1337" s="2">
        <v>455</v>
      </c>
      <c r="H1337" t="str">
        <f>"TRASH REMOVAL 06/10-06/21/P4"</f>
        <v>TRASH REMOVAL 06/10-06/21/P4</v>
      </c>
    </row>
    <row r="1338" spans="1:8" x14ac:dyDescent="0.25">
      <c r="A1338" t="s">
        <v>360</v>
      </c>
      <c r="B1338">
        <v>897</v>
      </c>
      <c r="C1338" s="2">
        <v>8320</v>
      </c>
      <c r="D1338" s="1">
        <v>43627</v>
      </c>
      <c r="E1338" t="str">
        <f>"297"</f>
        <v>297</v>
      </c>
      <c r="F1338" t="str">
        <f>"SHREDDING/MOWING/PCT#2"</f>
        <v>SHREDDING/MOWING/PCT#2</v>
      </c>
      <c r="G1338" s="2">
        <v>8320</v>
      </c>
      <c r="H1338" t="str">
        <f>"SHREDDING/MOWING/PCT#2"</f>
        <v>SHREDDING/MOWING/PCT#2</v>
      </c>
    </row>
    <row r="1339" spans="1:8" x14ac:dyDescent="0.25">
      <c r="A1339" t="s">
        <v>360</v>
      </c>
      <c r="B1339">
        <v>955</v>
      </c>
      <c r="C1339" s="2">
        <v>6500</v>
      </c>
      <c r="D1339" s="1">
        <v>43641</v>
      </c>
      <c r="E1339" t="str">
        <f>"305"</f>
        <v>305</v>
      </c>
      <c r="F1339" t="str">
        <f>"SHREDDING/MOWING/PCT#2"</f>
        <v>SHREDDING/MOWING/PCT#2</v>
      </c>
      <c r="G1339" s="2">
        <v>6200</v>
      </c>
      <c r="H1339" t="str">
        <f>"SHREDDING/MOWING/PCT#2"</f>
        <v>SHREDDING/MOWING/PCT#2</v>
      </c>
    </row>
    <row r="1340" spans="1:8" x14ac:dyDescent="0.25">
      <c r="E1340" t="str">
        <f>"306"</f>
        <v>306</v>
      </c>
      <c r="F1340" t="str">
        <f>"WEED EATING/PCT#2"</f>
        <v>WEED EATING/PCT#2</v>
      </c>
      <c r="G1340" s="2">
        <v>300</v>
      </c>
      <c r="H1340" t="str">
        <f>"WEED EATING/PCT#2"</f>
        <v>WEED EATING/PCT#2</v>
      </c>
    </row>
    <row r="1341" spans="1:8" x14ac:dyDescent="0.25">
      <c r="A1341" t="s">
        <v>361</v>
      </c>
      <c r="B1341">
        <v>900</v>
      </c>
      <c r="C1341" s="2">
        <v>6944.02</v>
      </c>
      <c r="D1341" s="1">
        <v>43627</v>
      </c>
      <c r="E1341" t="str">
        <f>"95280675"</f>
        <v>95280675</v>
      </c>
      <c r="F1341" t="str">
        <f>"ACCT#10187718/FUEL/PCT#2"</f>
        <v>ACCT#10187718/FUEL/PCT#2</v>
      </c>
      <c r="G1341" s="2">
        <v>3700.02</v>
      </c>
      <c r="H1341" t="str">
        <f>"ACCT#10187718/FUEL/PCT#2"</f>
        <v>ACCT#10187718/FUEL/PCT#2</v>
      </c>
    </row>
    <row r="1342" spans="1:8" x14ac:dyDescent="0.25">
      <c r="E1342" t="str">
        <f>"95292818"</f>
        <v>95292818</v>
      </c>
      <c r="F1342" t="str">
        <f>"ACCT#10187718/FUEL/PCT#2"</f>
        <v>ACCT#10187718/FUEL/PCT#2</v>
      </c>
      <c r="G1342" s="2">
        <v>3244</v>
      </c>
      <c r="H1342" t="str">
        <f>"ACCT#10187718/FUEL/PCT#2"</f>
        <v>ACCT#10187718/FUEL/PCT#2</v>
      </c>
    </row>
    <row r="1343" spans="1:8" x14ac:dyDescent="0.25">
      <c r="A1343" t="s">
        <v>361</v>
      </c>
      <c r="B1343">
        <v>963</v>
      </c>
      <c r="C1343" s="2">
        <v>2767.41</v>
      </c>
      <c r="D1343" s="1">
        <v>43641</v>
      </c>
      <c r="E1343" t="str">
        <f>"95303337"</f>
        <v>95303337</v>
      </c>
      <c r="F1343" t="str">
        <f>"ACCT#10187718/FUEL/PCT#2"</f>
        <v>ACCT#10187718/FUEL/PCT#2</v>
      </c>
      <c r="G1343" s="2">
        <v>2767.41</v>
      </c>
      <c r="H1343" t="str">
        <f>"ACCT#10187718/FUEL/PCT#2"</f>
        <v>ACCT#10187718/FUEL/PCT#2</v>
      </c>
    </row>
    <row r="1344" spans="1:8" x14ac:dyDescent="0.25">
      <c r="A1344" t="s">
        <v>362</v>
      </c>
      <c r="B1344">
        <v>82567</v>
      </c>
      <c r="C1344" s="2">
        <v>320.85000000000002</v>
      </c>
      <c r="D1344" s="1">
        <v>43626</v>
      </c>
      <c r="E1344" t="str">
        <f>"201906059684"</f>
        <v>201906059684</v>
      </c>
      <c r="F1344" t="str">
        <f>"LODGING"</f>
        <v>LODGING</v>
      </c>
      <c r="G1344" s="2">
        <v>320.85000000000002</v>
      </c>
    </row>
    <row r="1345" spans="1:8" x14ac:dyDescent="0.25">
      <c r="A1345" t="s">
        <v>363</v>
      </c>
      <c r="B1345">
        <v>894</v>
      </c>
      <c r="C1345" s="2">
        <v>77.52</v>
      </c>
      <c r="D1345" s="1">
        <v>43627</v>
      </c>
      <c r="E1345" t="str">
        <f>"19060406"</f>
        <v>19060406</v>
      </c>
      <c r="F1345" t="str">
        <f>"SVC CONTRACT 05/01-06/03"</f>
        <v>SVC CONTRACT 05/01-06/03</v>
      </c>
      <c r="G1345" s="2">
        <v>77.52</v>
      </c>
      <c r="H1345" t="str">
        <f>"SVC CONTRACT 05/01-06/03"</f>
        <v>SVC CONTRACT 05/01-06/03</v>
      </c>
    </row>
    <row r="1346" spans="1:8" x14ac:dyDescent="0.25">
      <c r="A1346" t="s">
        <v>364</v>
      </c>
      <c r="B1346">
        <v>82568</v>
      </c>
      <c r="C1346" s="2">
        <v>410</v>
      </c>
      <c r="D1346" s="1">
        <v>43626</v>
      </c>
      <c r="E1346" t="str">
        <f>"148549"</f>
        <v>148549</v>
      </c>
      <c r="F1346" t="str">
        <f>"PID#103453/DAVID LEWIS"</f>
        <v>PID#103453/DAVID LEWIS</v>
      </c>
      <c r="G1346" s="2">
        <v>350</v>
      </c>
      <c r="H1346" t="str">
        <f>"PID#103453/DAVID LEWIS"</f>
        <v>PID#103453/DAVID LEWIS</v>
      </c>
    </row>
    <row r="1347" spans="1:8" x14ac:dyDescent="0.25">
      <c r="E1347" t="str">
        <f>"155413"</f>
        <v>155413</v>
      </c>
      <c r="F1347" t="str">
        <f>"TDCAA MEMBERSHIP DUES"</f>
        <v>TDCAA MEMBERSHIP DUES</v>
      </c>
      <c r="G1347" s="2">
        <v>60</v>
      </c>
      <c r="H1347" t="str">
        <f>"TDCAA MEMBERSHIP DUES"</f>
        <v>TDCAA MEMBERSHIP DUES</v>
      </c>
    </row>
    <row r="1348" spans="1:8" x14ac:dyDescent="0.25">
      <c r="A1348" t="s">
        <v>364</v>
      </c>
      <c r="B1348">
        <v>82805</v>
      </c>
      <c r="C1348" s="2">
        <v>175</v>
      </c>
      <c r="D1348" s="1">
        <v>43640</v>
      </c>
      <c r="E1348" t="str">
        <f>"148817"</f>
        <v>148817</v>
      </c>
      <c r="F1348" t="str">
        <f>"INVESTIGATOR SCHOOL-C. RABEL"</f>
        <v>INVESTIGATOR SCHOOL-C. RABEL</v>
      </c>
      <c r="G1348" s="2">
        <v>175</v>
      </c>
      <c r="H1348" t="str">
        <f>"INVESTIGATOR SCHOOL-C. RABEL"</f>
        <v>INVESTIGATOR SCHOOL-C. RABEL</v>
      </c>
    </row>
    <row r="1349" spans="1:8" x14ac:dyDescent="0.25">
      <c r="A1349" t="s">
        <v>365</v>
      </c>
      <c r="B1349">
        <v>1000</v>
      </c>
      <c r="C1349" s="2">
        <v>209</v>
      </c>
      <c r="D1349" s="1">
        <v>43641</v>
      </c>
      <c r="E1349" t="str">
        <f>"1907056"</f>
        <v>1907056</v>
      </c>
      <c r="F1349" t="str">
        <f>"CUST ID:BASTROP CNTY CT/CONT B"</f>
        <v>CUST ID:BASTROP CNTY CT/CONT B</v>
      </c>
      <c r="G1349" s="2">
        <v>209</v>
      </c>
      <c r="H1349" t="str">
        <f>"CUST ID:BASTROP CNTY CT/CONT B"</f>
        <v>CUST ID:BASTROP CNTY CT/CONT B</v>
      </c>
    </row>
    <row r="1350" spans="1:8" x14ac:dyDescent="0.25">
      <c r="A1350" t="s">
        <v>366</v>
      </c>
      <c r="B1350">
        <v>917</v>
      </c>
      <c r="C1350" s="2">
        <v>72.5</v>
      </c>
      <c r="D1350" s="1">
        <v>43627</v>
      </c>
      <c r="E1350" t="str">
        <f>"88933"</f>
        <v>88933</v>
      </c>
      <c r="F1350" t="str">
        <f>"ACCT#63275/CUST ID:BASCO1/P3"</f>
        <v>ACCT#63275/CUST ID:BASCO1/P3</v>
      </c>
      <c r="G1350" s="2">
        <v>72.5</v>
      </c>
      <c r="H1350" t="str">
        <f>"ACCT#63275/CUST ID:BASCO1/P3"</f>
        <v>ACCT#63275/CUST ID:BASCO1/P3</v>
      </c>
    </row>
    <row r="1351" spans="1:8" x14ac:dyDescent="0.25">
      <c r="A1351" t="s">
        <v>367</v>
      </c>
      <c r="B1351">
        <v>82569</v>
      </c>
      <c r="C1351" s="2">
        <v>10616.12</v>
      </c>
      <c r="D1351" s="1">
        <v>43626</v>
      </c>
      <c r="E1351" t="str">
        <f>"0859197-IN"</f>
        <v>0859197-IN</v>
      </c>
      <c r="F1351" t="str">
        <f>"ACCT#01-0112917/FUEL/PCT#4"</f>
        <v>ACCT#01-0112917/FUEL/PCT#4</v>
      </c>
      <c r="G1351" s="2">
        <v>5879.52</v>
      </c>
      <c r="H1351" t="str">
        <f>"ACCT#01-0112917/FUEL/PCT#4"</f>
        <v>ACCT#01-0112917/FUEL/PCT#4</v>
      </c>
    </row>
    <row r="1352" spans="1:8" x14ac:dyDescent="0.25">
      <c r="E1352" t="str">
        <f>"0861858-IN"</f>
        <v>0861858-IN</v>
      </c>
      <c r="F1352" t="str">
        <f>"ACCT#01-0112917/FUEL/PCT#3"</f>
        <v>ACCT#01-0112917/FUEL/PCT#3</v>
      </c>
      <c r="G1352" s="2">
        <v>4736.6000000000004</v>
      </c>
      <c r="H1352" t="str">
        <f>"ACCT#01-0112917/FUEL/PCT#3"</f>
        <v>ACCT#01-0112917/FUEL/PCT#3</v>
      </c>
    </row>
    <row r="1353" spans="1:8" x14ac:dyDescent="0.25">
      <c r="A1353" t="s">
        <v>367</v>
      </c>
      <c r="B1353">
        <v>82806</v>
      </c>
      <c r="C1353" s="2">
        <v>20546.849999999999</v>
      </c>
      <c r="D1353" s="1">
        <v>43640</v>
      </c>
      <c r="E1353" t="str">
        <f>"0863649-IN"</f>
        <v>0863649-IN</v>
      </c>
      <c r="F1353" t="str">
        <f>"ACCT#01-0112917/FUEL/PCT#4"</f>
        <v>ACCT#01-0112917/FUEL/PCT#4</v>
      </c>
      <c r="G1353" s="2">
        <v>5236.92</v>
      </c>
      <c r="H1353" t="str">
        <f>"ACCT#01-0112917/FUEL/PCT#4"</f>
        <v>ACCT#01-0112917/FUEL/PCT#4</v>
      </c>
    </row>
    <row r="1354" spans="1:8" x14ac:dyDescent="0.25">
      <c r="E1354" t="str">
        <f>"0865934-IN"</f>
        <v>0865934-IN</v>
      </c>
      <c r="F1354" t="str">
        <f>"ACCT#01-0112917/EXT FLUID/P3"</f>
        <v>ACCT#01-0112917/EXT FLUID/P3</v>
      </c>
      <c r="G1354" s="2">
        <v>129.6</v>
      </c>
      <c r="H1354" t="str">
        <f>"ACCT#01-0112917/EXT FLUID/P3"</f>
        <v>ACCT#01-0112917/EXT FLUID/P3</v>
      </c>
    </row>
    <row r="1355" spans="1:8" x14ac:dyDescent="0.25">
      <c r="E1355" t="str">
        <f>"0867032-IN"</f>
        <v>0867032-IN</v>
      </c>
      <c r="F1355" t="str">
        <f>"INV 0867032-IN"</f>
        <v>INV 0867032-IN</v>
      </c>
      <c r="G1355" s="2">
        <v>653.04</v>
      </c>
      <c r="H1355" t="str">
        <f>"INV 0867032-IN"</f>
        <v>INV 0867032-IN</v>
      </c>
    </row>
    <row r="1356" spans="1:8" x14ac:dyDescent="0.25">
      <c r="E1356" t="str">
        <f>"0867052-IN"</f>
        <v>0867052-IN</v>
      </c>
      <c r="F1356" t="str">
        <f>"ACCT#01-0112917/FUEL/PCT#3"</f>
        <v>ACCT#01-0112917/FUEL/PCT#3</v>
      </c>
      <c r="G1356" s="2">
        <v>4220.2700000000004</v>
      </c>
      <c r="H1356" t="str">
        <f>"ACCT#01-0112917/FUEL/PCT#3"</f>
        <v>ACCT#01-0112917/FUEL/PCT#3</v>
      </c>
    </row>
    <row r="1357" spans="1:8" x14ac:dyDescent="0.25">
      <c r="E1357" t="str">
        <f>"0868012-IN"</f>
        <v>0868012-IN</v>
      </c>
      <c r="F1357" t="str">
        <f>"ACCT#01-0112917/FUEL/PCT#1"</f>
        <v>ACCT#01-0112917/FUEL/PCT#1</v>
      </c>
      <c r="G1357" s="2">
        <v>5254.5</v>
      </c>
      <c r="H1357" t="str">
        <f>"ACCT#01-0112917/FUEL/PCT#1"</f>
        <v>ACCT#01-0112917/FUEL/PCT#1</v>
      </c>
    </row>
    <row r="1358" spans="1:8" x14ac:dyDescent="0.25">
      <c r="E1358" t="str">
        <f>"0868608-IN"</f>
        <v>0868608-IN</v>
      </c>
      <c r="F1358" t="str">
        <f>"ACCT#01-0112917/FUEL/PCT#4"</f>
        <v>ACCT#01-0112917/FUEL/PCT#4</v>
      </c>
      <c r="G1358" s="2">
        <v>5052.5200000000004</v>
      </c>
      <c r="H1358" t="str">
        <f>"ACCT#01-0112917/FUEL/PCT#4"</f>
        <v>ACCT#01-0112917/FUEL/PCT#4</v>
      </c>
    </row>
    <row r="1359" spans="1:8" x14ac:dyDescent="0.25">
      <c r="A1359" t="s">
        <v>368</v>
      </c>
      <c r="B1359">
        <v>82570</v>
      </c>
      <c r="C1359" s="2">
        <v>1161.3</v>
      </c>
      <c r="D1359" s="1">
        <v>43626</v>
      </c>
      <c r="E1359" t="str">
        <f>"1388"</f>
        <v>1388</v>
      </c>
      <c r="F1359" t="str">
        <f>"BULLROCK/PCT#1"</f>
        <v>BULLROCK/PCT#1</v>
      </c>
      <c r="G1359" s="2">
        <v>1161.3</v>
      </c>
      <c r="H1359" t="str">
        <f>"BULLROCK/PCT#1"</f>
        <v>BULLROCK/PCT#1</v>
      </c>
    </row>
    <row r="1360" spans="1:8" x14ac:dyDescent="0.25">
      <c r="A1360" t="s">
        <v>369</v>
      </c>
      <c r="B1360">
        <v>82571</v>
      </c>
      <c r="C1360" s="2">
        <v>50</v>
      </c>
      <c r="D1360" s="1">
        <v>43626</v>
      </c>
      <c r="E1360" t="str">
        <f>"3359"</f>
        <v>3359</v>
      </c>
      <c r="F1360" t="str">
        <f>"INV 3359"</f>
        <v>INV 3359</v>
      </c>
      <c r="G1360" s="2">
        <v>50</v>
      </c>
      <c r="H1360" t="str">
        <f>"INV 3359"</f>
        <v>INV 3359</v>
      </c>
    </row>
    <row r="1361" spans="1:8" x14ac:dyDescent="0.25">
      <c r="A1361" t="s">
        <v>369</v>
      </c>
      <c r="B1361">
        <v>82807</v>
      </c>
      <c r="C1361" s="2">
        <v>200</v>
      </c>
      <c r="D1361" s="1">
        <v>43640</v>
      </c>
      <c r="E1361" t="str">
        <f>"201906190043"</f>
        <v>201906190043</v>
      </c>
      <c r="F1361" t="str">
        <f>"INV  JULY BOND RENEWALS"</f>
        <v>INV  JULY BOND RENEWALS</v>
      </c>
      <c r="G1361" s="2">
        <v>100</v>
      </c>
      <c r="H1361" t="str">
        <f>"INV  JULY BOND RENEWALS"</f>
        <v>INV  JULY BOND RENEWALS</v>
      </c>
    </row>
    <row r="1362" spans="1:8" x14ac:dyDescent="0.25">
      <c r="E1362" t="str">
        <f>"3441 &amp; 3442"</f>
        <v>3441 &amp; 3442</v>
      </c>
      <c r="F1362" t="str">
        <f>"INV 3441/3442"</f>
        <v>INV 3441/3442</v>
      </c>
      <c r="G1362" s="2">
        <v>100</v>
      </c>
      <c r="H1362" t="str">
        <f>"INV 3441"</f>
        <v>INV 3441</v>
      </c>
    </row>
    <row r="1363" spans="1:8" x14ac:dyDescent="0.25">
      <c r="E1363" t="str">
        <f>""</f>
        <v/>
      </c>
      <c r="F1363" t="str">
        <f>""</f>
        <v/>
      </c>
      <c r="H1363" t="str">
        <f>"INV 3442"</f>
        <v>INV 3442</v>
      </c>
    </row>
    <row r="1364" spans="1:8" x14ac:dyDescent="0.25">
      <c r="A1364" t="s">
        <v>370</v>
      </c>
      <c r="B1364">
        <v>82572</v>
      </c>
      <c r="C1364" s="2">
        <v>225</v>
      </c>
      <c r="D1364" s="1">
        <v>43626</v>
      </c>
      <c r="E1364" t="str">
        <f>"289027"</f>
        <v>289027</v>
      </c>
      <c r="F1364" t="str">
        <f>"REG FEE - CLARA BECKETT"</f>
        <v>REG FEE - CLARA BECKETT</v>
      </c>
      <c r="G1364" s="2">
        <v>225</v>
      </c>
      <c r="H1364" t="str">
        <f>"REG FEE - CLARA BECKETT"</f>
        <v>REG FEE - CLARA BECKETT</v>
      </c>
    </row>
    <row r="1365" spans="1:8" x14ac:dyDescent="0.25">
      <c r="A1365" t="s">
        <v>370</v>
      </c>
      <c r="B1365">
        <v>82573</v>
      </c>
      <c r="C1365" s="2">
        <v>225</v>
      </c>
      <c r="D1365" s="1">
        <v>43626</v>
      </c>
      <c r="E1365" t="str">
        <f>"R286920"</f>
        <v>R286920</v>
      </c>
      <c r="F1365" t="str">
        <f>"INVESTMENT ACADEMY-LISA SMITH"</f>
        <v>INVESTMENT ACADEMY-LISA SMITH</v>
      </c>
      <c r="G1365" s="2">
        <v>225</v>
      </c>
      <c r="H1365" t="str">
        <f>"INVESTMENT ACADEMY-LISA SMITH"</f>
        <v>INVESTMENT ACADEMY-LISA SMITH</v>
      </c>
    </row>
    <row r="1366" spans="1:8" x14ac:dyDescent="0.25">
      <c r="A1366" t="s">
        <v>370</v>
      </c>
      <c r="B1366">
        <v>82842</v>
      </c>
      <c r="C1366" s="2">
        <v>75959.41</v>
      </c>
      <c r="D1366" s="1">
        <v>43642</v>
      </c>
      <c r="E1366" t="str">
        <f>"23557-WC3"</f>
        <v>23557-WC3</v>
      </c>
      <c r="F1366" t="str">
        <f>"3RD QTR 2019 WRKRS COMP/#0110"</f>
        <v>3RD QTR 2019 WRKRS COMP/#0110</v>
      </c>
      <c r="G1366" s="2">
        <v>75959.41</v>
      </c>
      <c r="H1366" t="str">
        <f t="shared" ref="H1366:H1408" si="30">"3RD QTR 2019 WRKRS COMP/#0110"</f>
        <v>3RD QTR 2019 WRKRS COMP/#0110</v>
      </c>
    </row>
    <row r="1367" spans="1:8" x14ac:dyDescent="0.25">
      <c r="E1367" t="str">
        <f>""</f>
        <v/>
      </c>
      <c r="F1367" t="str">
        <f>""</f>
        <v/>
      </c>
      <c r="H1367" t="str">
        <f t="shared" si="30"/>
        <v>3RD QTR 2019 WRKRS COMP/#0110</v>
      </c>
    </row>
    <row r="1368" spans="1:8" x14ac:dyDescent="0.25">
      <c r="E1368" t="str">
        <f>""</f>
        <v/>
      </c>
      <c r="F1368" t="str">
        <f>""</f>
        <v/>
      </c>
      <c r="H1368" t="str">
        <f t="shared" si="30"/>
        <v>3RD QTR 2019 WRKRS COMP/#0110</v>
      </c>
    </row>
    <row r="1369" spans="1:8" x14ac:dyDescent="0.25">
      <c r="E1369" t="str">
        <f>""</f>
        <v/>
      </c>
      <c r="F1369" t="str">
        <f>""</f>
        <v/>
      </c>
      <c r="H1369" t="str">
        <f t="shared" si="30"/>
        <v>3RD QTR 2019 WRKRS COMP/#0110</v>
      </c>
    </row>
    <row r="1370" spans="1:8" x14ac:dyDescent="0.25">
      <c r="E1370" t="str">
        <f>""</f>
        <v/>
      </c>
      <c r="F1370" t="str">
        <f>""</f>
        <v/>
      </c>
      <c r="H1370" t="str">
        <f t="shared" si="30"/>
        <v>3RD QTR 2019 WRKRS COMP/#0110</v>
      </c>
    </row>
    <row r="1371" spans="1:8" x14ac:dyDescent="0.25">
      <c r="E1371" t="str">
        <f>""</f>
        <v/>
      </c>
      <c r="F1371" t="str">
        <f>""</f>
        <v/>
      </c>
      <c r="H1371" t="str">
        <f t="shared" si="30"/>
        <v>3RD QTR 2019 WRKRS COMP/#0110</v>
      </c>
    </row>
    <row r="1372" spans="1:8" x14ac:dyDescent="0.25">
      <c r="E1372" t="str">
        <f>""</f>
        <v/>
      </c>
      <c r="F1372" t="str">
        <f>""</f>
        <v/>
      </c>
      <c r="H1372" t="str">
        <f t="shared" si="30"/>
        <v>3RD QTR 2019 WRKRS COMP/#0110</v>
      </c>
    </row>
    <row r="1373" spans="1:8" x14ac:dyDescent="0.25">
      <c r="E1373" t="str">
        <f>""</f>
        <v/>
      </c>
      <c r="F1373" t="str">
        <f>""</f>
        <v/>
      </c>
      <c r="H1373" t="str">
        <f t="shared" si="30"/>
        <v>3RD QTR 2019 WRKRS COMP/#0110</v>
      </c>
    </row>
    <row r="1374" spans="1:8" x14ac:dyDescent="0.25">
      <c r="E1374" t="str">
        <f>""</f>
        <v/>
      </c>
      <c r="F1374" t="str">
        <f>""</f>
        <v/>
      </c>
      <c r="H1374" t="str">
        <f t="shared" si="30"/>
        <v>3RD QTR 2019 WRKRS COMP/#0110</v>
      </c>
    </row>
    <row r="1375" spans="1:8" x14ac:dyDescent="0.25">
      <c r="E1375" t="str">
        <f>""</f>
        <v/>
      </c>
      <c r="F1375" t="str">
        <f>""</f>
        <v/>
      </c>
      <c r="H1375" t="str">
        <f t="shared" si="30"/>
        <v>3RD QTR 2019 WRKRS COMP/#0110</v>
      </c>
    </row>
    <row r="1376" spans="1:8" x14ac:dyDescent="0.25">
      <c r="E1376" t="str">
        <f>""</f>
        <v/>
      </c>
      <c r="F1376" t="str">
        <f>""</f>
        <v/>
      </c>
      <c r="H1376" t="str">
        <f t="shared" si="30"/>
        <v>3RD QTR 2019 WRKRS COMP/#0110</v>
      </c>
    </row>
    <row r="1377" spans="5:8" x14ac:dyDescent="0.25">
      <c r="E1377" t="str">
        <f>""</f>
        <v/>
      </c>
      <c r="F1377" t="str">
        <f>""</f>
        <v/>
      </c>
      <c r="H1377" t="str">
        <f t="shared" si="30"/>
        <v>3RD QTR 2019 WRKRS COMP/#0110</v>
      </c>
    </row>
    <row r="1378" spans="5:8" x14ac:dyDescent="0.25">
      <c r="E1378" t="str">
        <f>""</f>
        <v/>
      </c>
      <c r="F1378" t="str">
        <f>""</f>
        <v/>
      </c>
      <c r="H1378" t="str">
        <f t="shared" si="30"/>
        <v>3RD QTR 2019 WRKRS COMP/#0110</v>
      </c>
    </row>
    <row r="1379" spans="5:8" x14ac:dyDescent="0.25">
      <c r="E1379" t="str">
        <f>""</f>
        <v/>
      </c>
      <c r="F1379" t="str">
        <f>""</f>
        <v/>
      </c>
      <c r="H1379" t="str">
        <f t="shared" si="30"/>
        <v>3RD QTR 2019 WRKRS COMP/#0110</v>
      </c>
    </row>
    <row r="1380" spans="5:8" x14ac:dyDescent="0.25">
      <c r="E1380" t="str">
        <f>""</f>
        <v/>
      </c>
      <c r="F1380" t="str">
        <f>""</f>
        <v/>
      </c>
      <c r="H1380" t="str">
        <f t="shared" si="30"/>
        <v>3RD QTR 2019 WRKRS COMP/#0110</v>
      </c>
    </row>
    <row r="1381" spans="5:8" x14ac:dyDescent="0.25">
      <c r="E1381" t="str">
        <f>""</f>
        <v/>
      </c>
      <c r="F1381" t="str">
        <f>""</f>
        <v/>
      </c>
      <c r="H1381" t="str">
        <f t="shared" si="30"/>
        <v>3RD QTR 2019 WRKRS COMP/#0110</v>
      </c>
    </row>
    <row r="1382" spans="5:8" x14ac:dyDescent="0.25">
      <c r="E1382" t="str">
        <f>""</f>
        <v/>
      </c>
      <c r="F1382" t="str">
        <f>""</f>
        <v/>
      </c>
      <c r="H1382" t="str">
        <f t="shared" si="30"/>
        <v>3RD QTR 2019 WRKRS COMP/#0110</v>
      </c>
    </row>
    <row r="1383" spans="5:8" x14ac:dyDescent="0.25">
      <c r="E1383" t="str">
        <f>""</f>
        <v/>
      </c>
      <c r="F1383" t="str">
        <f>""</f>
        <v/>
      </c>
      <c r="H1383" t="str">
        <f t="shared" si="30"/>
        <v>3RD QTR 2019 WRKRS COMP/#0110</v>
      </c>
    </row>
    <row r="1384" spans="5:8" x14ac:dyDescent="0.25">
      <c r="E1384" t="str">
        <f>""</f>
        <v/>
      </c>
      <c r="F1384" t="str">
        <f>""</f>
        <v/>
      </c>
      <c r="H1384" t="str">
        <f t="shared" si="30"/>
        <v>3RD QTR 2019 WRKRS COMP/#0110</v>
      </c>
    </row>
    <row r="1385" spans="5:8" x14ac:dyDescent="0.25">
      <c r="E1385" t="str">
        <f>""</f>
        <v/>
      </c>
      <c r="F1385" t="str">
        <f>""</f>
        <v/>
      </c>
      <c r="H1385" t="str">
        <f t="shared" si="30"/>
        <v>3RD QTR 2019 WRKRS COMP/#0110</v>
      </c>
    </row>
    <row r="1386" spans="5:8" x14ac:dyDescent="0.25">
      <c r="E1386" t="str">
        <f>""</f>
        <v/>
      </c>
      <c r="F1386" t="str">
        <f>""</f>
        <v/>
      </c>
      <c r="H1386" t="str">
        <f t="shared" si="30"/>
        <v>3RD QTR 2019 WRKRS COMP/#0110</v>
      </c>
    </row>
    <row r="1387" spans="5:8" x14ac:dyDescent="0.25">
      <c r="E1387" t="str">
        <f>""</f>
        <v/>
      </c>
      <c r="F1387" t="str">
        <f>""</f>
        <v/>
      </c>
      <c r="H1387" t="str">
        <f t="shared" si="30"/>
        <v>3RD QTR 2019 WRKRS COMP/#0110</v>
      </c>
    </row>
    <row r="1388" spans="5:8" x14ac:dyDescent="0.25">
      <c r="E1388" t="str">
        <f>""</f>
        <v/>
      </c>
      <c r="F1388" t="str">
        <f>""</f>
        <v/>
      </c>
      <c r="H1388" t="str">
        <f t="shared" si="30"/>
        <v>3RD QTR 2019 WRKRS COMP/#0110</v>
      </c>
    </row>
    <row r="1389" spans="5:8" x14ac:dyDescent="0.25">
      <c r="E1389" t="str">
        <f>""</f>
        <v/>
      </c>
      <c r="F1389" t="str">
        <f>""</f>
        <v/>
      </c>
      <c r="H1389" t="str">
        <f t="shared" si="30"/>
        <v>3RD QTR 2019 WRKRS COMP/#0110</v>
      </c>
    </row>
    <row r="1390" spans="5:8" x14ac:dyDescent="0.25">
      <c r="E1390" t="str">
        <f>""</f>
        <v/>
      </c>
      <c r="F1390" t="str">
        <f>""</f>
        <v/>
      </c>
      <c r="H1390" t="str">
        <f t="shared" si="30"/>
        <v>3RD QTR 2019 WRKRS COMP/#0110</v>
      </c>
    </row>
    <row r="1391" spans="5:8" x14ac:dyDescent="0.25">
      <c r="E1391" t="str">
        <f>""</f>
        <v/>
      </c>
      <c r="F1391" t="str">
        <f>""</f>
        <v/>
      </c>
      <c r="H1391" t="str">
        <f t="shared" si="30"/>
        <v>3RD QTR 2019 WRKRS COMP/#0110</v>
      </c>
    </row>
    <row r="1392" spans="5:8" x14ac:dyDescent="0.25">
      <c r="E1392" t="str">
        <f>""</f>
        <v/>
      </c>
      <c r="F1392" t="str">
        <f>""</f>
        <v/>
      </c>
      <c r="H1392" t="str">
        <f t="shared" si="30"/>
        <v>3RD QTR 2019 WRKRS COMP/#0110</v>
      </c>
    </row>
    <row r="1393" spans="5:8" x14ac:dyDescent="0.25">
      <c r="E1393" t="str">
        <f>""</f>
        <v/>
      </c>
      <c r="F1393" t="str">
        <f>""</f>
        <v/>
      </c>
      <c r="H1393" t="str">
        <f t="shared" si="30"/>
        <v>3RD QTR 2019 WRKRS COMP/#0110</v>
      </c>
    </row>
    <row r="1394" spans="5:8" x14ac:dyDescent="0.25">
      <c r="E1394" t="str">
        <f>""</f>
        <v/>
      </c>
      <c r="F1394" t="str">
        <f>""</f>
        <v/>
      </c>
      <c r="H1394" t="str">
        <f t="shared" si="30"/>
        <v>3RD QTR 2019 WRKRS COMP/#0110</v>
      </c>
    </row>
    <row r="1395" spans="5:8" x14ac:dyDescent="0.25">
      <c r="E1395" t="str">
        <f>""</f>
        <v/>
      </c>
      <c r="F1395" t="str">
        <f>""</f>
        <v/>
      </c>
      <c r="H1395" t="str">
        <f t="shared" si="30"/>
        <v>3RD QTR 2019 WRKRS COMP/#0110</v>
      </c>
    </row>
    <row r="1396" spans="5:8" x14ac:dyDescent="0.25">
      <c r="E1396" t="str">
        <f>""</f>
        <v/>
      </c>
      <c r="F1396" t="str">
        <f>""</f>
        <v/>
      </c>
      <c r="H1396" t="str">
        <f t="shared" si="30"/>
        <v>3RD QTR 2019 WRKRS COMP/#0110</v>
      </c>
    </row>
    <row r="1397" spans="5:8" x14ac:dyDescent="0.25">
      <c r="E1397" t="str">
        <f>""</f>
        <v/>
      </c>
      <c r="F1397" t="str">
        <f>""</f>
        <v/>
      </c>
      <c r="H1397" t="str">
        <f t="shared" si="30"/>
        <v>3RD QTR 2019 WRKRS COMP/#0110</v>
      </c>
    </row>
    <row r="1398" spans="5:8" x14ac:dyDescent="0.25">
      <c r="E1398" t="str">
        <f>""</f>
        <v/>
      </c>
      <c r="F1398" t="str">
        <f>""</f>
        <v/>
      </c>
      <c r="H1398" t="str">
        <f t="shared" si="30"/>
        <v>3RD QTR 2019 WRKRS COMP/#0110</v>
      </c>
    </row>
    <row r="1399" spans="5:8" x14ac:dyDescent="0.25">
      <c r="E1399" t="str">
        <f>""</f>
        <v/>
      </c>
      <c r="F1399" t="str">
        <f>""</f>
        <v/>
      </c>
      <c r="H1399" t="str">
        <f t="shared" si="30"/>
        <v>3RD QTR 2019 WRKRS COMP/#0110</v>
      </c>
    </row>
    <row r="1400" spans="5:8" x14ac:dyDescent="0.25">
      <c r="E1400" t="str">
        <f>""</f>
        <v/>
      </c>
      <c r="F1400" t="str">
        <f>""</f>
        <v/>
      </c>
      <c r="H1400" t="str">
        <f t="shared" si="30"/>
        <v>3RD QTR 2019 WRKRS COMP/#0110</v>
      </c>
    </row>
    <row r="1401" spans="5:8" x14ac:dyDescent="0.25">
      <c r="E1401" t="str">
        <f>""</f>
        <v/>
      </c>
      <c r="F1401" t="str">
        <f>""</f>
        <v/>
      </c>
      <c r="H1401" t="str">
        <f t="shared" si="30"/>
        <v>3RD QTR 2019 WRKRS COMP/#0110</v>
      </c>
    </row>
    <row r="1402" spans="5:8" x14ac:dyDescent="0.25">
      <c r="E1402" t="str">
        <f>""</f>
        <v/>
      </c>
      <c r="F1402" t="str">
        <f>""</f>
        <v/>
      </c>
      <c r="H1402" t="str">
        <f t="shared" si="30"/>
        <v>3RD QTR 2019 WRKRS COMP/#0110</v>
      </c>
    </row>
    <row r="1403" spans="5:8" x14ac:dyDescent="0.25">
      <c r="E1403" t="str">
        <f>""</f>
        <v/>
      </c>
      <c r="F1403" t="str">
        <f>""</f>
        <v/>
      </c>
      <c r="H1403" t="str">
        <f t="shared" si="30"/>
        <v>3RD QTR 2019 WRKRS COMP/#0110</v>
      </c>
    </row>
    <row r="1404" spans="5:8" x14ac:dyDescent="0.25">
      <c r="E1404" t="str">
        <f>""</f>
        <v/>
      </c>
      <c r="F1404" t="str">
        <f>""</f>
        <v/>
      </c>
      <c r="H1404" t="str">
        <f t="shared" si="30"/>
        <v>3RD QTR 2019 WRKRS COMP/#0110</v>
      </c>
    </row>
    <row r="1405" spans="5:8" x14ac:dyDescent="0.25">
      <c r="E1405" t="str">
        <f>""</f>
        <v/>
      </c>
      <c r="F1405" t="str">
        <f>""</f>
        <v/>
      </c>
      <c r="H1405" t="str">
        <f t="shared" si="30"/>
        <v>3RD QTR 2019 WRKRS COMP/#0110</v>
      </c>
    </row>
    <row r="1406" spans="5:8" x14ac:dyDescent="0.25">
      <c r="E1406" t="str">
        <f>""</f>
        <v/>
      </c>
      <c r="F1406" t="str">
        <f>""</f>
        <v/>
      </c>
      <c r="H1406" t="str">
        <f t="shared" si="30"/>
        <v>3RD QTR 2019 WRKRS COMP/#0110</v>
      </c>
    </row>
    <row r="1407" spans="5:8" x14ac:dyDescent="0.25">
      <c r="E1407" t="str">
        <f>""</f>
        <v/>
      </c>
      <c r="F1407" t="str">
        <f>""</f>
        <v/>
      </c>
      <c r="H1407" t="str">
        <f t="shared" si="30"/>
        <v>3RD QTR 2019 WRKRS COMP/#0110</v>
      </c>
    </row>
    <row r="1408" spans="5:8" x14ac:dyDescent="0.25">
      <c r="E1408" t="str">
        <f>""</f>
        <v/>
      </c>
      <c r="F1408" t="str">
        <f>""</f>
        <v/>
      </c>
      <c r="H1408" t="str">
        <f t="shared" si="30"/>
        <v>3RD QTR 2019 WRKRS COMP/#0110</v>
      </c>
    </row>
    <row r="1409" spans="1:9" x14ac:dyDescent="0.25">
      <c r="A1409" t="s">
        <v>371</v>
      </c>
      <c r="B1409">
        <v>82808</v>
      </c>
      <c r="C1409" s="2">
        <v>450</v>
      </c>
      <c r="D1409" s="1">
        <v>43640</v>
      </c>
      <c r="E1409" t="str">
        <f>"201906129748"</f>
        <v>201906129748</v>
      </c>
      <c r="F1409" t="str">
        <f>"JUDGES ANNUAL MEETING-P.PAPE"</f>
        <v>JUDGES ANNUAL MEETING-P.PAPE</v>
      </c>
      <c r="G1409" s="2">
        <v>450</v>
      </c>
      <c r="H1409" t="str">
        <f>"JUDGES ANNUAL MEETING-P.PAPE"</f>
        <v>JUDGES ANNUAL MEETING-P.PAPE</v>
      </c>
    </row>
    <row r="1410" spans="1:9" x14ac:dyDescent="0.25">
      <c r="A1410" t="s">
        <v>372</v>
      </c>
      <c r="B1410">
        <v>82574</v>
      </c>
      <c r="C1410" s="2">
        <v>55</v>
      </c>
      <c r="D1410" s="1">
        <v>43626</v>
      </c>
      <c r="E1410" t="str">
        <f>"12976"</f>
        <v>12976</v>
      </c>
      <c r="F1410" t="str">
        <f>"ACCT#1267/MEDICAL WASTE P/U"</f>
        <v>ACCT#1267/MEDICAL WASTE P/U</v>
      </c>
      <c r="G1410" s="2">
        <v>55</v>
      </c>
      <c r="H1410" t="str">
        <f>"ACCT#1267/MEDICAL WASTE P/U"</f>
        <v>ACCT#1267/MEDICAL WASTE P/U</v>
      </c>
    </row>
    <row r="1411" spans="1:9" x14ac:dyDescent="0.25">
      <c r="A1411" t="s">
        <v>373</v>
      </c>
      <c r="B1411">
        <v>82617</v>
      </c>
      <c r="C1411" s="2">
        <v>8</v>
      </c>
      <c r="D1411" s="1">
        <v>43633</v>
      </c>
      <c r="E1411" t="str">
        <f>"201906179906"</f>
        <v>201906179906</v>
      </c>
      <c r="F1411" t="str">
        <f>"NON-REPAIR TITLE CHANGE - TERP"</f>
        <v>NON-REPAIR TITLE CHANGE - TERP</v>
      </c>
      <c r="G1411" s="2">
        <v>8</v>
      </c>
      <c r="H1411" t="str">
        <f>"NON-REPAIR TITLE CHANGE - TERP"</f>
        <v>NON-REPAIR TITLE CHANGE - TERP</v>
      </c>
    </row>
    <row r="1412" spans="1:9" x14ac:dyDescent="0.25">
      <c r="A1412" t="s">
        <v>374</v>
      </c>
      <c r="B1412">
        <v>82809</v>
      </c>
      <c r="C1412" s="2">
        <v>1</v>
      </c>
      <c r="D1412" s="1">
        <v>43640</v>
      </c>
      <c r="E1412" t="s">
        <v>195</v>
      </c>
      <c r="F1412" t="s">
        <v>375</v>
      </c>
      <c r="G1412" s="2" t="str">
        <f>"RESTITUTION-V. VARGAS"</f>
        <v>RESTITUTION-V. VARGAS</v>
      </c>
      <c r="H1412" t="str">
        <f>"210-0000"</f>
        <v>210-0000</v>
      </c>
      <c r="I1412" t="str">
        <f>""</f>
        <v/>
      </c>
    </row>
    <row r="1413" spans="1:9" x14ac:dyDescent="0.25">
      <c r="A1413" t="s">
        <v>376</v>
      </c>
      <c r="B1413">
        <v>82575</v>
      </c>
      <c r="C1413" s="2">
        <v>345</v>
      </c>
      <c r="D1413" s="1">
        <v>43626</v>
      </c>
      <c r="E1413" t="str">
        <f>"201906059681"</f>
        <v>201906059681</v>
      </c>
      <c r="F1413" t="str">
        <f>"TRAINING"</f>
        <v>TRAINING</v>
      </c>
      <c r="G1413" s="2">
        <v>345</v>
      </c>
      <c r="H1413" t="str">
        <f>"TRAINING"</f>
        <v>TRAINING</v>
      </c>
    </row>
    <row r="1414" spans="1:9" x14ac:dyDescent="0.25">
      <c r="A1414" t="s">
        <v>377</v>
      </c>
      <c r="B1414">
        <v>82810</v>
      </c>
      <c r="C1414" s="2">
        <v>400</v>
      </c>
      <c r="D1414" s="1">
        <v>43640</v>
      </c>
      <c r="E1414" t="str">
        <f>"47032"</f>
        <v>47032</v>
      </c>
      <c r="F1414" t="str">
        <f>"FY_19 LEG UPDATE-DENA TINER"</f>
        <v>FY_19 LEG UPDATE-DENA TINER</v>
      </c>
      <c r="G1414" s="2">
        <v>100</v>
      </c>
      <c r="H1414" t="str">
        <f>"FY_19 LEG UPDATE-DENA TINER"</f>
        <v>FY_19 LEG UPDATE-DENA TINER</v>
      </c>
    </row>
    <row r="1415" spans="1:9" x14ac:dyDescent="0.25">
      <c r="E1415" t="str">
        <f>"47033"</f>
        <v>47033</v>
      </c>
      <c r="F1415" t="str">
        <f>"FY_19 LEG UPDATE-DIANE MONTOYA"</f>
        <v>FY_19 LEG UPDATE-DIANE MONTOYA</v>
      </c>
      <c r="G1415" s="2">
        <v>100</v>
      </c>
      <c r="H1415" t="str">
        <f>"FY_19 LEG UPDATE-DIANE MONTOYA"</f>
        <v>FY_19 LEG UPDATE-DIANE MONTOYA</v>
      </c>
    </row>
    <row r="1416" spans="1:9" x14ac:dyDescent="0.25">
      <c r="E1416" t="str">
        <f>"47034"</f>
        <v>47034</v>
      </c>
      <c r="F1416" t="str">
        <f>"FY_19 LEG UPDATE-AMELIA BROWN"</f>
        <v>FY_19 LEG UPDATE-AMELIA BROWN</v>
      </c>
      <c r="G1416" s="2">
        <v>100</v>
      </c>
      <c r="H1416" t="str">
        <f>"FY_19 LEG UPDATE-AMELIA BROWN"</f>
        <v>FY_19 LEG UPDATE-AMELIA BROWN</v>
      </c>
    </row>
    <row r="1417" spans="1:9" x14ac:dyDescent="0.25">
      <c r="E1417" t="str">
        <f>"47035"</f>
        <v>47035</v>
      </c>
      <c r="F1417" t="str">
        <f>"FY_19 LEG UPDATE-K. HANNA"</f>
        <v>FY_19 LEG UPDATE-K. HANNA</v>
      </c>
      <c r="G1417" s="2">
        <v>100</v>
      </c>
      <c r="H1417" t="str">
        <f>"FY_19 LEG UPDATE-K. HANNA"</f>
        <v>FY_19 LEG UPDATE-K. HANNA</v>
      </c>
    </row>
    <row r="1418" spans="1:9" x14ac:dyDescent="0.25">
      <c r="A1418" t="s">
        <v>379</v>
      </c>
      <c r="B1418">
        <v>82576</v>
      </c>
      <c r="C1418" s="2">
        <v>429.25</v>
      </c>
      <c r="D1418" s="1">
        <v>43626</v>
      </c>
      <c r="E1418" t="str">
        <f>"3CO-1313-18"</f>
        <v>3CO-1313-18</v>
      </c>
      <c r="F1418" t="str">
        <f>"A8245322-S. CHANABOON"</f>
        <v>A8245322-S. CHANABOON</v>
      </c>
      <c r="G1418" s="2">
        <v>157.25</v>
      </c>
      <c r="H1418" t="str">
        <f>"A8245322-S. CHANABOON"</f>
        <v>A8245322-S. CHANABOON</v>
      </c>
    </row>
    <row r="1419" spans="1:9" x14ac:dyDescent="0.25">
      <c r="E1419" t="str">
        <f>"J2-55933"</f>
        <v>J2-55933</v>
      </c>
      <c r="F1419" t="str">
        <f>"A12229-T. WEBIE"</f>
        <v>A12229-T. WEBIE</v>
      </c>
      <c r="G1419" s="2">
        <v>114.75</v>
      </c>
      <c r="H1419" t="str">
        <f>"A12229-T. WEBIE"</f>
        <v>A12229-T. WEBIE</v>
      </c>
    </row>
    <row r="1420" spans="1:9" x14ac:dyDescent="0.25">
      <c r="E1420" t="str">
        <f>"J2-60323"</f>
        <v>J2-60323</v>
      </c>
      <c r="F1420" t="str">
        <f>"A16126-ORTEGA AYALA JOSE ADAM"</f>
        <v>A16126-ORTEGA AYALA JOSE ADAM</v>
      </c>
      <c r="G1420" s="2">
        <v>157.25</v>
      </c>
      <c r="H1420" t="str">
        <f>"A16126-ORTEGA AYALA JOSE ADAM"</f>
        <v>A16126-ORTEGA AYALA JOSE ADAM</v>
      </c>
    </row>
    <row r="1421" spans="1:9" x14ac:dyDescent="0.25">
      <c r="A1421" t="s">
        <v>380</v>
      </c>
      <c r="B1421">
        <v>82844</v>
      </c>
      <c r="C1421" s="2">
        <v>1056.05</v>
      </c>
      <c r="D1421" s="1">
        <v>43643</v>
      </c>
      <c r="E1421" t="str">
        <f>"tbcsocruiser"</f>
        <v>tbcsocruiser</v>
      </c>
      <c r="F1421" t="str">
        <f>"TOWING &amp; STORAGE - SO"</f>
        <v>TOWING &amp; STORAGE - SO</v>
      </c>
      <c r="G1421" s="2">
        <v>1056.05</v>
      </c>
      <c r="H1421" t="str">
        <f>"TOWING &amp; STORAGE - SO"</f>
        <v>TOWING &amp; STORAGE - SO</v>
      </c>
    </row>
    <row r="1422" spans="1:9" x14ac:dyDescent="0.25">
      <c r="A1422" t="s">
        <v>381</v>
      </c>
      <c r="B1422">
        <v>965</v>
      </c>
      <c r="C1422" s="2">
        <v>224.24</v>
      </c>
      <c r="D1422" s="1">
        <v>43641</v>
      </c>
      <c r="E1422" t="str">
        <f>"201906180020"</f>
        <v>201906180020</v>
      </c>
      <c r="F1422" t="str">
        <f>"INDIGENT HEALTH"</f>
        <v>INDIGENT HEALTH</v>
      </c>
      <c r="G1422" s="2">
        <v>224.24</v>
      </c>
      <c r="H1422" t="str">
        <f>"INDIGENT HEALTH"</f>
        <v>INDIGENT HEALTH</v>
      </c>
    </row>
    <row r="1423" spans="1:9" x14ac:dyDescent="0.25">
      <c r="A1423" t="s">
        <v>382</v>
      </c>
      <c r="B1423">
        <v>82577</v>
      </c>
      <c r="C1423" s="2">
        <v>1251</v>
      </c>
      <c r="D1423" s="1">
        <v>43626</v>
      </c>
      <c r="E1423" t="str">
        <f>"105850"</f>
        <v>105850</v>
      </c>
      <c r="F1423" t="str">
        <f>"ACCT#188757/TAX OFFICE"</f>
        <v>ACCT#188757/TAX OFFICE</v>
      </c>
      <c r="G1423" s="2">
        <v>102</v>
      </c>
      <c r="H1423" t="str">
        <f>"ACCT#188757/TAX OFFICE"</f>
        <v>ACCT#188757/TAX OFFICE</v>
      </c>
    </row>
    <row r="1424" spans="1:9" x14ac:dyDescent="0.25">
      <c r="E1424" t="str">
        <f>"105860"</f>
        <v>105860</v>
      </c>
      <c r="F1424" t="str">
        <f>"ACCT#188757/LBJ BLDG/HLTH DEPT"</f>
        <v>ACCT#188757/LBJ BLDG/HLTH DEPT</v>
      </c>
      <c r="G1424" s="2">
        <v>69</v>
      </c>
      <c r="H1424" t="str">
        <f>"ACCT#188757/LBJ BLDG/HLTH DEPT"</f>
        <v>ACCT#188757/LBJ BLDG/HLTH DEPT</v>
      </c>
    </row>
    <row r="1425" spans="1:8" x14ac:dyDescent="0.25">
      <c r="E1425" t="str">
        <f>"105861"</f>
        <v>105861</v>
      </c>
      <c r="F1425" t="str">
        <f>"ACCT#188757/MIKE FISHER BLDG"</f>
        <v>ACCT#188757/MIKE FISHER BLDG</v>
      </c>
      <c r="G1425" s="2">
        <v>112</v>
      </c>
      <c r="H1425" t="str">
        <f>"ACCT#188757/MIKE FISHER BLDG"</f>
        <v>ACCT#188757/MIKE FISHER BLDG</v>
      </c>
    </row>
    <row r="1426" spans="1:8" x14ac:dyDescent="0.25">
      <c r="E1426" t="str">
        <f>"105869"</f>
        <v>105869</v>
      </c>
      <c r="F1426" t="str">
        <f>"ACCT#188757/PCT#4 RD &amp; BRIDGE"</f>
        <v>ACCT#188757/PCT#4 RD &amp; BRIDGE</v>
      </c>
      <c r="G1426" s="2">
        <v>95.5</v>
      </c>
      <c r="H1426" t="str">
        <f>"ACCT#188757/PCT#4 RD &amp; BRIDGE"</f>
        <v>ACCT#188757/PCT#4 RD &amp; BRIDGE</v>
      </c>
    </row>
    <row r="1427" spans="1:8" x14ac:dyDescent="0.25">
      <c r="E1427" t="str">
        <f>"105878"</f>
        <v>105878</v>
      </c>
      <c r="F1427" t="str">
        <f>"ACCT#188757/RD&amp;BRIDGE OFFICE"</f>
        <v>ACCT#188757/RD&amp;BRIDGE OFFICE</v>
      </c>
      <c r="G1427" s="2">
        <v>95</v>
      </c>
      <c r="H1427" t="str">
        <f>"ACCT#188757/RD&amp;BRIDGE OFFICE"</f>
        <v>ACCT#188757/RD&amp;BRIDGE OFFICE</v>
      </c>
    </row>
    <row r="1428" spans="1:8" x14ac:dyDescent="0.25">
      <c r="E1428" t="str">
        <f>"106646"</f>
        <v>106646</v>
      </c>
      <c r="F1428" t="str">
        <f>"ACCT#188757/JUVENILE PROBATION"</f>
        <v>ACCT#188757/JUVENILE PROBATION</v>
      </c>
      <c r="G1428" s="2">
        <v>132</v>
      </c>
      <c r="H1428" t="str">
        <f>"ACCT#188757/JUVENILE PROBATION"</f>
        <v>ACCT#188757/JUVENILE PROBATION</v>
      </c>
    </row>
    <row r="1429" spans="1:8" x14ac:dyDescent="0.25">
      <c r="E1429" t="str">
        <f>"106661"</f>
        <v>106661</v>
      </c>
      <c r="F1429" t="str">
        <f>"ACCT#188757/CT HSE MAIN/ANNEX"</f>
        <v>ACCT#188757/CT HSE MAIN/ANNEX</v>
      </c>
      <c r="G1429" s="2">
        <v>137</v>
      </c>
      <c r="H1429" t="str">
        <f>"ACCT#188757/CT HSE MAIN/ANNEX"</f>
        <v>ACCT#188757/CT HSE MAIN/ANNEX</v>
      </c>
    </row>
    <row r="1430" spans="1:8" x14ac:dyDescent="0.25">
      <c r="E1430" t="str">
        <f>"106662"</f>
        <v>106662</v>
      </c>
      <c r="F1430" t="str">
        <f>"ACCT#188757/HISTORIC JAIL"</f>
        <v>ACCT#188757/HISTORIC JAIL</v>
      </c>
      <c r="G1430" s="2">
        <v>76</v>
      </c>
      <c r="H1430" t="str">
        <f>"ACCT#188757/HISTORIC JAIL"</f>
        <v>ACCT#188757/HISTORIC JAIL</v>
      </c>
    </row>
    <row r="1431" spans="1:8" x14ac:dyDescent="0.25">
      <c r="E1431" t="str">
        <f>"106752"</f>
        <v>106752</v>
      </c>
      <c r="F1431" t="str">
        <f>"ACCT#188757/COM CT JUVE BOOT C"</f>
        <v>ACCT#188757/COM CT JUVE BOOT C</v>
      </c>
      <c r="G1431" s="2">
        <v>118.5</v>
      </c>
      <c r="H1431" t="str">
        <f>"ACCT#188757/COM CT JUVE BOOT C"</f>
        <v>ACCT#188757/COM CT JUVE BOOT C</v>
      </c>
    </row>
    <row r="1432" spans="1:8" x14ac:dyDescent="0.25">
      <c r="E1432" t="str">
        <f>"106761"</f>
        <v>106761</v>
      </c>
      <c r="F1432" t="str">
        <f>"ACCT#188757/EXT HABITAT"</f>
        <v>ACCT#188757/EXT HABITAT</v>
      </c>
      <c r="G1432" s="2">
        <v>89</v>
      </c>
      <c r="H1432" t="str">
        <f>"ACCT#188757/EXT HABITAT"</f>
        <v>ACCT#188757/EXT HABITAT</v>
      </c>
    </row>
    <row r="1433" spans="1:8" x14ac:dyDescent="0.25">
      <c r="E1433" t="str">
        <f>"107649"</f>
        <v>107649</v>
      </c>
      <c r="F1433" t="str">
        <f>"ACCT#188757/CT HOUSE MAIN &amp; AN"</f>
        <v>ACCT#188757/CT HOUSE MAIN &amp; AN</v>
      </c>
      <c r="G1433" s="2">
        <v>225</v>
      </c>
      <c r="H1433" t="str">
        <f>"ACCT#188757/CT HOUSE MAIN &amp; AN"</f>
        <v>ACCT#188757/CT HOUSE MAIN &amp; AN</v>
      </c>
    </row>
    <row r="1434" spans="1:8" x14ac:dyDescent="0.25">
      <c r="A1434" t="s">
        <v>382</v>
      </c>
      <c r="B1434">
        <v>82811</v>
      </c>
      <c r="C1434" s="2">
        <v>441</v>
      </c>
      <c r="D1434" s="1">
        <v>43640</v>
      </c>
      <c r="E1434" t="str">
        <f>"107810"</f>
        <v>107810</v>
      </c>
      <c r="F1434" t="str">
        <f>"ACCT#188757/DPS/TDL"</f>
        <v>ACCT#188757/DPS/TDL</v>
      </c>
      <c r="G1434" s="2">
        <v>76</v>
      </c>
      <c r="H1434" t="str">
        <f>"ACCT#188757/DPS/TDL"</f>
        <v>ACCT#188757/DPS/TDL</v>
      </c>
    </row>
    <row r="1435" spans="1:8" x14ac:dyDescent="0.25">
      <c r="E1435" t="str">
        <f>"109420"</f>
        <v>109420</v>
      </c>
      <c r="F1435" t="str">
        <f>"ACCT#188757/ANIMAL SHELTER"</f>
        <v>ACCT#188757/ANIMAL SHELTER</v>
      </c>
      <c r="G1435" s="2">
        <v>290</v>
      </c>
      <c r="H1435" t="str">
        <f>"ACCT#188757/ANIMAL SHELTER"</f>
        <v>ACCT#188757/ANIMAL SHELTER</v>
      </c>
    </row>
    <row r="1436" spans="1:8" x14ac:dyDescent="0.25">
      <c r="E1436" t="str">
        <f>"109652"</f>
        <v>109652</v>
      </c>
      <c r="F1436" t="str">
        <f>"ACCT#188757/LOST PINES PARK"</f>
        <v>ACCT#188757/LOST PINES PARK</v>
      </c>
      <c r="G1436" s="2">
        <v>75</v>
      </c>
      <c r="H1436" t="str">
        <f>"ACCT#188757/LOST PINES PARK"</f>
        <v>ACCT#188757/LOST PINES PARK</v>
      </c>
    </row>
    <row r="1437" spans="1:8" x14ac:dyDescent="0.25">
      <c r="A1437" t="s">
        <v>383</v>
      </c>
      <c r="B1437">
        <v>950</v>
      </c>
      <c r="C1437" s="2">
        <v>1250</v>
      </c>
      <c r="D1437" s="1">
        <v>43641</v>
      </c>
      <c r="E1437" t="str">
        <f>"201906189975"</f>
        <v>201906189975</v>
      </c>
      <c r="F1437" t="str">
        <f>"312102018E  408318-5"</f>
        <v>312102018E  408318-5</v>
      </c>
      <c r="G1437" s="2">
        <v>375</v>
      </c>
      <c r="H1437" t="str">
        <f>"312102018E  408318-5"</f>
        <v>312102018E  408318-5</v>
      </c>
    </row>
    <row r="1438" spans="1:8" x14ac:dyDescent="0.25">
      <c r="E1438" t="str">
        <f>"201906189976"</f>
        <v>201906189976</v>
      </c>
      <c r="F1438" t="str">
        <f>"56299"</f>
        <v>56299</v>
      </c>
      <c r="G1438" s="2">
        <v>250</v>
      </c>
      <c r="H1438" t="str">
        <f>"56299"</f>
        <v>56299</v>
      </c>
    </row>
    <row r="1439" spans="1:8" x14ac:dyDescent="0.25">
      <c r="E1439" t="str">
        <f>"201906189977"</f>
        <v>201906189977</v>
      </c>
      <c r="F1439" t="str">
        <f>"56901  DCPC-19-013"</f>
        <v>56901  DCPC-19-013</v>
      </c>
      <c r="G1439" s="2">
        <v>375</v>
      </c>
      <c r="H1439" t="str">
        <f>"56901  DCPC-19-013"</f>
        <v>56901  DCPC-19-013</v>
      </c>
    </row>
    <row r="1440" spans="1:8" x14ac:dyDescent="0.25">
      <c r="E1440" t="str">
        <f>"201906189978"</f>
        <v>201906189978</v>
      </c>
      <c r="F1440" t="str">
        <f>"56 630"</f>
        <v>56 630</v>
      </c>
      <c r="G1440" s="2">
        <v>250</v>
      </c>
      <c r="H1440" t="str">
        <f>"56 630"</f>
        <v>56 630</v>
      </c>
    </row>
    <row r="1441" spans="1:8" x14ac:dyDescent="0.25">
      <c r="A1441" t="s">
        <v>384</v>
      </c>
      <c r="B1441">
        <v>82578</v>
      </c>
      <c r="C1441" s="2">
        <v>15</v>
      </c>
      <c r="D1441" s="1">
        <v>43626</v>
      </c>
      <c r="E1441" t="str">
        <f>"201905299502"</f>
        <v>201905299502</v>
      </c>
      <c r="F1441" t="str">
        <f>"MEMBERSHIP"</f>
        <v>MEMBERSHIP</v>
      </c>
      <c r="G1441" s="2">
        <v>15</v>
      </c>
      <c r="H1441" t="str">
        <f>"MEMBERSHIP"</f>
        <v>MEMBERSHIP</v>
      </c>
    </row>
    <row r="1442" spans="1:8" x14ac:dyDescent="0.25">
      <c r="A1442" t="s">
        <v>385</v>
      </c>
      <c r="B1442">
        <v>82579</v>
      </c>
      <c r="C1442" s="2">
        <v>160</v>
      </c>
      <c r="D1442" s="1">
        <v>43626</v>
      </c>
      <c r="E1442" t="str">
        <f>"954962256"</f>
        <v>954962256</v>
      </c>
      <c r="F1442" t="str">
        <f>"I-10 ALLIANCE MEETING"</f>
        <v>I-10 ALLIANCE MEETING</v>
      </c>
      <c r="G1442" s="2">
        <v>160</v>
      </c>
      <c r="H1442" t="str">
        <f>"I-10 ALLIANCE MEETING"</f>
        <v>I-10 ALLIANCE MEETING</v>
      </c>
    </row>
    <row r="1443" spans="1:8" x14ac:dyDescent="0.25">
      <c r="A1443" t="s">
        <v>386</v>
      </c>
      <c r="B1443">
        <v>882</v>
      </c>
      <c r="C1443" s="2">
        <v>2550</v>
      </c>
      <c r="D1443" s="1">
        <v>43627</v>
      </c>
      <c r="E1443" t="str">
        <f>"201905309517"</f>
        <v>201905309517</v>
      </c>
      <c r="F1443" t="str">
        <f>"NO CAUSE # LISTED-THEFT"</f>
        <v>NO CAUSE # LISTED-THEFT</v>
      </c>
      <c r="G1443" s="2">
        <v>400</v>
      </c>
      <c r="H1443" t="str">
        <f>"NO CAUSE # LISTED-THEFT"</f>
        <v>NO CAUSE # LISTED-THEFT</v>
      </c>
    </row>
    <row r="1444" spans="1:8" x14ac:dyDescent="0.25">
      <c r="E1444" t="str">
        <f>"201905309519"</f>
        <v>201905309519</v>
      </c>
      <c r="F1444" t="str">
        <f>"16 769"</f>
        <v>16 769</v>
      </c>
      <c r="G1444" s="2">
        <v>400</v>
      </c>
      <c r="H1444" t="str">
        <f>"16 769"</f>
        <v>16 769</v>
      </c>
    </row>
    <row r="1445" spans="1:8" x14ac:dyDescent="0.25">
      <c r="E1445" t="str">
        <f>"201906049587"</f>
        <v>201906049587</v>
      </c>
      <c r="F1445" t="str">
        <f>"56 900"</f>
        <v>56 900</v>
      </c>
      <c r="G1445" s="2">
        <v>250</v>
      </c>
      <c r="H1445" t="str">
        <f>"56 900"</f>
        <v>56 900</v>
      </c>
    </row>
    <row r="1446" spans="1:8" x14ac:dyDescent="0.25">
      <c r="E1446" t="str">
        <f>"201906049588"</f>
        <v>201906049588</v>
      </c>
      <c r="F1446" t="str">
        <f>"56 596"</f>
        <v>56 596</v>
      </c>
      <c r="G1446" s="2">
        <v>250</v>
      </c>
      <c r="H1446" t="str">
        <f>"56 596"</f>
        <v>56 596</v>
      </c>
    </row>
    <row r="1447" spans="1:8" x14ac:dyDescent="0.25">
      <c r="E1447" t="str">
        <f>"201906049589"</f>
        <v>201906049589</v>
      </c>
      <c r="F1447" t="str">
        <f>"56 726"</f>
        <v>56 726</v>
      </c>
      <c r="G1447" s="2">
        <v>250</v>
      </c>
      <c r="H1447" t="str">
        <f>"56 726"</f>
        <v>56 726</v>
      </c>
    </row>
    <row r="1448" spans="1:8" x14ac:dyDescent="0.25">
      <c r="E1448" t="str">
        <f>"201906049590"</f>
        <v>201906049590</v>
      </c>
      <c r="F1448" t="str">
        <f>"56 224"</f>
        <v>56 224</v>
      </c>
      <c r="G1448" s="2">
        <v>250</v>
      </c>
      <c r="H1448" t="str">
        <f>"56 224"</f>
        <v>56 224</v>
      </c>
    </row>
    <row r="1449" spans="1:8" x14ac:dyDescent="0.25">
      <c r="E1449" t="str">
        <f>"201906049591"</f>
        <v>201906049591</v>
      </c>
      <c r="F1449" t="str">
        <f>"302252019E"</f>
        <v>302252019E</v>
      </c>
      <c r="G1449" s="2">
        <v>250</v>
      </c>
      <c r="H1449" t="str">
        <f>"302252019E"</f>
        <v>302252019E</v>
      </c>
    </row>
    <row r="1450" spans="1:8" x14ac:dyDescent="0.25">
      <c r="E1450" t="str">
        <f>"201906049592"</f>
        <v>201906049592</v>
      </c>
      <c r="F1450" t="str">
        <f>"403089.1"</f>
        <v>403089.1</v>
      </c>
      <c r="G1450" s="2">
        <v>250</v>
      </c>
      <c r="H1450" t="str">
        <f>"403089.1"</f>
        <v>403089.1</v>
      </c>
    </row>
    <row r="1451" spans="1:8" x14ac:dyDescent="0.25">
      <c r="E1451" t="str">
        <f>"201906049593"</f>
        <v>201906049593</v>
      </c>
      <c r="F1451" t="str">
        <f>"0170063"</f>
        <v>0170063</v>
      </c>
      <c r="G1451" s="2">
        <v>250</v>
      </c>
      <c r="H1451" t="str">
        <f>"0170063"</f>
        <v>0170063</v>
      </c>
    </row>
    <row r="1452" spans="1:8" x14ac:dyDescent="0.25">
      <c r="A1452" t="s">
        <v>386</v>
      </c>
      <c r="B1452">
        <v>939</v>
      </c>
      <c r="C1452" s="2">
        <v>2087.5</v>
      </c>
      <c r="D1452" s="1">
        <v>43641</v>
      </c>
      <c r="E1452" t="str">
        <f>"201906180000"</f>
        <v>201906180000</v>
      </c>
      <c r="F1452" t="str">
        <f>"301302015-A"</f>
        <v>301302015-A</v>
      </c>
      <c r="G1452" s="2">
        <v>250</v>
      </c>
      <c r="H1452" t="str">
        <f>"301302015-A"</f>
        <v>301302015-A</v>
      </c>
    </row>
    <row r="1453" spans="1:8" x14ac:dyDescent="0.25">
      <c r="E1453" t="str">
        <f>"201906180001"</f>
        <v>201906180001</v>
      </c>
      <c r="F1453" t="str">
        <f>"CH20151222-A CH20151222-B"</f>
        <v>CH20151222-A CH20151222-B</v>
      </c>
      <c r="G1453" s="2">
        <v>375</v>
      </c>
      <c r="H1453" t="str">
        <f>"CH20151222-A CH20151222-B"</f>
        <v>CH20151222-A CH20151222-B</v>
      </c>
    </row>
    <row r="1454" spans="1:8" x14ac:dyDescent="0.25">
      <c r="E1454" t="str">
        <f>"201906189969"</f>
        <v>201906189969</v>
      </c>
      <c r="F1454" t="str">
        <f>"0170063"</f>
        <v>0170063</v>
      </c>
      <c r="G1454" s="2">
        <v>250</v>
      </c>
      <c r="H1454" t="str">
        <f>"0170063"</f>
        <v>0170063</v>
      </c>
    </row>
    <row r="1455" spans="1:8" x14ac:dyDescent="0.25">
      <c r="E1455" t="str">
        <f>"201906189970"</f>
        <v>201906189970</v>
      </c>
      <c r="F1455" t="str">
        <f>"3022520196"</f>
        <v>3022520196</v>
      </c>
      <c r="G1455" s="2">
        <v>250</v>
      </c>
      <c r="H1455" t="str">
        <f>"3022520196"</f>
        <v>3022520196</v>
      </c>
    </row>
    <row r="1456" spans="1:8" x14ac:dyDescent="0.25">
      <c r="E1456" t="str">
        <f>"201906189971"</f>
        <v>201906189971</v>
      </c>
      <c r="F1456" t="str">
        <f>"01122019B"</f>
        <v>01122019B</v>
      </c>
      <c r="G1456" s="2">
        <v>250</v>
      </c>
      <c r="H1456" t="str">
        <f>"01122019B"</f>
        <v>01122019B</v>
      </c>
    </row>
    <row r="1457" spans="1:8" x14ac:dyDescent="0.25">
      <c r="E1457" t="str">
        <f>"201906189972"</f>
        <v>201906189972</v>
      </c>
      <c r="F1457" t="str">
        <f>"19-19591"</f>
        <v>19-19591</v>
      </c>
      <c r="G1457" s="2">
        <v>212.5</v>
      </c>
      <c r="H1457" t="str">
        <f>"19-19591"</f>
        <v>19-19591</v>
      </c>
    </row>
    <row r="1458" spans="1:8" x14ac:dyDescent="0.25">
      <c r="E1458" t="str">
        <f>"201906189973"</f>
        <v>201906189973</v>
      </c>
      <c r="F1458" t="str">
        <f>"18-19410"</f>
        <v>18-19410</v>
      </c>
      <c r="G1458" s="2">
        <v>250</v>
      </c>
      <c r="H1458" t="str">
        <f>"18-19410"</f>
        <v>18-19410</v>
      </c>
    </row>
    <row r="1459" spans="1:8" x14ac:dyDescent="0.25">
      <c r="E1459" t="str">
        <f>"201906189974"</f>
        <v>201906189974</v>
      </c>
      <c r="F1459" t="str">
        <f>"56 448"</f>
        <v>56 448</v>
      </c>
      <c r="G1459" s="2">
        <v>250</v>
      </c>
      <c r="H1459" t="str">
        <f>"56 448"</f>
        <v>56 448</v>
      </c>
    </row>
    <row r="1460" spans="1:8" x14ac:dyDescent="0.25">
      <c r="A1460" t="s">
        <v>387</v>
      </c>
      <c r="B1460">
        <v>82812</v>
      </c>
      <c r="C1460" s="2">
        <v>2613.9</v>
      </c>
      <c r="D1460" s="1">
        <v>43640</v>
      </c>
      <c r="E1460" t="str">
        <f>"000558525"</f>
        <v>000558525</v>
      </c>
      <c r="F1460" t="str">
        <f>"ACCT#4812W1083/BILL#000558525"</f>
        <v>ACCT#4812W1083/BILL#000558525</v>
      </c>
      <c r="G1460" s="2">
        <v>2613.9</v>
      </c>
      <c r="H1460" t="str">
        <f>"ACCT#4812W1083/BILL#000558525"</f>
        <v>ACCT#4812W1083/BILL#000558525</v>
      </c>
    </row>
    <row r="1461" spans="1:8" x14ac:dyDescent="0.25">
      <c r="A1461" t="s">
        <v>388</v>
      </c>
      <c r="B1461">
        <v>82813</v>
      </c>
      <c r="C1461" s="2">
        <v>600</v>
      </c>
      <c r="D1461" s="1">
        <v>43640</v>
      </c>
      <c r="E1461" t="str">
        <f>"201906189930"</f>
        <v>201906189930</v>
      </c>
      <c r="F1461" t="str">
        <f>"REFUND-CASH BOND"</f>
        <v>REFUND-CASH BOND</v>
      </c>
      <c r="G1461" s="2">
        <v>600</v>
      </c>
      <c r="H1461" t="str">
        <f>"REFUND-CASH BOND"</f>
        <v>REFUND-CASH BOND</v>
      </c>
    </row>
    <row r="1462" spans="1:8" x14ac:dyDescent="0.25">
      <c r="A1462" t="s">
        <v>389</v>
      </c>
      <c r="B1462">
        <v>82814</v>
      </c>
      <c r="C1462" s="2">
        <v>1440.5</v>
      </c>
      <c r="D1462" s="1">
        <v>43640</v>
      </c>
      <c r="E1462" t="str">
        <f>"840344268"</f>
        <v>840344268</v>
      </c>
      <c r="F1462" t="str">
        <f>"ACCT#1000648597/WEST INFO CHGS"</f>
        <v>ACCT#1000648597/WEST INFO CHGS</v>
      </c>
      <c r="G1462" s="2">
        <v>548</v>
      </c>
      <c r="H1462" t="str">
        <f>"ACCT#1000648597/WEST INFO CHGS"</f>
        <v>ACCT#1000648597/WEST INFO CHGS</v>
      </c>
    </row>
    <row r="1463" spans="1:8" x14ac:dyDescent="0.25">
      <c r="E1463" t="str">
        <f>"840359895"</f>
        <v>840359895</v>
      </c>
      <c r="F1463" t="str">
        <f>"ACCT#1005022937/WEST INFO CHRG"</f>
        <v>ACCT#1005022937/WEST INFO CHRG</v>
      </c>
      <c r="G1463" s="2">
        <v>892.5</v>
      </c>
      <c r="H1463" t="str">
        <f>"ACCT#1005022937/WEST INFO CHRG"</f>
        <v>ACCT#1005022937/WEST INFO CHRG</v>
      </c>
    </row>
    <row r="1464" spans="1:8" x14ac:dyDescent="0.25">
      <c r="A1464" t="s">
        <v>390</v>
      </c>
      <c r="B1464">
        <v>82580</v>
      </c>
      <c r="C1464" s="2">
        <v>412.35</v>
      </c>
      <c r="D1464" s="1">
        <v>43626</v>
      </c>
      <c r="E1464" t="str">
        <f>"201906049575"</f>
        <v>201906049575</v>
      </c>
      <c r="F1464" t="str">
        <f>"423-2327"</f>
        <v>423-2327</v>
      </c>
      <c r="G1464" s="2">
        <v>412.35</v>
      </c>
      <c r="H1464" t="str">
        <f>"423-2327"</f>
        <v>423-2327</v>
      </c>
    </row>
    <row r="1465" spans="1:8" x14ac:dyDescent="0.25">
      <c r="A1465" t="s">
        <v>391</v>
      </c>
      <c r="B1465">
        <v>82581</v>
      </c>
      <c r="C1465" s="2">
        <v>11472.94</v>
      </c>
      <c r="D1465" s="1">
        <v>43626</v>
      </c>
      <c r="E1465" t="str">
        <f>"0003669052819"</f>
        <v>0003669052819</v>
      </c>
      <c r="F1465" t="str">
        <f>"ACCT#8260163000003669"</f>
        <v>ACCT#8260163000003669</v>
      </c>
      <c r="G1465" s="2">
        <v>11472.94</v>
      </c>
      <c r="H1465" t="str">
        <f>"ACCT#8260163000003669"</f>
        <v>ACCT#8260163000003669</v>
      </c>
    </row>
    <row r="1466" spans="1:8" x14ac:dyDescent="0.25">
      <c r="E1466" t="str">
        <f>""</f>
        <v/>
      </c>
      <c r="F1466" t="str">
        <f>""</f>
        <v/>
      </c>
      <c r="H1466" t="str">
        <f>"ACCT#8260163000003669"</f>
        <v>ACCT#8260163000003669</v>
      </c>
    </row>
    <row r="1467" spans="1:8" x14ac:dyDescent="0.25">
      <c r="E1467" t="str">
        <f>""</f>
        <v/>
      </c>
      <c r="F1467" t="str">
        <f>""</f>
        <v/>
      </c>
      <c r="H1467" t="str">
        <f>"ACCT#8260163000003669"</f>
        <v>ACCT#8260163000003669</v>
      </c>
    </row>
    <row r="1468" spans="1:8" x14ac:dyDescent="0.25">
      <c r="A1468" t="s">
        <v>391</v>
      </c>
      <c r="B1468">
        <v>82815</v>
      </c>
      <c r="C1468" s="2">
        <v>112.12</v>
      </c>
      <c r="D1468" s="1">
        <v>43640</v>
      </c>
      <c r="E1468" t="str">
        <f>"0155923061219"</f>
        <v>0155923061219</v>
      </c>
      <c r="F1468" t="str">
        <f>"ACCT#8260160170155923"</f>
        <v>ACCT#8260160170155923</v>
      </c>
      <c r="G1468" s="2">
        <v>112.12</v>
      </c>
      <c r="H1468" t="str">
        <f>"ACCT#8260160170155923"</f>
        <v>ACCT#8260160170155923</v>
      </c>
    </row>
    <row r="1469" spans="1:8" x14ac:dyDescent="0.25">
      <c r="A1469" t="s">
        <v>392</v>
      </c>
      <c r="B1469">
        <v>82816</v>
      </c>
      <c r="C1469" s="2">
        <v>85</v>
      </c>
      <c r="D1469" s="1">
        <v>43640</v>
      </c>
      <c r="E1469" t="str">
        <f>"12971"</f>
        <v>12971</v>
      </c>
      <c r="F1469" t="str">
        <f>"SERVICE 04/04/19"</f>
        <v>SERVICE 04/04/19</v>
      </c>
      <c r="G1469" s="2">
        <v>85</v>
      </c>
      <c r="H1469" t="str">
        <f>"SERVICE 04/04/19"</f>
        <v>SERVICE 04/04/19</v>
      </c>
    </row>
    <row r="1470" spans="1:8" x14ac:dyDescent="0.25">
      <c r="A1470" t="s">
        <v>393</v>
      </c>
      <c r="B1470">
        <v>82582</v>
      </c>
      <c r="C1470" s="2">
        <v>1352.27</v>
      </c>
      <c r="D1470" s="1">
        <v>43626</v>
      </c>
      <c r="E1470" t="str">
        <f>"201905299510"</f>
        <v>201905299510</v>
      </c>
      <c r="F1470" t="str">
        <f>"acct# 6035301200160982"</f>
        <v>acct# 6035301200160982</v>
      </c>
      <c r="G1470" s="2">
        <v>1352.27</v>
      </c>
      <c r="H1470" t="str">
        <f>"Inv# 300542849"</f>
        <v>Inv# 300542849</v>
      </c>
    </row>
    <row r="1471" spans="1:8" x14ac:dyDescent="0.25">
      <c r="E1471" t="str">
        <f>""</f>
        <v/>
      </c>
      <c r="F1471" t="str">
        <f>""</f>
        <v/>
      </c>
      <c r="H1471" t="str">
        <f>"Inv# 300539548"</f>
        <v>Inv# 300539548</v>
      </c>
    </row>
    <row r="1472" spans="1:8" x14ac:dyDescent="0.25">
      <c r="E1472" t="str">
        <f>""</f>
        <v/>
      </c>
      <c r="F1472" t="str">
        <f>""</f>
        <v/>
      </c>
      <c r="H1472" t="str">
        <f>"Inv# 300540746"</f>
        <v>Inv# 300540746</v>
      </c>
    </row>
    <row r="1473" spans="1:8" x14ac:dyDescent="0.25">
      <c r="E1473" t="str">
        <f>""</f>
        <v/>
      </c>
      <c r="F1473" t="str">
        <f>""</f>
        <v/>
      </c>
      <c r="H1473" t="str">
        <f>"Inv# 300541597"</f>
        <v>Inv# 300541597</v>
      </c>
    </row>
    <row r="1474" spans="1:8" x14ac:dyDescent="0.25">
      <c r="E1474" t="str">
        <f>""</f>
        <v/>
      </c>
      <c r="F1474" t="str">
        <f>""</f>
        <v/>
      </c>
      <c r="H1474" t="str">
        <f>"Inv# 300543003"</f>
        <v>Inv# 300543003</v>
      </c>
    </row>
    <row r="1475" spans="1:8" x14ac:dyDescent="0.25">
      <c r="E1475" t="str">
        <f>""</f>
        <v/>
      </c>
      <c r="F1475" t="str">
        <f>""</f>
        <v/>
      </c>
      <c r="H1475" t="str">
        <f>"Inv# 100101874"</f>
        <v>Inv# 100101874</v>
      </c>
    </row>
    <row r="1476" spans="1:8" x14ac:dyDescent="0.25">
      <c r="E1476" t="str">
        <f>""</f>
        <v/>
      </c>
      <c r="F1476" t="str">
        <f>""</f>
        <v/>
      </c>
      <c r="H1476" t="str">
        <f>"Inv# 100591116"</f>
        <v>Inv# 100591116</v>
      </c>
    </row>
    <row r="1477" spans="1:8" x14ac:dyDescent="0.25">
      <c r="A1477" t="s">
        <v>394</v>
      </c>
      <c r="B1477">
        <v>82583</v>
      </c>
      <c r="C1477" s="2">
        <v>670</v>
      </c>
      <c r="D1477" s="1">
        <v>43626</v>
      </c>
      <c r="E1477" t="str">
        <f>"11220"</f>
        <v>11220</v>
      </c>
      <c r="F1477" t="str">
        <f>"SERVICE"</f>
        <v>SERVICE</v>
      </c>
      <c r="G1477" s="2">
        <v>70</v>
      </c>
      <c r="H1477" t="str">
        <f>"SERVICE"</f>
        <v>SERVICE</v>
      </c>
    </row>
    <row r="1478" spans="1:8" x14ac:dyDescent="0.25">
      <c r="E1478" t="str">
        <f>"12818"</f>
        <v>12818</v>
      </c>
      <c r="F1478" t="str">
        <f>"SERVICE"</f>
        <v>SERVICE</v>
      </c>
      <c r="G1478" s="2">
        <v>75</v>
      </c>
      <c r="H1478" t="str">
        <f>"SERVICE"</f>
        <v>SERVICE</v>
      </c>
    </row>
    <row r="1479" spans="1:8" x14ac:dyDescent="0.25">
      <c r="E1479" t="str">
        <f>"13066"</f>
        <v>13066</v>
      </c>
      <c r="F1479" t="str">
        <f>"SERVICE"</f>
        <v>SERVICE</v>
      </c>
      <c r="G1479" s="2">
        <v>225</v>
      </c>
      <c r="H1479" t="str">
        <f>"SERVICE"</f>
        <v>SERVICE</v>
      </c>
    </row>
    <row r="1480" spans="1:8" x14ac:dyDescent="0.25">
      <c r="E1480" t="str">
        <f>"13129"</f>
        <v>13129</v>
      </c>
      <c r="F1480" t="str">
        <f>"SERVICE"</f>
        <v>SERVICE</v>
      </c>
      <c r="G1480" s="2">
        <v>75</v>
      </c>
      <c r="H1480" t="str">
        <f>"SERVICE"</f>
        <v>SERVICE</v>
      </c>
    </row>
    <row r="1481" spans="1:8" x14ac:dyDescent="0.25">
      <c r="E1481" t="str">
        <f>"13155"</f>
        <v>13155</v>
      </c>
      <c r="F1481" t="str">
        <f>"SERVICE"</f>
        <v>SERVICE</v>
      </c>
      <c r="G1481" s="2">
        <v>225</v>
      </c>
      <c r="H1481" t="str">
        <f>"SERVICE"</f>
        <v>SERVICE</v>
      </c>
    </row>
    <row r="1482" spans="1:8" x14ac:dyDescent="0.25">
      <c r="A1482" t="s">
        <v>394</v>
      </c>
      <c r="B1482">
        <v>82817</v>
      </c>
      <c r="C1482" s="2">
        <v>435</v>
      </c>
      <c r="D1482" s="1">
        <v>43640</v>
      </c>
      <c r="E1482" t="str">
        <f>"11102"</f>
        <v>11102</v>
      </c>
      <c r="F1482" t="str">
        <f>"SERVICE  05/14/19"</f>
        <v>SERVICE  05/14/19</v>
      </c>
      <c r="G1482" s="2">
        <v>210</v>
      </c>
      <c r="H1482" t="str">
        <f>"SERVICE  05/14/19"</f>
        <v>SERVICE  05/14/19</v>
      </c>
    </row>
    <row r="1483" spans="1:8" x14ac:dyDescent="0.25">
      <c r="E1483" t="str">
        <f>"12925"</f>
        <v>12925</v>
      </c>
      <c r="F1483" t="str">
        <f>"SERVICE  05/13/19"</f>
        <v>SERVICE  05/13/19</v>
      </c>
      <c r="G1483" s="2">
        <v>75</v>
      </c>
      <c r="H1483" t="str">
        <f>"SERVICE  05/13/19"</f>
        <v>SERVICE  05/13/19</v>
      </c>
    </row>
    <row r="1484" spans="1:8" x14ac:dyDescent="0.25">
      <c r="E1484" t="str">
        <f>"12991"</f>
        <v>12991</v>
      </c>
      <c r="F1484" t="str">
        <f>"SERVICE 04/04/19"</f>
        <v>SERVICE 04/04/19</v>
      </c>
      <c r="G1484" s="2">
        <v>75</v>
      </c>
      <c r="H1484" t="str">
        <f>"SERVICE 04/04/19"</f>
        <v>SERVICE 04/04/19</v>
      </c>
    </row>
    <row r="1485" spans="1:8" x14ac:dyDescent="0.25">
      <c r="E1485" t="str">
        <f>"13016"</f>
        <v>13016</v>
      </c>
      <c r="F1485" t="str">
        <f>"SERVICE 04/04/19"</f>
        <v>SERVICE 04/04/19</v>
      </c>
      <c r="G1485" s="2">
        <v>75</v>
      </c>
      <c r="H1485" t="str">
        <f>"SERVICE 04/04/19"</f>
        <v>SERVICE 04/04/19</v>
      </c>
    </row>
    <row r="1486" spans="1:8" x14ac:dyDescent="0.25">
      <c r="A1486" t="s">
        <v>395</v>
      </c>
      <c r="B1486">
        <v>82584</v>
      </c>
      <c r="C1486" s="2">
        <v>98.98</v>
      </c>
      <c r="D1486" s="1">
        <v>43626</v>
      </c>
      <c r="E1486" t="str">
        <f>"4521*98082*2"</f>
        <v>4521*98082*2</v>
      </c>
      <c r="F1486" t="str">
        <f>"JAIL MEDICAL"</f>
        <v>JAIL MEDICAL</v>
      </c>
      <c r="G1486" s="2">
        <v>98.98</v>
      </c>
      <c r="H1486" t="str">
        <f>"JAIL MEDICAL"</f>
        <v>JAIL MEDICAL</v>
      </c>
    </row>
    <row r="1487" spans="1:8" x14ac:dyDescent="0.25">
      <c r="A1487" t="s">
        <v>396</v>
      </c>
      <c r="B1487">
        <v>82818</v>
      </c>
      <c r="C1487" s="2">
        <v>20300</v>
      </c>
      <c r="D1487" s="1">
        <v>43640</v>
      </c>
      <c r="E1487" t="str">
        <f>"3300002305"</f>
        <v>3300002305</v>
      </c>
      <c r="F1487" t="str">
        <f>"CUST#10009/INV#3300002305"</f>
        <v>CUST#10009/INV#3300002305</v>
      </c>
      <c r="G1487" s="2">
        <v>8700</v>
      </c>
      <c r="H1487" t="str">
        <f>"CUST#10009/INV#3300002305"</f>
        <v>CUST#10009/INV#3300002305</v>
      </c>
    </row>
    <row r="1488" spans="1:8" x14ac:dyDescent="0.25">
      <c r="E1488" t="str">
        <f>"3300002347"</f>
        <v>3300002347</v>
      </c>
      <c r="F1488" t="str">
        <f>"CUST#100010/INV#3300002347"</f>
        <v>CUST#100010/INV#3300002347</v>
      </c>
      <c r="G1488" s="2">
        <v>5800</v>
      </c>
      <c r="H1488" t="str">
        <f>"CUST#100010/INV#3300002347"</f>
        <v>CUST#100010/INV#3300002347</v>
      </c>
    </row>
    <row r="1489" spans="1:8" x14ac:dyDescent="0.25">
      <c r="E1489" t="str">
        <f>"3300002362"</f>
        <v>3300002362</v>
      </c>
      <c r="F1489" t="str">
        <f>"CUST#100733/INV#3300002362"</f>
        <v>CUST#100733/INV#3300002362</v>
      </c>
      <c r="G1489" s="2">
        <v>5800</v>
      </c>
      <c r="H1489" t="str">
        <f>"CUST#100733/INV#3300002362"</f>
        <v>CUST#100733/INV#3300002362</v>
      </c>
    </row>
    <row r="1490" spans="1:8" x14ac:dyDescent="0.25">
      <c r="A1490" t="s">
        <v>397</v>
      </c>
      <c r="B1490">
        <v>884</v>
      </c>
      <c r="C1490" s="2">
        <v>266.48</v>
      </c>
      <c r="D1490" s="1">
        <v>43627</v>
      </c>
      <c r="E1490" t="str">
        <f>"763396"</f>
        <v>763396</v>
      </c>
      <c r="F1490" t="str">
        <f>"INV 763396 / UNIT 124"</f>
        <v>INV 763396 / UNIT 124</v>
      </c>
      <c r="G1490" s="2">
        <v>266.48</v>
      </c>
      <c r="H1490" t="str">
        <f>"INV 763396 / UNIT 124"</f>
        <v>INV 763396 / UNIT 124</v>
      </c>
    </row>
    <row r="1491" spans="1:8" x14ac:dyDescent="0.25">
      <c r="A1491" t="s">
        <v>397</v>
      </c>
      <c r="B1491">
        <v>942</v>
      </c>
      <c r="C1491" s="2">
        <v>710.55</v>
      </c>
      <c r="D1491" s="1">
        <v>43641</v>
      </c>
      <c r="E1491" t="str">
        <f>"766076"</f>
        <v>766076</v>
      </c>
      <c r="F1491" t="str">
        <f>"INV 766076 / UNIT 8968"</f>
        <v>INV 766076 / UNIT 8968</v>
      </c>
      <c r="G1491" s="2">
        <v>568.44000000000005</v>
      </c>
      <c r="H1491" t="str">
        <f>"INV 766076 / UNIT 8968"</f>
        <v>INV 766076 / UNIT 8968</v>
      </c>
    </row>
    <row r="1492" spans="1:8" x14ac:dyDescent="0.25">
      <c r="E1492" t="str">
        <f>"766493"</f>
        <v>766493</v>
      </c>
      <c r="F1492" t="str">
        <f>"INV 766493/UNIT 0124"</f>
        <v>INV 766493/UNIT 0124</v>
      </c>
      <c r="G1492" s="2">
        <v>142.11000000000001</v>
      </c>
      <c r="H1492" t="str">
        <f>"INV 766493/UNIT 0124"</f>
        <v>INV 766493/UNIT 0124</v>
      </c>
    </row>
    <row r="1493" spans="1:8" x14ac:dyDescent="0.25">
      <c r="A1493" t="s">
        <v>398</v>
      </c>
      <c r="B1493">
        <v>82819</v>
      </c>
      <c r="C1493" s="2">
        <v>355.14</v>
      </c>
      <c r="D1493" s="1">
        <v>43640</v>
      </c>
      <c r="E1493" t="str">
        <f>"201906180024"</f>
        <v>201906180024</v>
      </c>
      <c r="F1493" t="str">
        <f>"JAIL MEDICAL"</f>
        <v>JAIL MEDICAL</v>
      </c>
      <c r="G1493" s="2">
        <v>355.14</v>
      </c>
      <c r="H1493" t="str">
        <f>"JAIL MEDICAL"</f>
        <v>JAIL MEDICAL</v>
      </c>
    </row>
    <row r="1494" spans="1:8" x14ac:dyDescent="0.25">
      <c r="A1494" t="s">
        <v>399</v>
      </c>
      <c r="B1494">
        <v>927</v>
      </c>
      <c r="C1494" s="2">
        <v>400</v>
      </c>
      <c r="D1494" s="1">
        <v>43627</v>
      </c>
      <c r="E1494" t="str">
        <f>"201905309518"</f>
        <v>201905309518</v>
      </c>
      <c r="F1494" t="str">
        <f>"16 734"</f>
        <v>16 734</v>
      </c>
      <c r="G1494" s="2">
        <v>400</v>
      </c>
      <c r="H1494" t="str">
        <f>"16 734"</f>
        <v>16 734</v>
      </c>
    </row>
    <row r="1495" spans="1:8" x14ac:dyDescent="0.25">
      <c r="A1495" t="s">
        <v>399</v>
      </c>
      <c r="B1495">
        <v>1004</v>
      </c>
      <c r="C1495" s="2">
        <v>2825</v>
      </c>
      <c r="D1495" s="1">
        <v>43641</v>
      </c>
      <c r="E1495" t="str">
        <f>"201906129793"</f>
        <v>201906129793</v>
      </c>
      <c r="F1495" t="str">
        <f>"403089.9"</f>
        <v>403089.9</v>
      </c>
      <c r="G1495" s="2">
        <v>250</v>
      </c>
      <c r="H1495" t="str">
        <f>"403089.9"</f>
        <v>403089.9</v>
      </c>
    </row>
    <row r="1496" spans="1:8" x14ac:dyDescent="0.25">
      <c r="E1496" t="str">
        <f>"201906129794"</f>
        <v>201906129794</v>
      </c>
      <c r="F1496" t="str">
        <f>"402059.6"</f>
        <v>402059.6</v>
      </c>
      <c r="G1496" s="2">
        <v>250</v>
      </c>
      <c r="H1496" t="str">
        <f>"402059.6"</f>
        <v>402059.6</v>
      </c>
    </row>
    <row r="1497" spans="1:8" x14ac:dyDescent="0.25">
      <c r="E1497" t="str">
        <f>"201906129795"</f>
        <v>201906129795</v>
      </c>
      <c r="F1497" t="str">
        <f>"56 763 56 764 02-0726-1 02-072"</f>
        <v>56 763 56 764 02-0726-1 02-072</v>
      </c>
      <c r="G1497" s="2">
        <v>625</v>
      </c>
      <c r="H1497" t="str">
        <f>"56 763 56 764 02-0726-1 02-072"</f>
        <v>56 763 56 764 02-0726-1 02-072</v>
      </c>
    </row>
    <row r="1498" spans="1:8" x14ac:dyDescent="0.25">
      <c r="E1498" t="str">
        <f>"201906139885"</f>
        <v>201906139885</v>
      </c>
      <c r="F1498" t="str">
        <f>"16 071"</f>
        <v>16 071</v>
      </c>
      <c r="G1498" s="2">
        <v>1300</v>
      </c>
      <c r="H1498" t="str">
        <f>"16 071"</f>
        <v>16 071</v>
      </c>
    </row>
    <row r="1499" spans="1:8" x14ac:dyDescent="0.25">
      <c r="E1499" t="str">
        <f>"201906139886"</f>
        <v>201906139886</v>
      </c>
      <c r="F1499" t="str">
        <f>"16 593"</f>
        <v>16 593</v>
      </c>
      <c r="G1499" s="2">
        <v>400</v>
      </c>
      <c r="H1499" t="str">
        <f>"16 593"</f>
        <v>16 593</v>
      </c>
    </row>
    <row r="1500" spans="1:8" x14ac:dyDescent="0.25">
      <c r="A1500" t="s">
        <v>400</v>
      </c>
      <c r="B1500">
        <v>82820</v>
      </c>
      <c r="C1500" s="2">
        <v>55</v>
      </c>
      <c r="D1500" s="1">
        <v>43640</v>
      </c>
      <c r="E1500" t="str">
        <f>"11058"</f>
        <v>11058</v>
      </c>
      <c r="F1500" t="str">
        <f>"ACCT#13335/ORD#13135/BENCH BK"</f>
        <v>ACCT#13335/ORD#13135/BENCH BK</v>
      </c>
      <c r="G1500" s="2">
        <v>55</v>
      </c>
      <c r="H1500" t="str">
        <f>"ACCT#13335/ORD#13135/BENCH BK"</f>
        <v>ACCT#13335/ORD#13135/BENCH BK</v>
      </c>
    </row>
    <row r="1501" spans="1:8" x14ac:dyDescent="0.25">
      <c r="A1501" t="s">
        <v>401</v>
      </c>
      <c r="B1501">
        <v>82585</v>
      </c>
      <c r="C1501" s="2">
        <v>850</v>
      </c>
      <c r="D1501" s="1">
        <v>43626</v>
      </c>
      <c r="E1501" t="str">
        <f>"201906059686"</f>
        <v>201906059686</v>
      </c>
      <c r="F1501" t="str">
        <f>"TX COMMISSION ON JAIL STANDARD"</f>
        <v>TX COMMISSION ON JAIL STANDARD</v>
      </c>
      <c r="G1501" s="2">
        <v>850</v>
      </c>
      <c r="H1501" t="str">
        <f>""</f>
        <v/>
      </c>
    </row>
    <row r="1502" spans="1:8" x14ac:dyDescent="0.25">
      <c r="A1502" t="s">
        <v>402</v>
      </c>
      <c r="B1502">
        <v>82586</v>
      </c>
      <c r="C1502" s="2">
        <v>37335.589999999997</v>
      </c>
      <c r="D1502" s="1">
        <v>43626</v>
      </c>
      <c r="E1502" t="str">
        <f>"020-20253"</f>
        <v>020-20253</v>
      </c>
      <c r="F1502" t="str">
        <f>"CUST#42161/ORD#99768"</f>
        <v>CUST#42161/ORD#99768</v>
      </c>
      <c r="G1502" s="2">
        <v>35988.6</v>
      </c>
      <c r="H1502" t="str">
        <f>"CUST#42161/TREASURER"</f>
        <v>CUST#42161/TREASURER</v>
      </c>
    </row>
    <row r="1503" spans="1:8" x14ac:dyDescent="0.25">
      <c r="E1503" t="str">
        <f>""</f>
        <v/>
      </c>
      <c r="F1503" t="str">
        <f>""</f>
        <v/>
      </c>
      <c r="H1503" t="str">
        <f>"CUST#42161/TREASURER"</f>
        <v>CUST#42161/TREASURER</v>
      </c>
    </row>
    <row r="1504" spans="1:8" x14ac:dyDescent="0.25">
      <c r="E1504" t="str">
        <f>"020-20254"</f>
        <v>020-20254</v>
      </c>
      <c r="F1504" t="str">
        <f>"CUST#42161/ORD#99769"</f>
        <v>CUST#42161/ORD#99769</v>
      </c>
      <c r="G1504" s="2">
        <v>556.97</v>
      </c>
      <c r="H1504" t="str">
        <f>"CUST#42161/ORD#99769"</f>
        <v>CUST#42161/ORD#99769</v>
      </c>
    </row>
    <row r="1505" spans="1:8" x14ac:dyDescent="0.25">
      <c r="E1505" t="str">
        <f>"025-259014"</f>
        <v>025-259014</v>
      </c>
      <c r="F1505" t="str">
        <f>"CUST#42161/ORD#108339"</f>
        <v>CUST#42161/ORD#108339</v>
      </c>
      <c r="G1505" s="2">
        <v>790.02</v>
      </c>
      <c r="H1505" t="str">
        <f>"CUST#42161/ORD#108339"</f>
        <v>CUST#42161/ORD#108339</v>
      </c>
    </row>
    <row r="1506" spans="1:8" x14ac:dyDescent="0.25">
      <c r="E1506" t="str">
        <f>""</f>
        <v/>
      </c>
      <c r="F1506" t="str">
        <f>""</f>
        <v/>
      </c>
      <c r="H1506" t="str">
        <f>"CUST#42161/ORD#108339"</f>
        <v>CUST#42161/ORD#108339</v>
      </c>
    </row>
    <row r="1507" spans="1:8" x14ac:dyDescent="0.25">
      <c r="A1507" t="s">
        <v>403</v>
      </c>
      <c r="B1507">
        <v>82587</v>
      </c>
      <c r="C1507" s="2">
        <v>456.54</v>
      </c>
      <c r="D1507" s="1">
        <v>43626</v>
      </c>
      <c r="E1507" t="str">
        <f>"108718641"</f>
        <v>108718641</v>
      </c>
      <c r="F1507" t="str">
        <f>"Bogus Paper"</f>
        <v>Bogus Paper</v>
      </c>
      <c r="G1507" s="2">
        <v>456.54</v>
      </c>
      <c r="H1507" t="str">
        <f>"S-12832"</f>
        <v>S-12832</v>
      </c>
    </row>
    <row r="1508" spans="1:8" x14ac:dyDescent="0.25">
      <c r="E1508" t="str">
        <f>""</f>
        <v/>
      </c>
      <c r="F1508" t="str">
        <f>""</f>
        <v/>
      </c>
      <c r="H1508" t="str">
        <f>"Shipping"</f>
        <v>Shipping</v>
      </c>
    </row>
    <row r="1509" spans="1:8" x14ac:dyDescent="0.25">
      <c r="A1509" t="s">
        <v>404</v>
      </c>
      <c r="B1509">
        <v>994</v>
      </c>
      <c r="C1509" s="2">
        <v>1187.43</v>
      </c>
      <c r="D1509" s="1">
        <v>43641</v>
      </c>
      <c r="E1509" t="str">
        <f>"68222862-00"</f>
        <v>68222862-00</v>
      </c>
      <c r="F1509" t="str">
        <f>"CUST#706810/PARTS/GEN SVCS"</f>
        <v>CUST#706810/PARTS/GEN SVCS</v>
      </c>
      <c r="G1509" s="2">
        <v>164.33</v>
      </c>
      <c r="H1509" t="str">
        <f>"CUST#706810/GEN SVCS"</f>
        <v>CUST#706810/GEN SVCS</v>
      </c>
    </row>
    <row r="1510" spans="1:8" x14ac:dyDescent="0.25">
      <c r="E1510" t="str">
        <f>"68317140-00"</f>
        <v>68317140-00</v>
      </c>
      <c r="F1510" t="str">
        <f>"INV 68317140-00"</f>
        <v>INV 68317140-00</v>
      </c>
      <c r="G1510" s="2">
        <v>1023.1</v>
      </c>
      <c r="H1510" t="str">
        <f>"INV 68317140-00"</f>
        <v>INV 68317140-00</v>
      </c>
    </row>
    <row r="1511" spans="1:8" x14ac:dyDescent="0.25">
      <c r="A1511" t="s">
        <v>404</v>
      </c>
      <c r="B1511">
        <v>82588</v>
      </c>
      <c r="C1511" s="2">
        <v>384.38</v>
      </c>
      <c r="D1511" s="1">
        <v>43626</v>
      </c>
      <c r="E1511" t="str">
        <f>"68200367-00"</f>
        <v>68200367-00</v>
      </c>
      <c r="F1511" t="str">
        <f>"INV 68200367-00"</f>
        <v>INV 68200367-00</v>
      </c>
      <c r="G1511" s="2">
        <v>384.38</v>
      </c>
      <c r="H1511" t="str">
        <f>"INV 68200367-00"</f>
        <v>INV 68200367-00</v>
      </c>
    </row>
    <row r="1512" spans="1:8" x14ac:dyDescent="0.25">
      <c r="A1512" t="s">
        <v>334</v>
      </c>
      <c r="B1512">
        <v>82821</v>
      </c>
      <c r="C1512" s="2">
        <v>502.6</v>
      </c>
      <c r="D1512" s="1">
        <v>43640</v>
      </c>
      <c r="E1512" t="str">
        <f>"201906139878"</f>
        <v>201906139878</v>
      </c>
      <c r="F1512" t="str">
        <f>"LODGING"</f>
        <v>LODGING</v>
      </c>
      <c r="G1512" s="2">
        <v>502.6</v>
      </c>
      <c r="H1512" t="str">
        <f>"LODGING"</f>
        <v>LODGING</v>
      </c>
    </row>
    <row r="1513" spans="1:8" x14ac:dyDescent="0.25">
      <c r="A1513" t="s">
        <v>121</v>
      </c>
      <c r="B1513">
        <v>82589</v>
      </c>
      <c r="C1513" s="2">
        <v>15519.6</v>
      </c>
      <c r="D1513" s="1">
        <v>43626</v>
      </c>
      <c r="E1513" t="str">
        <f>"4521*98041*2"</f>
        <v>4521*98041*2</v>
      </c>
      <c r="F1513" t="str">
        <f>"JAIL MEDICAL"</f>
        <v>JAIL MEDICAL</v>
      </c>
      <c r="G1513" s="2">
        <v>15519.6</v>
      </c>
      <c r="H1513" t="str">
        <f>"JAIL MEDICAL"</f>
        <v>JAIL MEDICAL</v>
      </c>
    </row>
    <row r="1514" spans="1:8" x14ac:dyDescent="0.25">
      <c r="A1514" t="s">
        <v>405</v>
      </c>
      <c r="B1514">
        <v>82590</v>
      </c>
      <c r="C1514" s="2">
        <v>83.33</v>
      </c>
      <c r="D1514" s="1">
        <v>43626</v>
      </c>
      <c r="E1514" t="str">
        <f>"000018VW63209"</f>
        <v>000018VW63209</v>
      </c>
      <c r="F1514" t="str">
        <f>"INV 000018VW63209"</f>
        <v>INV 000018VW63209</v>
      </c>
      <c r="G1514" s="2">
        <v>83.33</v>
      </c>
      <c r="H1514" t="str">
        <f>"INV 000018VW63209"</f>
        <v>INV 000018VW63209</v>
      </c>
    </row>
    <row r="1515" spans="1:8" x14ac:dyDescent="0.25">
      <c r="A1515" t="s">
        <v>406</v>
      </c>
      <c r="B1515">
        <v>82591</v>
      </c>
      <c r="C1515" s="2">
        <v>240</v>
      </c>
      <c r="D1515" s="1">
        <v>43626</v>
      </c>
      <c r="E1515" t="str">
        <f>"201905299503"</f>
        <v>201905299503</v>
      </c>
      <c r="F1515" t="str">
        <f>"REIMBURSE-ANNUAL DUES"</f>
        <v>REIMBURSE-ANNUAL DUES</v>
      </c>
      <c r="G1515" s="2">
        <v>240</v>
      </c>
      <c r="H1515" t="str">
        <f>"REIMBURSE-ANNUAL DUES"</f>
        <v>REIMBURSE-ANNUAL DUES</v>
      </c>
    </row>
    <row r="1516" spans="1:8" x14ac:dyDescent="0.25">
      <c r="A1516" t="s">
        <v>407</v>
      </c>
      <c r="B1516">
        <v>82822</v>
      </c>
      <c r="C1516" s="2">
        <v>221.43</v>
      </c>
      <c r="D1516" s="1">
        <v>43640</v>
      </c>
      <c r="E1516" t="str">
        <f>"2007626"</f>
        <v>2007626</v>
      </c>
      <c r="F1516" t="str">
        <f>"ACCT#174600002268 003/FEB0519"</f>
        <v>ACCT#174600002268 003/FEB0519</v>
      </c>
      <c r="G1516" s="2">
        <v>93.33</v>
      </c>
      <c r="H1516" t="str">
        <f>"ACCT#174600002268 003"</f>
        <v>ACCT#174600002268 003</v>
      </c>
    </row>
    <row r="1517" spans="1:8" x14ac:dyDescent="0.25">
      <c r="E1517" t="str">
        <f>"2008493"</f>
        <v>2008493</v>
      </c>
      <c r="F1517" t="str">
        <f>"ACCT#174600002268 003"</f>
        <v>ACCT#174600002268 003</v>
      </c>
      <c r="G1517" s="2">
        <v>128.1</v>
      </c>
      <c r="H1517" t="str">
        <f>"ACCT#174600002268 003"</f>
        <v>ACCT#174600002268 003</v>
      </c>
    </row>
    <row r="1518" spans="1:8" x14ac:dyDescent="0.25">
      <c r="A1518" t="s">
        <v>408</v>
      </c>
      <c r="B1518">
        <v>82592</v>
      </c>
      <c r="C1518" s="2">
        <v>39909.919999999998</v>
      </c>
      <c r="D1518" s="1">
        <v>43626</v>
      </c>
      <c r="E1518" t="str">
        <f>"201906059689"</f>
        <v>201906059689</v>
      </c>
      <c r="F1518" t="str">
        <f>"Inv# 869395921921"</f>
        <v>Inv# 869395921921</v>
      </c>
      <c r="G1518" s="2">
        <v>39909.919999999998</v>
      </c>
      <c r="H1518" t="str">
        <f>"fuel"</f>
        <v>fuel</v>
      </c>
    </row>
    <row r="1519" spans="1:8" x14ac:dyDescent="0.25">
      <c r="E1519" t="str">
        <f>""</f>
        <v/>
      </c>
      <c r="F1519" t="str">
        <f>""</f>
        <v/>
      </c>
      <c r="H1519" t="str">
        <f>"tax"</f>
        <v>tax</v>
      </c>
    </row>
    <row r="1520" spans="1:8" x14ac:dyDescent="0.25">
      <c r="E1520" t="str">
        <f>""</f>
        <v/>
      </c>
      <c r="F1520" t="str">
        <f>""</f>
        <v/>
      </c>
      <c r="H1520" t="str">
        <f>"main"</f>
        <v>main</v>
      </c>
    </row>
    <row r="1521" spans="5:8" x14ac:dyDescent="0.25">
      <c r="E1521" t="str">
        <f>""</f>
        <v/>
      </c>
      <c r="F1521" t="str">
        <f>""</f>
        <v/>
      </c>
      <c r="H1521" t="str">
        <f>"fuel"</f>
        <v>fuel</v>
      </c>
    </row>
    <row r="1522" spans="5:8" x14ac:dyDescent="0.25">
      <c r="E1522" t="str">
        <f>""</f>
        <v/>
      </c>
      <c r="F1522" t="str">
        <f>""</f>
        <v/>
      </c>
      <c r="H1522" t="str">
        <f>"tax"</f>
        <v>tax</v>
      </c>
    </row>
    <row r="1523" spans="5:8" x14ac:dyDescent="0.25">
      <c r="E1523" t="str">
        <f>""</f>
        <v/>
      </c>
      <c r="F1523" t="str">
        <f>""</f>
        <v/>
      </c>
      <c r="H1523" t="str">
        <f>"main"</f>
        <v>main</v>
      </c>
    </row>
    <row r="1524" spans="5:8" x14ac:dyDescent="0.25">
      <c r="E1524" t="str">
        <f>""</f>
        <v/>
      </c>
      <c r="F1524" t="str">
        <f>""</f>
        <v/>
      </c>
      <c r="H1524" t="str">
        <f>"main"</f>
        <v>main</v>
      </c>
    </row>
    <row r="1525" spans="5:8" x14ac:dyDescent="0.25">
      <c r="E1525" t="str">
        <f>""</f>
        <v/>
      </c>
      <c r="F1525" t="str">
        <f>""</f>
        <v/>
      </c>
      <c r="H1525" t="str">
        <f>"fuel"</f>
        <v>fuel</v>
      </c>
    </row>
    <row r="1526" spans="5:8" x14ac:dyDescent="0.25">
      <c r="E1526" t="str">
        <f>""</f>
        <v/>
      </c>
      <c r="F1526" t="str">
        <f>""</f>
        <v/>
      </c>
      <c r="H1526" t="str">
        <f>"tax"</f>
        <v>tax</v>
      </c>
    </row>
    <row r="1527" spans="5:8" x14ac:dyDescent="0.25">
      <c r="E1527" t="str">
        <f>""</f>
        <v/>
      </c>
      <c r="F1527" t="str">
        <f>""</f>
        <v/>
      </c>
      <c r="H1527" t="str">
        <f>"Fuel"</f>
        <v>Fuel</v>
      </c>
    </row>
    <row r="1528" spans="5:8" x14ac:dyDescent="0.25">
      <c r="E1528" t="str">
        <f>""</f>
        <v/>
      </c>
      <c r="F1528" t="str">
        <f>""</f>
        <v/>
      </c>
      <c r="H1528" t="str">
        <f>"tax"</f>
        <v>tax</v>
      </c>
    </row>
    <row r="1529" spans="5:8" x14ac:dyDescent="0.25">
      <c r="E1529" t="str">
        <f>""</f>
        <v/>
      </c>
      <c r="F1529" t="str">
        <f>""</f>
        <v/>
      </c>
      <c r="H1529" t="str">
        <f>"main"</f>
        <v>main</v>
      </c>
    </row>
    <row r="1530" spans="5:8" x14ac:dyDescent="0.25">
      <c r="E1530" t="str">
        <f>""</f>
        <v/>
      </c>
      <c r="F1530" t="str">
        <f>""</f>
        <v/>
      </c>
      <c r="H1530" t="str">
        <f>"fuel"</f>
        <v>fuel</v>
      </c>
    </row>
    <row r="1531" spans="5:8" x14ac:dyDescent="0.25">
      <c r="E1531" t="str">
        <f>""</f>
        <v/>
      </c>
      <c r="F1531" t="str">
        <f>""</f>
        <v/>
      </c>
      <c r="H1531" t="str">
        <f>"tax"</f>
        <v>tax</v>
      </c>
    </row>
    <row r="1532" spans="5:8" x14ac:dyDescent="0.25">
      <c r="E1532" t="str">
        <f>""</f>
        <v/>
      </c>
      <c r="F1532" t="str">
        <f>""</f>
        <v/>
      </c>
      <c r="H1532" t="str">
        <f>"main"</f>
        <v>main</v>
      </c>
    </row>
    <row r="1533" spans="5:8" x14ac:dyDescent="0.25">
      <c r="E1533" t="str">
        <f>""</f>
        <v/>
      </c>
      <c r="F1533" t="str">
        <f>""</f>
        <v/>
      </c>
      <c r="H1533" t="str">
        <f>"fuel"</f>
        <v>fuel</v>
      </c>
    </row>
    <row r="1534" spans="5:8" x14ac:dyDescent="0.25">
      <c r="E1534" t="str">
        <f>""</f>
        <v/>
      </c>
      <c r="F1534" t="str">
        <f>""</f>
        <v/>
      </c>
      <c r="H1534" t="str">
        <f>"tax"</f>
        <v>tax</v>
      </c>
    </row>
    <row r="1535" spans="5:8" x14ac:dyDescent="0.25">
      <c r="E1535" t="str">
        <f>""</f>
        <v/>
      </c>
      <c r="F1535" t="str">
        <f>""</f>
        <v/>
      </c>
      <c r="H1535" t="str">
        <f>"main"</f>
        <v>main</v>
      </c>
    </row>
    <row r="1536" spans="5:8" x14ac:dyDescent="0.25">
      <c r="E1536" t="str">
        <f>""</f>
        <v/>
      </c>
      <c r="F1536" t="str">
        <f>""</f>
        <v/>
      </c>
      <c r="H1536" t="str">
        <f>"fuel"</f>
        <v>fuel</v>
      </c>
    </row>
    <row r="1537" spans="1:9" x14ac:dyDescent="0.25">
      <c r="E1537" t="str">
        <f>""</f>
        <v/>
      </c>
      <c r="F1537" t="str">
        <f>""</f>
        <v/>
      </c>
      <c r="H1537" t="str">
        <f>"tax"</f>
        <v>tax</v>
      </c>
    </row>
    <row r="1538" spans="1:9" x14ac:dyDescent="0.25">
      <c r="E1538" t="str">
        <f>""</f>
        <v/>
      </c>
      <c r="F1538" t="str">
        <f>""</f>
        <v/>
      </c>
      <c r="H1538" t="str">
        <f>"Fuel"</f>
        <v>Fuel</v>
      </c>
    </row>
    <row r="1539" spans="1:9" x14ac:dyDescent="0.25">
      <c r="E1539" t="str">
        <f>""</f>
        <v/>
      </c>
      <c r="F1539" t="str">
        <f>""</f>
        <v/>
      </c>
      <c r="H1539" t="str">
        <f>"tax"</f>
        <v>tax</v>
      </c>
    </row>
    <row r="1540" spans="1:9" x14ac:dyDescent="0.25">
      <c r="E1540" t="str">
        <f>""</f>
        <v/>
      </c>
      <c r="F1540" t="str">
        <f>""</f>
        <v/>
      </c>
      <c r="H1540" t="str">
        <f>"Fuel Rebate"</f>
        <v>Fuel Rebate</v>
      </c>
    </row>
    <row r="1541" spans="1:9" x14ac:dyDescent="0.25">
      <c r="E1541" t="str">
        <f>""</f>
        <v/>
      </c>
      <c r="F1541" t="str">
        <f>""</f>
        <v/>
      </c>
      <c r="H1541" t="str">
        <f>"fuel"</f>
        <v>fuel</v>
      </c>
    </row>
    <row r="1542" spans="1:9" x14ac:dyDescent="0.25">
      <c r="E1542" t="str">
        <f>""</f>
        <v/>
      </c>
      <c r="F1542" t="str">
        <f>""</f>
        <v/>
      </c>
      <c r="H1542" t="str">
        <f>"tax"</f>
        <v>tax</v>
      </c>
    </row>
    <row r="1543" spans="1:9" x14ac:dyDescent="0.25">
      <c r="E1543" t="str">
        <f>""</f>
        <v/>
      </c>
      <c r="F1543" t="str">
        <f>""</f>
        <v/>
      </c>
      <c r="H1543" t="str">
        <f>"main"</f>
        <v>main</v>
      </c>
    </row>
    <row r="1544" spans="1:9" x14ac:dyDescent="0.25">
      <c r="E1544" t="str">
        <f>""</f>
        <v/>
      </c>
      <c r="F1544" t="str">
        <f>""</f>
        <v/>
      </c>
      <c r="H1544" t="str">
        <f>"fuel"</f>
        <v>fuel</v>
      </c>
    </row>
    <row r="1545" spans="1:9" x14ac:dyDescent="0.25">
      <c r="E1545" t="str">
        <f>""</f>
        <v/>
      </c>
      <c r="F1545" t="str">
        <f>""</f>
        <v/>
      </c>
      <c r="H1545" t="str">
        <f>"tax"</f>
        <v>tax</v>
      </c>
    </row>
    <row r="1546" spans="1:9" x14ac:dyDescent="0.25">
      <c r="E1546" t="str">
        <f>""</f>
        <v/>
      </c>
      <c r="F1546" t="str">
        <f>""</f>
        <v/>
      </c>
      <c r="H1546" t="str">
        <f>"main"</f>
        <v>main</v>
      </c>
    </row>
    <row r="1547" spans="1:9" x14ac:dyDescent="0.25">
      <c r="E1547" t="str">
        <f>""</f>
        <v/>
      </c>
      <c r="F1547" t="str">
        <f>""</f>
        <v/>
      </c>
      <c r="H1547" t="str">
        <f>"main"</f>
        <v>main</v>
      </c>
    </row>
    <row r="1548" spans="1:9" x14ac:dyDescent="0.25">
      <c r="A1548" t="s">
        <v>409</v>
      </c>
      <c r="B1548">
        <v>82593</v>
      </c>
      <c r="C1548" s="2">
        <v>179.9</v>
      </c>
      <c r="D1548" s="1">
        <v>43626</v>
      </c>
      <c r="E1548" t="str">
        <f>"0419-DR14926"</f>
        <v>0419-DR14926</v>
      </c>
      <c r="F1548" t="str">
        <f>"CLIENT ID:CXD 14926/4/1-4/30"</f>
        <v>CLIENT ID:CXD 14926/4/1-4/30</v>
      </c>
      <c r="G1548" s="2">
        <v>179.9</v>
      </c>
      <c r="H1548" t="str">
        <f>"CLIENT ID:CXD 14926/4/1-4/30"</f>
        <v>CLIENT ID:CXD 14926/4/1-4/30</v>
      </c>
    </row>
    <row r="1549" spans="1:9" x14ac:dyDescent="0.25">
      <c r="A1549" t="s">
        <v>409</v>
      </c>
      <c r="B1549">
        <v>82823</v>
      </c>
      <c r="C1549" s="2">
        <v>92.69</v>
      </c>
      <c r="D1549" s="1">
        <v>43640</v>
      </c>
      <c r="E1549" t="str">
        <f>"0519-DR14926"</f>
        <v>0519-DR14926</v>
      </c>
      <c r="F1549" t="str">
        <f>"CLIENT ID:CXD 14926"</f>
        <v>CLIENT ID:CXD 14926</v>
      </c>
      <c r="G1549" s="2">
        <v>92.69</v>
      </c>
      <c r="H1549" t="str">
        <f>"CLIENT ID:CXD 14926"</f>
        <v>CLIENT ID:CXD 14926</v>
      </c>
    </row>
    <row r="1550" spans="1:9" x14ac:dyDescent="0.25">
      <c r="A1550" t="s">
        <v>410</v>
      </c>
      <c r="B1550">
        <v>82824</v>
      </c>
      <c r="C1550" s="2">
        <v>50</v>
      </c>
      <c r="D1550" s="1">
        <v>43640</v>
      </c>
      <c r="E1550" t="s">
        <v>105</v>
      </c>
      <c r="F1550" t="s">
        <v>411</v>
      </c>
      <c r="G1550" s="2" t="str">
        <f>"RESTITUTION-E.F. RAMON"</f>
        <v>RESTITUTION-E.F. RAMON</v>
      </c>
      <c r="H1550" t="str">
        <f>"210-0000"</f>
        <v>210-0000</v>
      </c>
      <c r="I1550" t="str">
        <f>""</f>
        <v/>
      </c>
    </row>
    <row r="1551" spans="1:9" x14ac:dyDescent="0.25">
      <c r="A1551" t="s">
        <v>412</v>
      </c>
      <c r="B1551">
        <v>889</v>
      </c>
      <c r="C1551" s="2">
        <v>2627.08</v>
      </c>
      <c r="D1551" s="1">
        <v>43627</v>
      </c>
      <c r="E1551" t="str">
        <f>"16760"</f>
        <v>16760</v>
      </c>
      <c r="F1551" t="str">
        <f>"COLD MIX/FREIGHT/PCT#4"</f>
        <v>COLD MIX/FREIGHT/PCT#4</v>
      </c>
      <c r="G1551" s="2">
        <v>2627.08</v>
      </c>
      <c r="H1551" t="str">
        <f>"COLD MIX/FREIGHT/PCT#4"</f>
        <v>COLD MIX/FREIGHT/PCT#4</v>
      </c>
    </row>
    <row r="1552" spans="1:9" x14ac:dyDescent="0.25">
      <c r="A1552" t="s">
        <v>412</v>
      </c>
      <c r="B1552">
        <v>945</v>
      </c>
      <c r="C1552" s="2">
        <v>5337.86</v>
      </c>
      <c r="D1552" s="1">
        <v>43641</v>
      </c>
      <c r="E1552" t="str">
        <f>"16813"</f>
        <v>16813</v>
      </c>
      <c r="F1552" t="str">
        <f>"COLD MIX/PCT#4"</f>
        <v>COLD MIX/PCT#4</v>
      </c>
      <c r="G1552" s="2">
        <v>2658.48</v>
      </c>
      <c r="H1552" t="str">
        <f>"COLD MIX/PCT#4"</f>
        <v>COLD MIX/PCT#4</v>
      </c>
    </row>
    <row r="1553" spans="1:8" x14ac:dyDescent="0.25">
      <c r="E1553" t="str">
        <f>"16849"</f>
        <v>16849</v>
      </c>
      <c r="F1553" t="str">
        <f>"COLD MIX/FREIGHT/PCT#4"</f>
        <v>COLD MIX/FREIGHT/PCT#4</v>
      </c>
      <c r="G1553" s="2">
        <v>2679.38</v>
      </c>
      <c r="H1553" t="str">
        <f>"COLD MIX/FREIGHT/PCT#4"</f>
        <v>COLD MIX/FREIGHT/PCT#4</v>
      </c>
    </row>
    <row r="1554" spans="1:8" x14ac:dyDescent="0.25">
      <c r="A1554" t="s">
        <v>413</v>
      </c>
      <c r="B1554">
        <v>82594</v>
      </c>
      <c r="C1554" s="2">
        <v>225</v>
      </c>
      <c r="D1554" s="1">
        <v>43626</v>
      </c>
      <c r="E1554" t="str">
        <f>"12950"</f>
        <v>12950</v>
      </c>
      <c r="F1554" t="str">
        <f>"SERVICE"</f>
        <v>SERVICE</v>
      </c>
      <c r="G1554" s="2">
        <v>225</v>
      </c>
      <c r="H1554" t="str">
        <f>"SERVICE"</f>
        <v>SERVICE</v>
      </c>
    </row>
    <row r="1555" spans="1:8" x14ac:dyDescent="0.25">
      <c r="A1555" t="s">
        <v>414</v>
      </c>
      <c r="B1555">
        <v>82443</v>
      </c>
      <c r="C1555" s="2">
        <v>19293.650000000001</v>
      </c>
      <c r="D1555" s="1">
        <v>43621</v>
      </c>
      <c r="E1555" t="str">
        <f>"9908444"</f>
        <v>9908444</v>
      </c>
      <c r="F1555" t="str">
        <f>"ACCT#5150-005117630 / 06012019"</f>
        <v>ACCT#5150-005117630 / 06012019</v>
      </c>
      <c r="G1555" s="2">
        <v>250.29</v>
      </c>
      <c r="H1555" t="str">
        <f>"ACCT#5150-005117630 / 06012019"</f>
        <v>ACCT#5150-005117630 / 06012019</v>
      </c>
    </row>
    <row r="1556" spans="1:8" x14ac:dyDescent="0.25">
      <c r="E1556" t="str">
        <f>"9908451"</f>
        <v>9908451</v>
      </c>
      <c r="F1556" t="str">
        <f>"ACCT#5150-005117766 / 06012019"</f>
        <v>ACCT#5150-005117766 / 06012019</v>
      </c>
      <c r="G1556" s="2">
        <v>109.87</v>
      </c>
      <c r="H1556" t="str">
        <f>"ACCT#5150-005117766 / 06012019"</f>
        <v>ACCT#5150-005117766 / 06012019</v>
      </c>
    </row>
    <row r="1557" spans="1:8" x14ac:dyDescent="0.25">
      <c r="E1557" t="str">
        <f>"9908455"</f>
        <v>9908455</v>
      </c>
      <c r="F1557" t="str">
        <f>"ACCT#5150-005117838 / 06012019"</f>
        <v>ACCT#5150-005117838 / 06012019</v>
      </c>
      <c r="G1557" s="2">
        <v>101.68</v>
      </c>
      <c r="H1557" t="str">
        <f>"ACCT#5150-005117838 / 06012019"</f>
        <v>ACCT#5150-005117838 / 06012019</v>
      </c>
    </row>
    <row r="1558" spans="1:8" x14ac:dyDescent="0.25">
      <c r="E1558" t="str">
        <f>"9908457"</f>
        <v>9908457</v>
      </c>
      <c r="F1558" t="str">
        <f>"ACCT#5150-005117882 / 06012019"</f>
        <v>ACCT#5150-005117882 / 06012019</v>
      </c>
      <c r="G1558" s="2">
        <v>137.32</v>
      </c>
      <c r="H1558" t="str">
        <f>"ACCT#5150-005117882 / 06012019"</f>
        <v>ACCT#5150-005117882 / 06012019</v>
      </c>
    </row>
    <row r="1559" spans="1:8" x14ac:dyDescent="0.25">
      <c r="E1559" t="str">
        <f>"9908465"</f>
        <v>9908465</v>
      </c>
      <c r="F1559" t="str">
        <f>"ACCT#5150-005118183 / 06012019"</f>
        <v>ACCT#5150-005118183 / 06012019</v>
      </c>
      <c r="G1559" s="2">
        <v>589.49</v>
      </c>
      <c r="H1559" t="str">
        <f>"ACCT#5150-005118183 / 06012019"</f>
        <v>ACCT#5150-005118183 / 06012019</v>
      </c>
    </row>
    <row r="1560" spans="1:8" x14ac:dyDescent="0.25">
      <c r="E1560" t="str">
        <f>"9908534"</f>
        <v>9908534</v>
      </c>
      <c r="F1560" t="str">
        <f>"ACCT#5150-005129483 / 06012019"</f>
        <v>ACCT#5150-005129483 / 06012019</v>
      </c>
      <c r="G1560" s="2">
        <v>18105</v>
      </c>
      <c r="H1560" t="str">
        <f>"ACCT#5150-005129483 / 06012019"</f>
        <v>ACCT#5150-005129483 / 06012019</v>
      </c>
    </row>
    <row r="1561" spans="1:8" x14ac:dyDescent="0.25">
      <c r="A1561" t="s">
        <v>414</v>
      </c>
      <c r="B1561">
        <v>82595</v>
      </c>
      <c r="C1561" s="2">
        <v>1024.92</v>
      </c>
      <c r="D1561" s="1">
        <v>43626</v>
      </c>
      <c r="E1561" t="str">
        <f>"9908761"</f>
        <v>9908761</v>
      </c>
      <c r="F1561" t="str">
        <f>"ACCT#5150-005150524/PCT#1"</f>
        <v>ACCT#5150-005150524/PCT#1</v>
      </c>
      <c r="G1561" s="2">
        <v>850</v>
      </c>
      <c r="H1561" t="str">
        <f>"ACCT#5150-005150524/PCT#1"</f>
        <v>ACCT#5150-005150524/PCT#1</v>
      </c>
    </row>
    <row r="1562" spans="1:8" x14ac:dyDescent="0.25">
      <c r="E1562" t="str">
        <f>"9913695"</f>
        <v>9913695</v>
      </c>
      <c r="F1562" t="str">
        <f>"ACCT#5150-16203415/911 BLDG"</f>
        <v>ACCT#5150-16203415/911 BLDG</v>
      </c>
      <c r="G1562" s="2">
        <v>174.92</v>
      </c>
      <c r="H1562" t="str">
        <f>"ACCT#5150-16203415/911 BLDG"</f>
        <v>ACCT#5150-16203415/911 BLDG</v>
      </c>
    </row>
    <row r="1563" spans="1:8" x14ac:dyDescent="0.25">
      <c r="A1563" t="s">
        <v>415</v>
      </c>
      <c r="B1563">
        <v>82596</v>
      </c>
      <c r="C1563" s="2">
        <v>32.33</v>
      </c>
      <c r="D1563" s="1">
        <v>43626</v>
      </c>
      <c r="E1563" t="str">
        <f>"0038443-2161-6"</f>
        <v>0038443-2161-6</v>
      </c>
      <c r="F1563" t="str">
        <f>"CUST ID:2-56581-95066/A/C"</f>
        <v>CUST ID:2-56581-95066/A/C</v>
      </c>
      <c r="G1563" s="2">
        <v>32.33</v>
      </c>
      <c r="H1563" t="str">
        <f>"CUST ID:2-56581-95066/A/C"</f>
        <v>CUST ID:2-56581-95066/A/C</v>
      </c>
    </row>
    <row r="1564" spans="1:8" x14ac:dyDescent="0.25">
      <c r="A1564" t="s">
        <v>415</v>
      </c>
      <c r="B1564">
        <v>82825</v>
      </c>
      <c r="C1564" s="2">
        <v>5380.76</v>
      </c>
      <c r="D1564" s="1">
        <v>43640</v>
      </c>
      <c r="E1564" t="str">
        <f>"0020095-2161-4"</f>
        <v>0020095-2161-4</v>
      </c>
      <c r="F1564" t="str">
        <f>"CUST ID:2-57060-55062/R&amp;B/P4"</f>
        <v>CUST ID:2-57060-55062/R&amp;B/P4</v>
      </c>
      <c r="G1564" s="2">
        <v>5380.76</v>
      </c>
      <c r="H1564" t="str">
        <f>"CUST ID:2-57060-55062/R&amp;B/P4"</f>
        <v>CUST ID:2-57060-55062/R&amp;B/P4</v>
      </c>
    </row>
    <row r="1565" spans="1:8" x14ac:dyDescent="0.25">
      <c r="A1565" t="s">
        <v>416</v>
      </c>
      <c r="B1565">
        <v>898</v>
      </c>
      <c r="C1565" s="2">
        <v>3094</v>
      </c>
      <c r="D1565" s="1">
        <v>43627</v>
      </c>
      <c r="E1565" t="str">
        <f>"3782"</f>
        <v>3782</v>
      </c>
      <c r="F1565" t="str">
        <f>"SHIRTS/PCT#2"</f>
        <v>SHIRTS/PCT#2</v>
      </c>
      <c r="G1565" s="2">
        <v>3094</v>
      </c>
      <c r="H1565" t="str">
        <f>"SHIRTS/PCT#2"</f>
        <v>SHIRTS/PCT#2</v>
      </c>
    </row>
    <row r="1566" spans="1:8" x14ac:dyDescent="0.25">
      <c r="A1566" t="s">
        <v>417</v>
      </c>
      <c r="B1566">
        <v>952</v>
      </c>
      <c r="C1566" s="2">
        <v>9701.59</v>
      </c>
      <c r="D1566" s="1">
        <v>43641</v>
      </c>
      <c r="E1566" t="str">
        <f>"22547"</f>
        <v>22547</v>
      </c>
      <c r="F1566" t="str">
        <f>"INV 22547"</f>
        <v>INV 22547</v>
      </c>
      <c r="G1566" s="2">
        <v>9701.59</v>
      </c>
      <c r="H1566" t="str">
        <f>"INV 22547"</f>
        <v>INV 22547</v>
      </c>
    </row>
    <row r="1567" spans="1:8" x14ac:dyDescent="0.25">
      <c r="A1567" t="s">
        <v>418</v>
      </c>
      <c r="B1567">
        <v>82826</v>
      </c>
      <c r="C1567" s="2">
        <v>70</v>
      </c>
      <c r="D1567" s="1">
        <v>43640</v>
      </c>
      <c r="E1567" t="str">
        <f>"13206"</f>
        <v>13206</v>
      </c>
      <c r="F1567" t="str">
        <f>"SERVICE"</f>
        <v>SERVICE</v>
      </c>
      <c r="G1567" s="2">
        <v>70</v>
      </c>
      <c r="H1567" t="str">
        <f>"SERVICE"</f>
        <v>SERVICE</v>
      </c>
    </row>
    <row r="1568" spans="1:8" x14ac:dyDescent="0.25">
      <c r="A1568" t="s">
        <v>419</v>
      </c>
      <c r="B1568">
        <v>82827</v>
      </c>
      <c r="C1568" s="2">
        <v>70</v>
      </c>
      <c r="D1568" s="1">
        <v>43640</v>
      </c>
      <c r="E1568" t="str">
        <f>"12925"</f>
        <v>12925</v>
      </c>
      <c r="F1568" t="str">
        <f>"SERVICE  05/13/19"</f>
        <v>SERVICE  05/13/19</v>
      </c>
      <c r="G1568" s="2">
        <v>70</v>
      </c>
      <c r="H1568" t="str">
        <f>"SERVICE  05/13/19"</f>
        <v>SERVICE  05/13/19</v>
      </c>
    </row>
    <row r="1569" spans="1:9" x14ac:dyDescent="0.25">
      <c r="A1569" t="s">
        <v>420</v>
      </c>
      <c r="B1569">
        <v>82597</v>
      </c>
      <c r="C1569" s="2">
        <v>22.84</v>
      </c>
      <c r="D1569" s="1">
        <v>43626</v>
      </c>
      <c r="E1569" t="str">
        <f>"IN2065902"</f>
        <v>IN2065902</v>
      </c>
      <c r="F1569" t="str">
        <f>"ACCT#CO150:40G634"</f>
        <v>ACCT#CO150:40G634</v>
      </c>
      <c r="G1569" s="2">
        <v>22.84</v>
      </c>
      <c r="H1569" t="str">
        <f>"ACCT#CO150:40G634"</f>
        <v>ACCT#CO150:40G634</v>
      </c>
    </row>
    <row r="1570" spans="1:9" x14ac:dyDescent="0.25">
      <c r="A1570" t="s">
        <v>421</v>
      </c>
      <c r="B1570">
        <v>1005</v>
      </c>
      <c r="C1570" s="2">
        <v>77.98</v>
      </c>
      <c r="D1570" s="1">
        <v>43641</v>
      </c>
      <c r="E1570" t="str">
        <f>"097196527"</f>
        <v>097196527</v>
      </c>
      <c r="F1570" t="str">
        <f>"CUST#662445931"</f>
        <v>CUST#662445931</v>
      </c>
      <c r="G1570" s="2">
        <v>38.99</v>
      </c>
      <c r="H1570" t="str">
        <f>"CUST#662445931"</f>
        <v>CUST#662445931</v>
      </c>
    </row>
    <row r="1571" spans="1:9" x14ac:dyDescent="0.25">
      <c r="E1571" t="str">
        <f>"097196528"</f>
        <v>097196528</v>
      </c>
      <c r="F1571" t="str">
        <f>"CUST#723230843"</f>
        <v>CUST#723230843</v>
      </c>
      <c r="G1571" s="2">
        <v>38.99</v>
      </c>
      <c r="H1571" t="str">
        <f>"CUST#723230843"</f>
        <v>CUST#723230843</v>
      </c>
    </row>
    <row r="1572" spans="1:9" x14ac:dyDescent="0.25">
      <c r="A1572" t="s">
        <v>422</v>
      </c>
      <c r="B1572">
        <v>82828</v>
      </c>
      <c r="C1572" s="2">
        <v>2881.2</v>
      </c>
      <c r="D1572" s="1">
        <v>43640</v>
      </c>
      <c r="E1572" t="str">
        <f>"IN00019543"</f>
        <v>IN00019543</v>
      </c>
      <c r="F1572" t="str">
        <f>"XMedius Phone Support"</f>
        <v>XMedius Phone Support</v>
      </c>
      <c r="G1572" s="2">
        <v>2881.2</v>
      </c>
      <c r="H1572" t="str">
        <f>"SUP-REG-XM-ENT"</f>
        <v>SUP-REG-XM-ENT</v>
      </c>
    </row>
    <row r="1573" spans="1:9" x14ac:dyDescent="0.25">
      <c r="E1573" t="str">
        <f>""</f>
        <v/>
      </c>
      <c r="F1573" t="str">
        <f>""</f>
        <v/>
      </c>
      <c r="H1573" t="str">
        <f>"XMedius Phone Support"</f>
        <v>XMedius Phone Support</v>
      </c>
    </row>
    <row r="1574" spans="1:9" x14ac:dyDescent="0.25">
      <c r="A1574" t="s">
        <v>423</v>
      </c>
      <c r="B1574">
        <v>82829</v>
      </c>
      <c r="C1574" s="2">
        <v>300</v>
      </c>
      <c r="D1574" s="1">
        <v>43640</v>
      </c>
      <c r="E1574" t="str">
        <f>"0013590"</f>
        <v>0013590</v>
      </c>
      <c r="F1574" t="str">
        <f>"MEETING"</f>
        <v>MEETING</v>
      </c>
      <c r="G1574" s="2">
        <v>300</v>
      </c>
      <c r="H1574" t="str">
        <f>"MEETING"</f>
        <v>MEETING</v>
      </c>
    </row>
    <row r="1575" spans="1:9" x14ac:dyDescent="0.25">
      <c r="A1575" t="s">
        <v>424</v>
      </c>
      <c r="B1575">
        <v>82830</v>
      </c>
      <c r="C1575" s="2">
        <v>205</v>
      </c>
      <c r="D1575" s="1">
        <v>43640</v>
      </c>
      <c r="E1575" t="str">
        <f>"201906139879"</f>
        <v>201906139879</v>
      </c>
      <c r="F1575" t="str">
        <f>"PER DIEM"</f>
        <v>PER DIEM</v>
      </c>
      <c r="G1575" s="2">
        <v>205</v>
      </c>
      <c r="H1575" t="str">
        <f>"PER DIEM"</f>
        <v>PER DIEM</v>
      </c>
    </row>
    <row r="1576" spans="1:9" x14ac:dyDescent="0.25">
      <c r="A1576" t="s">
        <v>425</v>
      </c>
      <c r="B1576">
        <v>82598</v>
      </c>
      <c r="C1576" s="2">
        <v>811.2</v>
      </c>
      <c r="D1576" s="1">
        <v>43626</v>
      </c>
      <c r="E1576" t="str">
        <f>"502599"</f>
        <v>502599</v>
      </c>
      <c r="F1576" t="str">
        <f>"INV  ORDER 502599"</f>
        <v>INV  ORDER 502599</v>
      </c>
      <c r="G1576" s="2">
        <v>811.2</v>
      </c>
      <c r="H1576" t="str">
        <f>"INV  ORDER 502599"</f>
        <v>INV  ORDER 502599</v>
      </c>
    </row>
    <row r="1577" spans="1:9" x14ac:dyDescent="0.25">
      <c r="A1577" t="s">
        <v>426</v>
      </c>
      <c r="B1577">
        <v>82599</v>
      </c>
      <c r="C1577" s="2">
        <v>916.8</v>
      </c>
      <c r="D1577" s="1">
        <v>43626</v>
      </c>
      <c r="E1577" t="str">
        <f>"9008257269"</f>
        <v>9008257269</v>
      </c>
      <c r="F1577" t="str">
        <f>"CUST#2000053103/ANIMAL SHELTER"</f>
        <v>CUST#2000053103/ANIMAL SHELTER</v>
      </c>
      <c r="G1577" s="2">
        <v>916.8</v>
      </c>
      <c r="H1577" t="str">
        <f>"CUST#2000053103/ANIMAL SHELTER"</f>
        <v>CUST#2000053103/ANIMAL SHELTER</v>
      </c>
    </row>
    <row r="1578" spans="1:9" x14ac:dyDescent="0.25">
      <c r="A1578" t="s">
        <v>427</v>
      </c>
      <c r="B1578">
        <v>82600</v>
      </c>
      <c r="C1578" s="2">
        <v>2663.84</v>
      </c>
      <c r="D1578" s="1">
        <v>43626</v>
      </c>
      <c r="E1578" t="str">
        <f>"INV6023953"</f>
        <v>INV6023953</v>
      </c>
      <c r="F1578" t="str">
        <f>"Type 3 barricades"</f>
        <v>Type 3 barricades</v>
      </c>
      <c r="G1578" s="2">
        <v>2663.84</v>
      </c>
      <c r="H1578" t="str">
        <f>"Type 3 barricades"</f>
        <v>Type 3 barricades</v>
      </c>
    </row>
    <row r="1579" spans="1:9" x14ac:dyDescent="0.25">
      <c r="E1579" t="str">
        <f>""</f>
        <v/>
      </c>
      <c r="F1579" t="str">
        <f>""</f>
        <v/>
      </c>
      <c r="H1579" t="str">
        <f>"promo code"</f>
        <v>promo code</v>
      </c>
    </row>
    <row r="1580" spans="1:9" x14ac:dyDescent="0.25">
      <c r="A1580" t="s">
        <v>428</v>
      </c>
      <c r="B1580">
        <v>82831</v>
      </c>
      <c r="C1580" s="2">
        <v>50</v>
      </c>
      <c r="D1580" s="1">
        <v>43640</v>
      </c>
      <c r="E1580" t="s">
        <v>105</v>
      </c>
      <c r="F1580" t="s">
        <v>429</v>
      </c>
      <c r="G1580" s="2" t="str">
        <f>"RESTITUTION-E.F. RAMON"</f>
        <v>RESTITUTION-E.F. RAMON</v>
      </c>
      <c r="H1580" t="str">
        <f>"210-0000"</f>
        <v>210-0000</v>
      </c>
      <c r="I1580" t="str">
        <f>""</f>
        <v/>
      </c>
    </row>
    <row r="1581" spans="1:9" x14ac:dyDescent="0.25">
      <c r="A1581" t="s">
        <v>26</v>
      </c>
      <c r="B1581">
        <v>82601</v>
      </c>
      <c r="C1581" s="2">
        <v>172.02</v>
      </c>
      <c r="D1581" s="1">
        <v>43626</v>
      </c>
      <c r="E1581" t="str">
        <f>"1VGF-X6TP-RHLQ"</f>
        <v>1VGF-X6TP-RHLQ</v>
      </c>
      <c r="F1581" t="str">
        <f>"Camera Battery"</f>
        <v>Camera Battery</v>
      </c>
      <c r="G1581" s="2">
        <v>26.45</v>
      </c>
      <c r="H1581" t="str">
        <f>"Camera Battery"</f>
        <v>Camera Battery</v>
      </c>
    </row>
    <row r="1582" spans="1:9" x14ac:dyDescent="0.25">
      <c r="E1582" t="str">
        <f>"INXN-CMDM-PFCH"</f>
        <v>INXN-CMDM-PFCH</v>
      </c>
      <c r="F1582" t="str">
        <f>"Boot Camp Supplies"</f>
        <v>Boot Camp Supplies</v>
      </c>
      <c r="G1582" s="2">
        <v>145.57</v>
      </c>
      <c r="H1582" t="str">
        <f>"Air Wick Scented Oil"</f>
        <v>Air Wick Scented Oil</v>
      </c>
    </row>
    <row r="1583" spans="1:9" x14ac:dyDescent="0.25">
      <c r="E1583" t="str">
        <f>""</f>
        <v/>
      </c>
      <c r="F1583" t="str">
        <f>""</f>
        <v/>
      </c>
      <c r="H1583" t="str">
        <f>"Quilted Northern Ult"</f>
        <v>Quilted Northern Ult</v>
      </c>
    </row>
    <row r="1584" spans="1:9" x14ac:dyDescent="0.25">
      <c r="E1584" t="str">
        <f>""</f>
        <v/>
      </c>
      <c r="F1584" t="str">
        <f>""</f>
        <v/>
      </c>
      <c r="H1584" t="str">
        <f>"Cyclone .095-Inch-by"</f>
        <v>Cyclone .095-Inch-by</v>
      </c>
    </row>
    <row r="1585" spans="1:8" x14ac:dyDescent="0.25">
      <c r="E1585" t="str">
        <f>""</f>
        <v/>
      </c>
      <c r="F1585" t="str">
        <f>""</f>
        <v/>
      </c>
      <c r="H1585" t="str">
        <f>"Quickie All-Purpose"</f>
        <v>Quickie All-Purpose</v>
      </c>
    </row>
    <row r="1586" spans="1:8" x14ac:dyDescent="0.25">
      <c r="E1586" t="str">
        <f>""</f>
        <v/>
      </c>
      <c r="F1586" t="str">
        <f>""</f>
        <v/>
      </c>
      <c r="H1586" t="str">
        <f>"2-Ply Paper Towels"</f>
        <v>2-Ply Paper Towels</v>
      </c>
    </row>
    <row r="1587" spans="1:8" x14ac:dyDescent="0.25">
      <c r="E1587" t="str">
        <f>""</f>
        <v/>
      </c>
      <c r="F1587" t="str">
        <f>""</f>
        <v/>
      </c>
      <c r="H1587" t="str">
        <f>"Plastic Party Cups"</f>
        <v>Plastic Party Cups</v>
      </c>
    </row>
    <row r="1588" spans="1:8" x14ac:dyDescent="0.25">
      <c r="A1588" t="s">
        <v>33</v>
      </c>
      <c r="B1588">
        <v>82602</v>
      </c>
      <c r="C1588" s="2">
        <v>286.98</v>
      </c>
      <c r="D1588" s="1">
        <v>43626</v>
      </c>
      <c r="E1588" t="str">
        <f>"201906049580"</f>
        <v>201906049580</v>
      </c>
      <c r="F1588" t="str">
        <f>"ACCT#015397/JUVENILE BOOT CAMP"</f>
        <v>ACCT#015397/JUVENILE BOOT CAMP</v>
      </c>
      <c r="G1588" s="2">
        <v>286.98</v>
      </c>
      <c r="H1588" t="str">
        <f>"ACCT#015397/JUVENILE BOOT CAMP"</f>
        <v>ACCT#015397/JUVENILE BOOT CAMP</v>
      </c>
    </row>
    <row r="1589" spans="1:8" x14ac:dyDescent="0.25">
      <c r="A1589" t="s">
        <v>52</v>
      </c>
      <c r="B1589">
        <v>82832</v>
      </c>
      <c r="C1589" s="2">
        <v>179.18</v>
      </c>
      <c r="D1589" s="1">
        <v>43640</v>
      </c>
      <c r="E1589" t="str">
        <f>"201906149904"</f>
        <v>201906149904</v>
      </c>
      <c r="F1589" t="str">
        <f>"ACCT#BC01"</f>
        <v>ACCT#BC01</v>
      </c>
      <c r="G1589" s="2">
        <v>179.18</v>
      </c>
      <c r="H1589" t="str">
        <f>"ACCT#BC01"</f>
        <v>ACCT#BC01</v>
      </c>
    </row>
    <row r="1590" spans="1:8" x14ac:dyDescent="0.25">
      <c r="A1590" t="s">
        <v>430</v>
      </c>
      <c r="B1590">
        <v>82833</v>
      </c>
      <c r="C1590" s="2">
        <v>59468.51</v>
      </c>
      <c r="D1590" s="1">
        <v>43640</v>
      </c>
      <c r="E1590" t="str">
        <f>"201906190051"</f>
        <v>201906190051</v>
      </c>
      <c r="F1590" t="str">
        <f>"BOOT CAMP EXPS 1ST QTR FY2019"</f>
        <v>BOOT CAMP EXPS 1ST QTR FY2019</v>
      </c>
      <c r="G1590" s="2">
        <v>32562.54</v>
      </c>
      <c r="H1590" t="str">
        <f>"BOOT CAMP EXPS 1ST QTR FY2019"</f>
        <v>BOOT CAMP EXPS 1ST QTR FY2019</v>
      </c>
    </row>
    <row r="1591" spans="1:8" x14ac:dyDescent="0.25">
      <c r="E1591" t="str">
        <f>"201906190052"</f>
        <v>201906190052</v>
      </c>
      <c r="F1591" t="str">
        <f>"BOOT CAMP EXPS 2ND QTR FY2019"</f>
        <v>BOOT CAMP EXPS 2ND QTR FY2019</v>
      </c>
      <c r="G1591" s="2">
        <v>26905.97</v>
      </c>
      <c r="H1591" t="str">
        <f>"BOOT CAMP EXPS 2ND QTR FY2019"</f>
        <v>BOOT CAMP EXPS 2ND QTR FY2019</v>
      </c>
    </row>
    <row r="1592" spans="1:8" x14ac:dyDescent="0.25">
      <c r="A1592" t="s">
        <v>431</v>
      </c>
      <c r="B1592">
        <v>82834</v>
      </c>
      <c r="C1592" s="2">
        <v>4965</v>
      </c>
      <c r="D1592" s="1">
        <v>43640</v>
      </c>
      <c r="E1592" t="str">
        <f>"18-7310.1"</f>
        <v>18-7310.1</v>
      </c>
      <c r="F1592" t="str">
        <f>"inv# 18-7310.1"</f>
        <v>inv# 18-7310.1</v>
      </c>
      <c r="G1592" s="2">
        <v>4965</v>
      </c>
      <c r="H1592" t="str">
        <f>"2 man survey crew"</f>
        <v>2 man survey crew</v>
      </c>
    </row>
    <row r="1593" spans="1:8" x14ac:dyDescent="0.25">
      <c r="E1593" t="str">
        <f>""</f>
        <v/>
      </c>
      <c r="F1593" t="str">
        <f>""</f>
        <v/>
      </c>
      <c r="H1593" t="str">
        <f>"Land Surveyor"</f>
        <v>Land Surveyor</v>
      </c>
    </row>
    <row r="1594" spans="1:8" x14ac:dyDescent="0.25">
      <c r="E1594" t="str">
        <f>""</f>
        <v/>
      </c>
      <c r="F1594" t="str">
        <f>""</f>
        <v/>
      </c>
      <c r="H1594" t="str">
        <f>"Technician"</f>
        <v>Technician</v>
      </c>
    </row>
    <row r="1595" spans="1:8" x14ac:dyDescent="0.25">
      <c r="A1595" t="s">
        <v>65</v>
      </c>
      <c r="B1595">
        <v>82614</v>
      </c>
      <c r="C1595" s="2">
        <v>320.94</v>
      </c>
      <c r="D1595" s="1">
        <v>43628</v>
      </c>
      <c r="E1595" t="str">
        <f>"201906129760"</f>
        <v>201906129760</v>
      </c>
      <c r="F1595" t="str">
        <f>"ACCT#5000057374 / 06042019"</f>
        <v>ACCT#5000057374 / 06042019</v>
      </c>
      <c r="G1595" s="2">
        <v>320.94</v>
      </c>
      <c r="H1595" t="str">
        <f>"ACCT#5000057374 / 06042019"</f>
        <v>ACCT#5000057374 / 06042019</v>
      </c>
    </row>
    <row r="1596" spans="1:8" x14ac:dyDescent="0.25">
      <c r="A1596" t="s">
        <v>81</v>
      </c>
      <c r="B1596">
        <v>152</v>
      </c>
      <c r="C1596" s="2">
        <v>192.22</v>
      </c>
      <c r="D1596" s="1">
        <v>43640</v>
      </c>
      <c r="E1596" t="str">
        <f>"201906190056"</f>
        <v>201906190056</v>
      </c>
      <c r="F1596" t="str">
        <f>"acct# 0058"</f>
        <v>acct# 0058</v>
      </c>
      <c r="G1596" s="2">
        <v>192.22</v>
      </c>
      <c r="H1596" t="str">
        <f>"Magnets on the cheap"</f>
        <v>Magnets on the cheap</v>
      </c>
    </row>
    <row r="1597" spans="1:8" x14ac:dyDescent="0.25">
      <c r="A1597" t="s">
        <v>432</v>
      </c>
      <c r="B1597">
        <v>82603</v>
      </c>
      <c r="C1597" s="2">
        <v>262241.17</v>
      </c>
      <c r="D1597" s="1">
        <v>43626</v>
      </c>
      <c r="E1597" t="str">
        <f>"INV382261"</f>
        <v>INV382261</v>
      </c>
      <c r="F1597" t="str">
        <f>"Mike FIsher AV System"</f>
        <v>Mike FIsher AV System</v>
      </c>
      <c r="G1597" s="2">
        <v>262241.17</v>
      </c>
      <c r="H1597" t="str">
        <f>"QM85N"</f>
        <v>QM85N</v>
      </c>
    </row>
    <row r="1598" spans="1:8" x14ac:dyDescent="0.25">
      <c r="E1598" t="str">
        <f>""</f>
        <v/>
      </c>
      <c r="F1598" t="str">
        <f>""</f>
        <v/>
      </c>
      <c r="H1598" t="str">
        <f>"BE82N"</f>
        <v>BE82N</v>
      </c>
    </row>
    <row r="1599" spans="1:8" x14ac:dyDescent="0.25">
      <c r="E1599" t="str">
        <f>""</f>
        <v/>
      </c>
      <c r="F1599" t="str">
        <f>""</f>
        <v/>
      </c>
      <c r="H1599" t="str">
        <f>"QB75N"</f>
        <v>QB75N</v>
      </c>
    </row>
    <row r="1600" spans="1:8" x14ac:dyDescent="0.25">
      <c r="E1600" t="str">
        <f>""</f>
        <v/>
      </c>
      <c r="F1600" t="str">
        <f>""</f>
        <v/>
      </c>
      <c r="H1600" t="str">
        <f>"QB65N"</f>
        <v>QB65N</v>
      </c>
    </row>
    <row r="1601" spans="5:8" x14ac:dyDescent="0.25">
      <c r="E1601" t="str">
        <f>""</f>
        <v/>
      </c>
      <c r="F1601" t="str">
        <f>""</f>
        <v/>
      </c>
      <c r="H1601" t="str">
        <f>"UM55H-E"</f>
        <v>UM55H-E</v>
      </c>
    </row>
    <row r="1602" spans="5:8" x14ac:dyDescent="0.25">
      <c r="E1602" t="str">
        <f>""</f>
        <v/>
      </c>
      <c r="F1602" t="str">
        <f>""</f>
        <v/>
      </c>
      <c r="H1602" t="str">
        <f>"R9861520NA"</f>
        <v>R9861520NA</v>
      </c>
    </row>
    <row r="1603" spans="5:8" x14ac:dyDescent="0.25">
      <c r="E1603" t="str">
        <f>""</f>
        <v/>
      </c>
      <c r="F1603" t="str">
        <f>""</f>
        <v/>
      </c>
      <c r="H1603" t="str">
        <f>"DMF-CI-8"</f>
        <v>DMF-CI-8</v>
      </c>
    </row>
    <row r="1604" spans="5:8" x14ac:dyDescent="0.25">
      <c r="E1604" t="str">
        <f>""</f>
        <v/>
      </c>
      <c r="F1604" t="str">
        <f>""</f>
        <v/>
      </c>
      <c r="H1604" t="str">
        <f>"DM-NVX-350"</f>
        <v>DM-NVX-350</v>
      </c>
    </row>
    <row r="1605" spans="5:8" x14ac:dyDescent="0.25">
      <c r="E1605" t="str">
        <f>""</f>
        <v/>
      </c>
      <c r="F1605" t="str">
        <f>""</f>
        <v/>
      </c>
      <c r="H1605" t="str">
        <f>"DM-NVX-E30C"</f>
        <v>DM-NVX-E30C</v>
      </c>
    </row>
    <row r="1606" spans="5:8" x14ac:dyDescent="0.25">
      <c r="E1606" t="str">
        <f>""</f>
        <v/>
      </c>
      <c r="F1606" t="str">
        <f>""</f>
        <v/>
      </c>
      <c r="H1606" t="str">
        <f>"DM-NVX-D30C"</f>
        <v>DM-NVX-D30C</v>
      </c>
    </row>
    <row r="1607" spans="5:8" x14ac:dyDescent="0.25">
      <c r="E1607" t="str">
        <f>""</f>
        <v/>
      </c>
      <c r="F1607" t="str">
        <f>""</f>
        <v/>
      </c>
      <c r="H1607" t="str">
        <f>"DM-NVX-D30"</f>
        <v>DM-NVX-D30</v>
      </c>
    </row>
    <row r="1608" spans="5:8" x14ac:dyDescent="0.25">
      <c r="E1608" t="str">
        <f>""</f>
        <v/>
      </c>
      <c r="F1608" t="str">
        <f>""</f>
        <v/>
      </c>
      <c r="H1608" t="str">
        <f>"XMS-7048P"</f>
        <v>XMS-7048P</v>
      </c>
    </row>
    <row r="1609" spans="5:8" x14ac:dyDescent="0.25">
      <c r="E1609" t="str">
        <f>""</f>
        <v/>
      </c>
      <c r="F1609" t="str">
        <f>""</f>
        <v/>
      </c>
      <c r="H1609" t="str">
        <f>"60-1054-01"</f>
        <v>60-1054-01</v>
      </c>
    </row>
    <row r="1610" spans="5:8" x14ac:dyDescent="0.25">
      <c r="E1610" t="str">
        <f>""</f>
        <v/>
      </c>
      <c r="F1610" t="str">
        <f>""</f>
        <v/>
      </c>
      <c r="H1610" t="str">
        <f>"SAROS IC8T-W-T-EACH"</f>
        <v>SAROS IC8T-W-T-EACH</v>
      </c>
    </row>
    <row r="1611" spans="5:8" x14ac:dyDescent="0.25">
      <c r="E1611" t="str">
        <f>""</f>
        <v/>
      </c>
      <c r="F1611" t="str">
        <f>""</f>
        <v/>
      </c>
      <c r="H1611" t="str">
        <f>"AMP-2100-70"</f>
        <v>AMP-2100-70</v>
      </c>
    </row>
    <row r="1612" spans="5:8" x14ac:dyDescent="0.25">
      <c r="E1612" t="str">
        <f>""</f>
        <v/>
      </c>
      <c r="F1612" t="str">
        <f>""</f>
        <v/>
      </c>
      <c r="H1612" t="str">
        <f>"DM-XIO-DIR-80"</f>
        <v>DM-XIO-DIR-80</v>
      </c>
    </row>
    <row r="1613" spans="5:8" x14ac:dyDescent="0.25">
      <c r="E1613" t="str">
        <f>""</f>
        <v/>
      </c>
      <c r="F1613" t="str">
        <f>""</f>
        <v/>
      </c>
      <c r="H1613" t="str">
        <f>"CP3N"</f>
        <v>CP3N</v>
      </c>
    </row>
    <row r="1614" spans="5:8" x14ac:dyDescent="0.25">
      <c r="E1614" t="str">
        <f>""</f>
        <v/>
      </c>
      <c r="F1614" t="str">
        <f>""</f>
        <v/>
      </c>
      <c r="H1614" t="str">
        <f>"TSW-1060-B-S"</f>
        <v>TSW-1060-B-S</v>
      </c>
    </row>
    <row r="1615" spans="5:8" x14ac:dyDescent="0.25">
      <c r="E1615" t="str">
        <f>""</f>
        <v/>
      </c>
      <c r="F1615" t="str">
        <f>""</f>
        <v/>
      </c>
      <c r="H1615" t="str">
        <f>"LVSXU"</f>
        <v>LVSXU</v>
      </c>
    </row>
    <row r="1616" spans="5:8" x14ac:dyDescent="0.25">
      <c r="E1616" t="str">
        <f>""</f>
        <v/>
      </c>
      <c r="F1616" t="str">
        <f>""</f>
        <v/>
      </c>
      <c r="H1616" t="str">
        <f>"LTM1U"</f>
        <v>LTM1U</v>
      </c>
    </row>
    <row r="1617" spans="1:8" x14ac:dyDescent="0.25">
      <c r="E1617" t="str">
        <f>""</f>
        <v/>
      </c>
      <c r="F1617" t="str">
        <f>""</f>
        <v/>
      </c>
      <c r="H1617" t="str">
        <f>"TS525TU"</f>
        <v>TS525TU</v>
      </c>
    </row>
    <row r="1618" spans="1:8" x14ac:dyDescent="0.25">
      <c r="E1618" t="str">
        <f>""</f>
        <v/>
      </c>
      <c r="F1618" t="str">
        <f>""</f>
        <v/>
      </c>
      <c r="H1618" t="str">
        <f>"XTM1U"</f>
        <v>XTM1U</v>
      </c>
    </row>
    <row r="1619" spans="1:8" x14ac:dyDescent="0.25">
      <c r="E1619" t="str">
        <f>""</f>
        <v/>
      </c>
      <c r="F1619" t="str">
        <f>""</f>
        <v/>
      </c>
      <c r="H1619" t="str">
        <f>"10G-CAB-05"</f>
        <v>10G-CAB-05</v>
      </c>
    </row>
    <row r="1620" spans="1:8" x14ac:dyDescent="0.25">
      <c r="E1620" t="str">
        <f>""</f>
        <v/>
      </c>
      <c r="F1620" t="str">
        <f>""</f>
        <v/>
      </c>
      <c r="H1620" t="str">
        <f>"DL-PHDM-M-008M"</f>
        <v>DL-PHDM-M-008M</v>
      </c>
    </row>
    <row r="1621" spans="1:8" x14ac:dyDescent="0.25">
      <c r="E1621" t="str">
        <f>""</f>
        <v/>
      </c>
      <c r="F1621" t="str">
        <f>""</f>
        <v/>
      </c>
      <c r="H1621" t="str">
        <f>"DL-PHDM-M-010M"</f>
        <v>DL-PHDM-M-010M</v>
      </c>
    </row>
    <row r="1622" spans="1:8" x14ac:dyDescent="0.25">
      <c r="E1622" t="str">
        <f>""</f>
        <v/>
      </c>
      <c r="F1622" t="str">
        <f>""</f>
        <v/>
      </c>
      <c r="H1622" t="str">
        <f>"HDMPMM06F"</f>
        <v>HDMPMM06F</v>
      </c>
    </row>
    <row r="1623" spans="1:8" x14ac:dyDescent="0.25">
      <c r="E1623" t="str">
        <f>""</f>
        <v/>
      </c>
      <c r="F1623" t="str">
        <f>""</f>
        <v/>
      </c>
      <c r="H1623" t="str">
        <f>"PC-G1790-E-P-B"</f>
        <v>PC-G1790-E-P-B</v>
      </c>
    </row>
    <row r="1624" spans="1:8" x14ac:dyDescent="0.25">
      <c r="E1624" t="str">
        <f>""</f>
        <v/>
      </c>
      <c r="F1624" t="str">
        <f>""</f>
        <v/>
      </c>
      <c r="H1624" t="str">
        <f>"SCISSOR LIFT RENTAL"</f>
        <v>SCISSOR LIFT RENTAL</v>
      </c>
    </row>
    <row r="1625" spans="1:8" x14ac:dyDescent="0.25">
      <c r="E1625" t="str">
        <f>""</f>
        <v/>
      </c>
      <c r="F1625" t="str">
        <f>""</f>
        <v/>
      </c>
      <c r="H1625" t="str">
        <f>"SERVICES"</f>
        <v>SERVICES</v>
      </c>
    </row>
    <row r="1626" spans="1:8" x14ac:dyDescent="0.25">
      <c r="E1626" t="str">
        <f>""</f>
        <v/>
      </c>
      <c r="F1626" t="str">
        <f>""</f>
        <v/>
      </c>
      <c r="H1626" t="str">
        <f>"MISC. MATERIALS"</f>
        <v>MISC. MATERIALS</v>
      </c>
    </row>
    <row r="1627" spans="1:8" x14ac:dyDescent="0.25">
      <c r="E1627" t="str">
        <f>""</f>
        <v/>
      </c>
      <c r="F1627" t="str">
        <f>""</f>
        <v/>
      </c>
      <c r="H1627" t="str">
        <f>"SERVICES &amp; MAIN"</f>
        <v>SERVICES &amp; MAIN</v>
      </c>
    </row>
    <row r="1628" spans="1:8" x14ac:dyDescent="0.25">
      <c r="E1628" t="str">
        <f>""</f>
        <v/>
      </c>
      <c r="F1628" t="str">
        <f>""</f>
        <v/>
      </c>
      <c r="H1628" t="str">
        <f>"SHIPPING"</f>
        <v>SHIPPING</v>
      </c>
    </row>
    <row r="1629" spans="1:8" x14ac:dyDescent="0.25">
      <c r="A1629" t="s">
        <v>143</v>
      </c>
      <c r="B1629">
        <v>82604</v>
      </c>
      <c r="C1629" s="2">
        <v>10594.4</v>
      </c>
      <c r="D1629" s="1">
        <v>43626</v>
      </c>
      <c r="E1629" t="str">
        <f>"9402041348"</f>
        <v>9402041348</v>
      </c>
      <c r="F1629" t="str">
        <f>"ACCT#912904/BOL#24482/PCT#2"</f>
        <v>ACCT#912904/BOL#24482/PCT#2</v>
      </c>
      <c r="G1629" s="2">
        <v>10594.4</v>
      </c>
      <c r="H1629" t="str">
        <f>"ACCT#912904/BOL#24482/PCT#2"</f>
        <v>ACCT#912904/BOL#24482/PCT#2</v>
      </c>
    </row>
    <row r="1630" spans="1:8" x14ac:dyDescent="0.25">
      <c r="A1630" t="s">
        <v>433</v>
      </c>
      <c r="B1630">
        <v>153</v>
      </c>
      <c r="C1630" s="2">
        <v>355737.5</v>
      </c>
      <c r="D1630" s="1">
        <v>43640</v>
      </c>
      <c r="E1630" t="str">
        <f>"1707390"</f>
        <v>1707390</v>
      </c>
      <c r="F1630" t="str">
        <f>"DEBT SERVICE PMT - SERIES 2009"</f>
        <v>DEBT SERVICE PMT - SERIES 2009</v>
      </c>
      <c r="G1630" s="2">
        <v>150</v>
      </c>
      <c r="H1630" t="str">
        <f>"DEBT SERVICE PMT - SERIES 2009"</f>
        <v>DEBT SERVICE PMT - SERIES 2009</v>
      </c>
    </row>
    <row r="1631" spans="1:8" x14ac:dyDescent="0.25">
      <c r="E1631" t="str">
        <f>"201906139881"</f>
        <v>201906139881</v>
      </c>
      <c r="F1631" t="str">
        <f>"DEBT SERVICE PMT - SERIES 2015"</f>
        <v>DEBT SERVICE PMT - SERIES 2015</v>
      </c>
      <c r="G1631" s="2">
        <v>354837.5</v>
      </c>
      <c r="H1631" t="str">
        <f>"DEBT SERVICE PMT - SERIES 2015"</f>
        <v>DEBT SERVICE PMT - SERIES 2015</v>
      </c>
    </row>
    <row r="1632" spans="1:8" x14ac:dyDescent="0.25">
      <c r="E1632" t="str">
        <f>""</f>
        <v/>
      </c>
      <c r="F1632" t="str">
        <f>""</f>
        <v/>
      </c>
      <c r="H1632" t="str">
        <f>"DEBT SERVICE PMT - SERIES 2015"</f>
        <v>DEBT SERVICE PMT - SERIES 2015</v>
      </c>
    </row>
    <row r="1633" spans="1:8" x14ac:dyDescent="0.25">
      <c r="E1633" t="str">
        <f>"252-2202185"</f>
        <v>252-2202185</v>
      </c>
      <c r="F1633" t="str">
        <f>"DEBT SERVICE PMT - SERIES 2015"</f>
        <v>DEBT SERVICE PMT - SERIES 2015</v>
      </c>
      <c r="G1633" s="2">
        <v>750</v>
      </c>
      <c r="H1633" t="str">
        <f>"DEBT SERVICE PMT - SERIES 2015"</f>
        <v>DEBT SERVICE PMT - SERIES 2015</v>
      </c>
    </row>
    <row r="1634" spans="1:8" x14ac:dyDescent="0.25">
      <c r="A1634" t="s">
        <v>181</v>
      </c>
      <c r="B1634">
        <v>82605</v>
      </c>
      <c r="C1634" s="2">
        <v>142.76</v>
      </c>
      <c r="D1634" s="1">
        <v>43626</v>
      </c>
      <c r="E1634" t="str">
        <f>"6014846"</f>
        <v>6014846</v>
      </c>
      <c r="F1634" t="str">
        <f>"Acct# 0130"</f>
        <v>Acct# 0130</v>
      </c>
      <c r="G1634" s="2">
        <v>142.76</v>
      </c>
      <c r="H1634" t="str">
        <f>"inv# 6014846"</f>
        <v>inv# 6014846</v>
      </c>
    </row>
    <row r="1635" spans="1:8" x14ac:dyDescent="0.25">
      <c r="A1635" t="s">
        <v>434</v>
      </c>
      <c r="B1635">
        <v>82835</v>
      </c>
      <c r="C1635" s="2">
        <v>11.02</v>
      </c>
      <c r="D1635" s="1">
        <v>43640</v>
      </c>
      <c r="E1635" t="str">
        <f>"201906139882"</f>
        <v>201906139882</v>
      </c>
      <c r="F1635" t="str">
        <f>"REIMBURSE MILEAGE"</f>
        <v>REIMBURSE MILEAGE</v>
      </c>
      <c r="G1635" s="2">
        <v>11.02</v>
      </c>
      <c r="H1635" t="str">
        <f>"REIMBURSE MILEAGE"</f>
        <v>REIMBURSE MILEAGE</v>
      </c>
    </row>
    <row r="1636" spans="1:8" x14ac:dyDescent="0.25">
      <c r="A1636" t="s">
        <v>435</v>
      </c>
      <c r="B1636">
        <v>82836</v>
      </c>
      <c r="C1636" s="2">
        <v>5169.91</v>
      </c>
      <c r="D1636" s="1">
        <v>43640</v>
      </c>
      <c r="E1636" t="str">
        <f>"201905135"</f>
        <v>201905135</v>
      </c>
      <c r="F1636" t="str">
        <f>"PROJ:2017072/911 ER OP &amp; IT"</f>
        <v>PROJ:2017072/911 ER OP &amp; IT</v>
      </c>
      <c r="G1636" s="2">
        <v>5169.91</v>
      </c>
      <c r="H1636" t="str">
        <f>"PROJ:2017072/911 ER OP &amp; IT"</f>
        <v>PROJ:2017072/911 ER OP &amp; IT</v>
      </c>
    </row>
    <row r="1637" spans="1:8" x14ac:dyDescent="0.25">
      <c r="A1637" t="s">
        <v>220</v>
      </c>
      <c r="B1637">
        <v>82837</v>
      </c>
      <c r="C1637" s="2">
        <v>6396.9</v>
      </c>
      <c r="D1637" s="1">
        <v>43640</v>
      </c>
      <c r="E1637" t="str">
        <f>"811744"</f>
        <v>811744</v>
      </c>
      <c r="F1637" t="str">
        <f>"CUST#10222/IT DEPT"</f>
        <v>CUST#10222/IT DEPT</v>
      </c>
      <c r="G1637" s="2">
        <v>6396.9</v>
      </c>
      <c r="H1637" t="str">
        <f>"CUST#10222/IT DEPT"</f>
        <v>CUST#10222/IT DEPT</v>
      </c>
    </row>
    <row r="1638" spans="1:8" x14ac:dyDescent="0.25">
      <c r="A1638" t="s">
        <v>223</v>
      </c>
      <c r="B1638">
        <v>82606</v>
      </c>
      <c r="C1638" s="2">
        <v>303.61</v>
      </c>
      <c r="D1638" s="1">
        <v>43626</v>
      </c>
      <c r="E1638" t="str">
        <f>"201906059692"</f>
        <v>201906059692</v>
      </c>
      <c r="F1638" t="str">
        <f>"ACCT#1645/WILDFIRE MITIGATION"</f>
        <v>ACCT#1645/WILDFIRE MITIGATION</v>
      </c>
      <c r="G1638" s="2">
        <v>303.61</v>
      </c>
      <c r="H1638" t="str">
        <f>"ACCT#1645/WILDFIRE MITIGATION"</f>
        <v>ACCT#1645/WILDFIRE MITIGATION</v>
      </c>
    </row>
    <row r="1639" spans="1:8" x14ac:dyDescent="0.25">
      <c r="A1639" t="s">
        <v>226</v>
      </c>
      <c r="B1639">
        <v>82838</v>
      </c>
      <c r="C1639" s="2">
        <v>6131.25</v>
      </c>
      <c r="D1639" s="1">
        <v>43640</v>
      </c>
      <c r="E1639" t="str">
        <f>"3743"</f>
        <v>3743</v>
      </c>
      <c r="F1639" t="str">
        <f>"HMGP ADMIN-DRAINAGE IMP PROJ"</f>
        <v>HMGP ADMIN-DRAINAGE IMP PROJ</v>
      </c>
      <c r="G1639" s="2">
        <v>3099.25</v>
      </c>
      <c r="H1639" t="str">
        <f>"HMGP ADMIN-DRAINAGE IMP PROJ"</f>
        <v>HMGP ADMIN-DRAINAGE IMP PROJ</v>
      </c>
    </row>
    <row r="1640" spans="1:8" x14ac:dyDescent="0.25">
      <c r="E1640" t="str">
        <f>"3745"</f>
        <v>3745</v>
      </c>
      <c r="F1640" t="str">
        <f>"HMGP ADMIN-DRAIN IMP PROJ"</f>
        <v>HMGP ADMIN-DRAIN IMP PROJ</v>
      </c>
      <c r="G1640" s="2">
        <v>3032</v>
      </c>
      <c r="H1640" t="str">
        <f>"HMGP ADMIN-DRAIN IMP PROJ"</f>
        <v>HMGP ADMIN-DRAIN IMP PROJ</v>
      </c>
    </row>
    <row r="1641" spans="1:8" x14ac:dyDescent="0.25">
      <c r="A1641" t="s">
        <v>436</v>
      </c>
      <c r="B1641">
        <v>82607</v>
      </c>
      <c r="C1641" s="2">
        <v>20901.75</v>
      </c>
      <c r="D1641" s="1">
        <v>43626</v>
      </c>
      <c r="E1641" t="str">
        <f>"190000100-0419"</f>
        <v>190000100-0419</v>
      </c>
      <c r="F1641" t="str">
        <f>"PROJECT#190000100"</f>
        <v>PROJECT#190000100</v>
      </c>
      <c r="G1641" s="2">
        <v>20901.75</v>
      </c>
      <c r="H1641" t="str">
        <f>"PROJECT#190000100"</f>
        <v>PROJECT#190000100</v>
      </c>
    </row>
    <row r="1642" spans="1:8" x14ac:dyDescent="0.25">
      <c r="A1642" t="s">
        <v>437</v>
      </c>
      <c r="B1642">
        <v>82608</v>
      </c>
      <c r="C1642" s="2">
        <v>126450</v>
      </c>
      <c r="D1642" s="1">
        <v>43626</v>
      </c>
      <c r="E1642" t="str">
        <f>"201906049583"</f>
        <v>201906049583</v>
      </c>
      <c r="F1642" t="str">
        <f>"RDO EQUIPMENT CO."</f>
        <v>RDO EQUIPMENT CO.</v>
      </c>
      <c r="G1642" s="2">
        <v>126450</v>
      </c>
      <c r="H1642" t="str">
        <f>"Sakai Roller"</f>
        <v>Sakai Roller</v>
      </c>
    </row>
    <row r="1643" spans="1:8" x14ac:dyDescent="0.25">
      <c r="A1643" t="s">
        <v>438</v>
      </c>
      <c r="B1643">
        <v>82609</v>
      </c>
      <c r="C1643" s="2">
        <v>1485</v>
      </c>
      <c r="D1643" s="1">
        <v>43626</v>
      </c>
      <c r="E1643" t="str">
        <f>"13990"</f>
        <v>13990</v>
      </c>
      <c r="F1643" t="str">
        <f>"inv# 13990"</f>
        <v>inv# 13990</v>
      </c>
      <c r="G1643" s="2">
        <v>1485</v>
      </c>
      <c r="H1643" t="str">
        <f>"inv# 13990"</f>
        <v>inv# 13990</v>
      </c>
    </row>
    <row r="1644" spans="1:8" x14ac:dyDescent="0.25">
      <c r="A1644" t="s">
        <v>439</v>
      </c>
      <c r="B1644">
        <v>82610</v>
      </c>
      <c r="C1644" s="2">
        <v>34507.629999999997</v>
      </c>
      <c r="D1644" s="1">
        <v>43626</v>
      </c>
      <c r="E1644" t="str">
        <f>"181204-9"</f>
        <v>181204-9</v>
      </c>
      <c r="F1644" t="str">
        <f>"PROJECT#181204"</f>
        <v>PROJECT#181204</v>
      </c>
      <c r="G1644" s="2">
        <v>34507.629999999997</v>
      </c>
      <c r="H1644" t="str">
        <f>"PROJECT#181204"</f>
        <v>PROJECT#181204</v>
      </c>
    </row>
    <row r="1645" spans="1:8" x14ac:dyDescent="0.25">
      <c r="A1645" t="s">
        <v>367</v>
      </c>
      <c r="B1645">
        <v>82839</v>
      </c>
      <c r="C1645" s="2">
        <v>566.92999999999995</v>
      </c>
      <c r="D1645" s="1">
        <v>43640</v>
      </c>
      <c r="E1645" t="str">
        <f>"0866051-IN"</f>
        <v>0866051-IN</v>
      </c>
      <c r="F1645" t="str">
        <f>"ACCT#01-0112917/WILDFIRE MIT"</f>
        <v>ACCT#01-0112917/WILDFIRE MIT</v>
      </c>
      <c r="G1645" s="2">
        <v>566.92999999999995</v>
      </c>
      <c r="H1645" t="str">
        <f>"ACCT#01-0112917/WILDFIRE MIT"</f>
        <v>ACCT#01-0112917/WILDFIRE MIT</v>
      </c>
    </row>
    <row r="1646" spans="1:8" x14ac:dyDescent="0.25">
      <c r="A1646" t="s">
        <v>370</v>
      </c>
      <c r="B1646">
        <v>82843</v>
      </c>
      <c r="C1646" s="2">
        <v>1307.82</v>
      </c>
      <c r="D1646" s="1">
        <v>43642</v>
      </c>
      <c r="E1646" t="str">
        <f>"23557-WC3 FUND245"</f>
        <v>23557-WC3 FUND245</v>
      </c>
      <c r="F1646" t="str">
        <f>"3RD QTR 2019 WRKRS COMP/#0110"</f>
        <v>3RD QTR 2019 WRKRS COMP/#0110</v>
      </c>
      <c r="G1646" s="2">
        <v>1307.82</v>
      </c>
      <c r="H1646" t="str">
        <f>"3RD QTR 2019 WRKRS COMP/#0110"</f>
        <v>3RD QTR 2019 WRKRS COMP/#0110</v>
      </c>
    </row>
    <row r="1647" spans="1:8" x14ac:dyDescent="0.25">
      <c r="A1647" t="s">
        <v>378</v>
      </c>
      <c r="B1647">
        <v>82611</v>
      </c>
      <c r="C1647" s="2">
        <v>9029.77</v>
      </c>
      <c r="D1647" s="1">
        <v>43626</v>
      </c>
      <c r="E1647" t="str">
        <f>"9-2668-9"</f>
        <v>9-2668-9</v>
      </c>
      <c r="F1647" t="str">
        <f>"ACCT#8-2361 &amp; 8-2395"</f>
        <v>ACCT#8-2361 &amp; 8-2395</v>
      </c>
      <c r="G1647" s="2">
        <v>9029.77</v>
      </c>
      <c r="H1647" t="str">
        <f>"ACCT#8-2361 &amp; 8-2395"</f>
        <v>ACCT#8-2361 &amp; 8-2395</v>
      </c>
    </row>
    <row r="1648" spans="1:8" x14ac:dyDescent="0.25">
      <c r="A1648" t="s">
        <v>408</v>
      </c>
      <c r="B1648">
        <v>82612</v>
      </c>
      <c r="C1648" s="2">
        <v>1600.54</v>
      </c>
      <c r="D1648" s="1">
        <v>43626</v>
      </c>
      <c r="E1648" t="str">
        <f>"869395921921"</f>
        <v>869395921921</v>
      </c>
      <c r="F1648" t="str">
        <f>"inv# 869395921921"</f>
        <v>inv# 869395921921</v>
      </c>
      <c r="G1648" s="2">
        <v>1600.54</v>
      </c>
      <c r="H1648" t="str">
        <f>"Fuel"</f>
        <v>Fuel</v>
      </c>
    </row>
    <row r="1649" spans="1:8" x14ac:dyDescent="0.25">
      <c r="E1649" t="str">
        <f>""</f>
        <v/>
      </c>
      <c r="F1649" t="str">
        <f>""</f>
        <v/>
      </c>
      <c r="H1649" t="str">
        <f>"Tax"</f>
        <v>Tax</v>
      </c>
    </row>
    <row r="1650" spans="1:8" x14ac:dyDescent="0.25">
      <c r="E1650" t="str">
        <f>""</f>
        <v/>
      </c>
      <c r="F1650" t="str">
        <f>""</f>
        <v/>
      </c>
      <c r="H1650" t="str">
        <f>"Maint"</f>
        <v>Maint</v>
      </c>
    </row>
    <row r="1651" spans="1:8" x14ac:dyDescent="0.25">
      <c r="A1651" t="s">
        <v>440</v>
      </c>
      <c r="B1651">
        <v>165</v>
      </c>
      <c r="C1651" s="2">
        <v>5479.44</v>
      </c>
      <c r="D1651" s="1">
        <v>43644</v>
      </c>
      <c r="E1651" t="str">
        <f>"201906270126"</f>
        <v>201906270126</v>
      </c>
      <c r="F1651" t="str">
        <f>"ALLSTATE-AMERICAN HERITAGE LIF"</f>
        <v>ALLSTATE-AMERICAN HERITAGE LIF</v>
      </c>
      <c r="G1651" s="2">
        <v>0.02</v>
      </c>
      <c r="H1651" t="str">
        <f>"ALLSTATE-AMERICAN HERITAGE LIF"</f>
        <v>ALLSTATE-AMERICAN HERITAGE LIF</v>
      </c>
    </row>
    <row r="1652" spans="1:8" x14ac:dyDescent="0.25">
      <c r="E1652" t="str">
        <f>"AS 201906119733"</f>
        <v>AS 201906119733</v>
      </c>
      <c r="F1652" t="str">
        <f t="shared" ref="F1652:F1665" si="31">"ALLSTATE"</f>
        <v>ALLSTATE</v>
      </c>
      <c r="G1652" s="2">
        <v>533.49</v>
      </c>
      <c r="H1652" t="str">
        <f t="shared" ref="H1652:H1665" si="32">"ALLSTATE"</f>
        <v>ALLSTATE</v>
      </c>
    </row>
    <row r="1653" spans="1:8" x14ac:dyDescent="0.25">
      <c r="E1653" t="str">
        <f>"AS 201906119734"</f>
        <v>AS 201906119734</v>
      </c>
      <c r="F1653" t="str">
        <f t="shared" si="31"/>
        <v>ALLSTATE</v>
      </c>
      <c r="G1653" s="2">
        <v>27.14</v>
      </c>
      <c r="H1653" t="str">
        <f t="shared" si="32"/>
        <v>ALLSTATE</v>
      </c>
    </row>
    <row r="1654" spans="1:8" x14ac:dyDescent="0.25">
      <c r="E1654" t="str">
        <f>"AS 201906250102"</f>
        <v>AS 201906250102</v>
      </c>
      <c r="F1654" t="str">
        <f t="shared" si="31"/>
        <v>ALLSTATE</v>
      </c>
      <c r="G1654" s="2">
        <v>533.49</v>
      </c>
      <c r="H1654" t="str">
        <f t="shared" si="32"/>
        <v>ALLSTATE</v>
      </c>
    </row>
    <row r="1655" spans="1:8" x14ac:dyDescent="0.25">
      <c r="E1655" t="str">
        <f>"AS 201906250103"</f>
        <v>AS 201906250103</v>
      </c>
      <c r="F1655" t="str">
        <f t="shared" si="31"/>
        <v>ALLSTATE</v>
      </c>
      <c r="G1655" s="2">
        <v>27.14</v>
      </c>
      <c r="H1655" t="str">
        <f t="shared" si="32"/>
        <v>ALLSTATE</v>
      </c>
    </row>
    <row r="1656" spans="1:8" x14ac:dyDescent="0.25">
      <c r="E1656" t="str">
        <f>"ASD201906119733"</f>
        <v>ASD201906119733</v>
      </c>
      <c r="F1656" t="str">
        <f t="shared" si="31"/>
        <v>ALLSTATE</v>
      </c>
      <c r="G1656" s="2">
        <v>193.93</v>
      </c>
      <c r="H1656" t="str">
        <f t="shared" si="32"/>
        <v>ALLSTATE</v>
      </c>
    </row>
    <row r="1657" spans="1:8" x14ac:dyDescent="0.25">
      <c r="E1657" t="str">
        <f>"ASD201906250102"</f>
        <v>ASD201906250102</v>
      </c>
      <c r="F1657" t="str">
        <f t="shared" si="31"/>
        <v>ALLSTATE</v>
      </c>
      <c r="G1657" s="2">
        <v>193.93</v>
      </c>
      <c r="H1657" t="str">
        <f t="shared" si="32"/>
        <v>ALLSTATE</v>
      </c>
    </row>
    <row r="1658" spans="1:8" x14ac:dyDescent="0.25">
      <c r="E1658" t="str">
        <f>"ASI201906119733"</f>
        <v>ASI201906119733</v>
      </c>
      <c r="F1658" t="str">
        <f t="shared" si="31"/>
        <v>ALLSTATE</v>
      </c>
      <c r="G1658" s="2">
        <v>621.97</v>
      </c>
      <c r="H1658" t="str">
        <f t="shared" si="32"/>
        <v>ALLSTATE</v>
      </c>
    </row>
    <row r="1659" spans="1:8" x14ac:dyDescent="0.25">
      <c r="E1659" t="str">
        <f>"ASI201906119734"</f>
        <v>ASI201906119734</v>
      </c>
      <c r="F1659" t="str">
        <f t="shared" si="31"/>
        <v>ALLSTATE</v>
      </c>
      <c r="G1659" s="2">
        <v>67.150000000000006</v>
      </c>
      <c r="H1659" t="str">
        <f t="shared" si="32"/>
        <v>ALLSTATE</v>
      </c>
    </row>
    <row r="1660" spans="1:8" x14ac:dyDescent="0.25">
      <c r="E1660" t="str">
        <f>"ASI201906250102"</f>
        <v>ASI201906250102</v>
      </c>
      <c r="F1660" t="str">
        <f t="shared" si="31"/>
        <v>ALLSTATE</v>
      </c>
      <c r="G1660" s="2">
        <v>621.97</v>
      </c>
      <c r="H1660" t="str">
        <f t="shared" si="32"/>
        <v>ALLSTATE</v>
      </c>
    </row>
    <row r="1661" spans="1:8" x14ac:dyDescent="0.25">
      <c r="E1661" t="str">
        <f>"ASI201906250103"</f>
        <v>ASI201906250103</v>
      </c>
      <c r="F1661" t="str">
        <f t="shared" si="31"/>
        <v>ALLSTATE</v>
      </c>
      <c r="G1661" s="2">
        <v>67.150000000000006</v>
      </c>
      <c r="H1661" t="str">
        <f t="shared" si="32"/>
        <v>ALLSTATE</v>
      </c>
    </row>
    <row r="1662" spans="1:8" x14ac:dyDescent="0.25">
      <c r="E1662" t="str">
        <f>"AST201906119733"</f>
        <v>AST201906119733</v>
      </c>
      <c r="F1662" t="str">
        <f t="shared" si="31"/>
        <v>ALLSTATE</v>
      </c>
      <c r="G1662" s="2">
        <v>1253.42</v>
      </c>
      <c r="H1662" t="str">
        <f t="shared" si="32"/>
        <v>ALLSTATE</v>
      </c>
    </row>
    <row r="1663" spans="1:8" x14ac:dyDescent="0.25">
      <c r="E1663" t="str">
        <f>"AST201906119734"</f>
        <v>AST201906119734</v>
      </c>
      <c r="F1663" t="str">
        <f t="shared" si="31"/>
        <v>ALLSTATE</v>
      </c>
      <c r="G1663" s="2">
        <v>42.61</v>
      </c>
      <c r="H1663" t="str">
        <f t="shared" si="32"/>
        <v>ALLSTATE</v>
      </c>
    </row>
    <row r="1664" spans="1:8" x14ac:dyDescent="0.25">
      <c r="E1664" t="str">
        <f>"AST201906250102"</f>
        <v>AST201906250102</v>
      </c>
      <c r="F1664" t="str">
        <f t="shared" si="31"/>
        <v>ALLSTATE</v>
      </c>
      <c r="G1664" s="2">
        <v>1253.42</v>
      </c>
      <c r="H1664" t="str">
        <f t="shared" si="32"/>
        <v>ALLSTATE</v>
      </c>
    </row>
    <row r="1665" spans="1:8" x14ac:dyDescent="0.25">
      <c r="E1665" t="str">
        <f>"AST201906250103"</f>
        <v>AST201906250103</v>
      </c>
      <c r="F1665" t="str">
        <f t="shared" si="31"/>
        <v>ALLSTATE</v>
      </c>
      <c r="G1665" s="2">
        <v>42.61</v>
      </c>
      <c r="H1665" t="str">
        <f t="shared" si="32"/>
        <v>ALLSTATE</v>
      </c>
    </row>
    <row r="1666" spans="1:8" x14ac:dyDescent="0.25">
      <c r="A1666" t="s">
        <v>441</v>
      </c>
      <c r="B1666">
        <v>167</v>
      </c>
      <c r="C1666" s="2">
        <v>26412.43</v>
      </c>
      <c r="D1666" s="1">
        <v>43644</v>
      </c>
      <c r="E1666" t="str">
        <f>"201907020285"</f>
        <v>201907020285</v>
      </c>
      <c r="F1666" t="str">
        <f>"AmWINS Group Benefits  Inc."</f>
        <v>AmWINS Group Benefits  Inc.</v>
      </c>
      <c r="G1666" s="2">
        <v>26412.43</v>
      </c>
      <c r="H1666" t="str">
        <f>"AmWINS Group Benefits  Inc."</f>
        <v>AmWINS Group Benefits  Inc.</v>
      </c>
    </row>
    <row r="1667" spans="1:8" x14ac:dyDescent="0.25">
      <c r="A1667" t="s">
        <v>442</v>
      </c>
      <c r="B1667">
        <v>147</v>
      </c>
      <c r="C1667" s="2">
        <v>2907.9</v>
      </c>
      <c r="D1667" s="1">
        <v>43630</v>
      </c>
      <c r="E1667" t="str">
        <f>"DDP201906119735"</f>
        <v>DDP201906119735</v>
      </c>
      <c r="F1667" t="str">
        <f>"AP - TEXAS DISCOUNT DENTAL"</f>
        <v>AP - TEXAS DISCOUNT DENTAL</v>
      </c>
      <c r="G1667" s="2">
        <v>2.7</v>
      </c>
      <c r="H1667" t="str">
        <f>"AP - TEXAS DISCOUNT DENTAL"</f>
        <v>AP - TEXAS DISCOUNT DENTAL</v>
      </c>
    </row>
    <row r="1668" spans="1:8" x14ac:dyDescent="0.25">
      <c r="E1668" t="str">
        <f>"DHM201906119735"</f>
        <v>DHM201906119735</v>
      </c>
      <c r="F1668" t="str">
        <f>"AP - DENTAL HMO"</f>
        <v>AP - DENTAL HMO</v>
      </c>
      <c r="G1668" s="2">
        <v>63.31</v>
      </c>
      <c r="H1668" t="str">
        <f>"AP - DENTAL HMO"</f>
        <v>AP - DENTAL HMO</v>
      </c>
    </row>
    <row r="1669" spans="1:8" x14ac:dyDescent="0.25">
      <c r="E1669" t="str">
        <f>"DTX201906119735"</f>
        <v>DTX201906119735</v>
      </c>
      <c r="F1669" t="str">
        <f>"AP - TEXAS DENTAL"</f>
        <v>AP - TEXAS DENTAL</v>
      </c>
      <c r="G1669" s="2">
        <v>388.16</v>
      </c>
      <c r="H1669" t="str">
        <f>"AP - TEXAS DENTAL"</f>
        <v>AP - TEXAS DENTAL</v>
      </c>
    </row>
    <row r="1670" spans="1:8" x14ac:dyDescent="0.25">
      <c r="E1670" t="str">
        <f>"FD 201906119735"</f>
        <v>FD 201906119735</v>
      </c>
      <c r="F1670" t="str">
        <f>"AP - FT DEARBORN PRE-TAX"</f>
        <v>AP - FT DEARBORN PRE-TAX</v>
      </c>
      <c r="G1670" s="2">
        <v>138.33000000000001</v>
      </c>
      <c r="H1670" t="str">
        <f>"AP - FT DEARBORN PRE-TAX"</f>
        <v>AP - FT DEARBORN PRE-TAX</v>
      </c>
    </row>
    <row r="1671" spans="1:8" x14ac:dyDescent="0.25">
      <c r="E1671" t="str">
        <f>"FDT201906119735"</f>
        <v>FDT201906119735</v>
      </c>
      <c r="F1671" t="str">
        <f>"AP - FT DEARBORN AFTER TAX"</f>
        <v>AP - FT DEARBORN AFTER TAX</v>
      </c>
      <c r="G1671" s="2">
        <v>64.39</v>
      </c>
      <c r="H1671" t="str">
        <f>"AP - FT DEARBORN AFTER TAX"</f>
        <v>AP - FT DEARBORN AFTER TAX</v>
      </c>
    </row>
    <row r="1672" spans="1:8" x14ac:dyDescent="0.25">
      <c r="E1672" t="str">
        <f>"FLX201906119735"</f>
        <v>FLX201906119735</v>
      </c>
      <c r="F1672" t="str">
        <f>"AP - TEX FLEX"</f>
        <v>AP - TEX FLEX</v>
      </c>
      <c r="G1672" s="2">
        <v>220</v>
      </c>
      <c r="H1672" t="str">
        <f>"AP - TEX FLEX"</f>
        <v>AP - TEX FLEX</v>
      </c>
    </row>
    <row r="1673" spans="1:8" x14ac:dyDescent="0.25">
      <c r="E1673" t="str">
        <f>"MHS201906119735"</f>
        <v>MHS201906119735</v>
      </c>
      <c r="F1673" t="str">
        <f>"AP - HEALTH SELECT MEDICAL"</f>
        <v>AP - HEALTH SELECT MEDICAL</v>
      </c>
      <c r="G1673" s="2">
        <v>1556.5</v>
      </c>
      <c r="H1673" t="str">
        <f>"AP - HEALTH SELECT MEDICAL"</f>
        <v>AP - HEALTH SELECT MEDICAL</v>
      </c>
    </row>
    <row r="1674" spans="1:8" x14ac:dyDescent="0.25">
      <c r="E1674" t="str">
        <f>"MSW201906119735"</f>
        <v>MSW201906119735</v>
      </c>
      <c r="F1674" t="str">
        <f>"AP - SCOTT &amp; WHITE MEDICAL"</f>
        <v>AP - SCOTT &amp; WHITE MEDICAL</v>
      </c>
      <c r="G1674" s="2">
        <v>431.02</v>
      </c>
      <c r="H1674" t="str">
        <f>"AP - SCOTT &amp; WHITE MEDICAL"</f>
        <v>AP - SCOTT &amp; WHITE MEDICAL</v>
      </c>
    </row>
    <row r="1675" spans="1:8" x14ac:dyDescent="0.25">
      <c r="E1675" t="str">
        <f>"SPE201906119735"</f>
        <v>SPE201906119735</v>
      </c>
      <c r="F1675" t="str">
        <f>"AP - STATE VISION"</f>
        <v>AP - STATE VISION</v>
      </c>
      <c r="G1675" s="2">
        <v>43.49</v>
      </c>
      <c r="H1675" t="str">
        <f>"AP - STATE VISION"</f>
        <v>AP - STATE VISION</v>
      </c>
    </row>
    <row r="1676" spans="1:8" x14ac:dyDescent="0.25">
      <c r="A1676" t="s">
        <v>442</v>
      </c>
      <c r="B1676">
        <v>156</v>
      </c>
      <c r="C1676" s="2">
        <v>2907.9</v>
      </c>
      <c r="D1676" s="1">
        <v>43644</v>
      </c>
      <c r="E1676" t="str">
        <f>"DDP201906250104"</f>
        <v>DDP201906250104</v>
      </c>
      <c r="F1676" t="str">
        <f>"AP - TEXAS DISCOUNT DENTAL"</f>
        <v>AP - TEXAS DISCOUNT DENTAL</v>
      </c>
      <c r="G1676" s="2">
        <v>2.7</v>
      </c>
      <c r="H1676" t="str">
        <f>"AP - TEXAS DISCOUNT DENTAL"</f>
        <v>AP - TEXAS DISCOUNT DENTAL</v>
      </c>
    </row>
    <row r="1677" spans="1:8" x14ac:dyDescent="0.25">
      <c r="E1677" t="str">
        <f>"DHM201906250104"</f>
        <v>DHM201906250104</v>
      </c>
      <c r="F1677" t="str">
        <f>"AP - DENTAL HMO"</f>
        <v>AP - DENTAL HMO</v>
      </c>
      <c r="G1677" s="2">
        <v>63.31</v>
      </c>
      <c r="H1677" t="str">
        <f>"AP - DENTAL HMO"</f>
        <v>AP - DENTAL HMO</v>
      </c>
    </row>
    <row r="1678" spans="1:8" x14ac:dyDescent="0.25">
      <c r="E1678" t="str">
        <f>"DTX201906250104"</f>
        <v>DTX201906250104</v>
      </c>
      <c r="F1678" t="str">
        <f>"AP - TEXAS DENTAL"</f>
        <v>AP - TEXAS DENTAL</v>
      </c>
      <c r="G1678" s="2">
        <v>388.16</v>
      </c>
      <c r="H1678" t="str">
        <f>"AP - TEXAS DENTAL"</f>
        <v>AP - TEXAS DENTAL</v>
      </c>
    </row>
    <row r="1679" spans="1:8" x14ac:dyDescent="0.25">
      <c r="E1679" t="str">
        <f>"FD 201906250104"</f>
        <v>FD 201906250104</v>
      </c>
      <c r="F1679" t="str">
        <f>"AP - FT DEARBORN PRE-TAX"</f>
        <v>AP - FT DEARBORN PRE-TAX</v>
      </c>
      <c r="G1679" s="2">
        <v>138.33000000000001</v>
      </c>
      <c r="H1679" t="str">
        <f>"AP - FT DEARBORN PRE-TAX"</f>
        <v>AP - FT DEARBORN PRE-TAX</v>
      </c>
    </row>
    <row r="1680" spans="1:8" x14ac:dyDescent="0.25">
      <c r="E1680" t="str">
        <f>"FDT201906250104"</f>
        <v>FDT201906250104</v>
      </c>
      <c r="F1680" t="str">
        <f>"AP - FT DEARBORN AFTER TAX"</f>
        <v>AP - FT DEARBORN AFTER TAX</v>
      </c>
      <c r="G1680" s="2">
        <v>64.39</v>
      </c>
      <c r="H1680" t="str">
        <f>"AP - FT DEARBORN AFTER TAX"</f>
        <v>AP - FT DEARBORN AFTER TAX</v>
      </c>
    </row>
    <row r="1681" spans="1:8" x14ac:dyDescent="0.25">
      <c r="E1681" t="str">
        <f>"FLX201906250104"</f>
        <v>FLX201906250104</v>
      </c>
      <c r="F1681" t="str">
        <f>"AP - TEX FLEX"</f>
        <v>AP - TEX FLEX</v>
      </c>
      <c r="G1681" s="2">
        <v>220</v>
      </c>
      <c r="H1681" t="str">
        <f>"AP - TEX FLEX"</f>
        <v>AP - TEX FLEX</v>
      </c>
    </row>
    <row r="1682" spans="1:8" x14ac:dyDescent="0.25">
      <c r="E1682" t="str">
        <f>"MHS201906250104"</f>
        <v>MHS201906250104</v>
      </c>
      <c r="F1682" t="str">
        <f>"AP - HEALTH SELECT MEDICAL"</f>
        <v>AP - HEALTH SELECT MEDICAL</v>
      </c>
      <c r="G1682" s="2">
        <v>1556.5</v>
      </c>
      <c r="H1682" t="str">
        <f>"AP - HEALTH SELECT MEDICAL"</f>
        <v>AP - HEALTH SELECT MEDICAL</v>
      </c>
    </row>
    <row r="1683" spans="1:8" x14ac:dyDescent="0.25">
      <c r="E1683" t="str">
        <f>"MSW201906250104"</f>
        <v>MSW201906250104</v>
      </c>
      <c r="F1683" t="str">
        <f>"AP - SCOTT &amp; WHITE MEDICAL"</f>
        <v>AP - SCOTT &amp; WHITE MEDICAL</v>
      </c>
      <c r="G1683" s="2">
        <v>431.02</v>
      </c>
      <c r="H1683" t="str">
        <f>"AP - SCOTT &amp; WHITE MEDICAL"</f>
        <v>AP - SCOTT &amp; WHITE MEDICAL</v>
      </c>
    </row>
    <row r="1684" spans="1:8" x14ac:dyDescent="0.25">
      <c r="E1684" t="str">
        <f>"SPE201906250104"</f>
        <v>SPE201906250104</v>
      </c>
      <c r="F1684" t="str">
        <f>"AP - STATE VISION"</f>
        <v>AP - STATE VISION</v>
      </c>
      <c r="G1684" s="2">
        <v>43.49</v>
      </c>
      <c r="H1684" t="str">
        <f>"AP - STATE VISION"</f>
        <v>AP - STATE VISION</v>
      </c>
    </row>
    <row r="1685" spans="1:8" x14ac:dyDescent="0.25">
      <c r="A1685" t="s">
        <v>443</v>
      </c>
      <c r="B1685">
        <v>166</v>
      </c>
      <c r="C1685" s="2">
        <v>4188</v>
      </c>
      <c r="D1685" s="1">
        <v>43644</v>
      </c>
      <c r="E1685" t="str">
        <f>"201906270127"</f>
        <v>201906270127</v>
      </c>
      <c r="F1685" t="str">
        <f>"COLONIAL LIFE &amp; ACCIDENT INS."</f>
        <v>COLONIAL LIFE &amp; ACCIDENT INS.</v>
      </c>
      <c r="G1685" s="2">
        <v>0.5</v>
      </c>
      <c r="H1685" t="str">
        <f>"COLONIAL LIFE &amp; ACCIDENT INS."</f>
        <v>COLONIAL LIFE &amp; ACCIDENT INS.</v>
      </c>
    </row>
    <row r="1686" spans="1:8" x14ac:dyDescent="0.25">
      <c r="E1686" t="str">
        <f>"CL 201906119733"</f>
        <v>CL 201906119733</v>
      </c>
      <c r="F1686" t="str">
        <f t="shared" ref="F1686:F1705" si="33">"COLONIAL"</f>
        <v>COLONIAL</v>
      </c>
      <c r="G1686" s="2">
        <v>620.30999999999995</v>
      </c>
      <c r="H1686" t="str">
        <f t="shared" ref="H1686:H1705" si="34">"COLONIAL"</f>
        <v>COLONIAL</v>
      </c>
    </row>
    <row r="1687" spans="1:8" x14ac:dyDescent="0.25">
      <c r="E1687" t="str">
        <f>"CL 201906119734"</f>
        <v>CL 201906119734</v>
      </c>
      <c r="F1687" t="str">
        <f t="shared" si="33"/>
        <v>COLONIAL</v>
      </c>
      <c r="G1687" s="2">
        <v>14.49</v>
      </c>
      <c r="H1687" t="str">
        <f t="shared" si="34"/>
        <v>COLONIAL</v>
      </c>
    </row>
    <row r="1688" spans="1:8" x14ac:dyDescent="0.25">
      <c r="E1688" t="str">
        <f>"CL 201906250102"</f>
        <v>CL 201906250102</v>
      </c>
      <c r="F1688" t="str">
        <f t="shared" si="33"/>
        <v>COLONIAL</v>
      </c>
      <c r="G1688" s="2">
        <v>620.30999999999995</v>
      </c>
      <c r="H1688" t="str">
        <f t="shared" si="34"/>
        <v>COLONIAL</v>
      </c>
    </row>
    <row r="1689" spans="1:8" x14ac:dyDescent="0.25">
      <c r="E1689" t="str">
        <f>"CL 201906250103"</f>
        <v>CL 201906250103</v>
      </c>
      <c r="F1689" t="str">
        <f t="shared" si="33"/>
        <v>COLONIAL</v>
      </c>
      <c r="G1689" s="2">
        <v>14.49</v>
      </c>
      <c r="H1689" t="str">
        <f t="shared" si="34"/>
        <v>COLONIAL</v>
      </c>
    </row>
    <row r="1690" spans="1:8" x14ac:dyDescent="0.25">
      <c r="E1690" t="str">
        <f>"CLC201906119733"</f>
        <v>CLC201906119733</v>
      </c>
      <c r="F1690" t="str">
        <f t="shared" si="33"/>
        <v>COLONIAL</v>
      </c>
      <c r="G1690" s="2">
        <v>33.99</v>
      </c>
      <c r="H1690" t="str">
        <f t="shared" si="34"/>
        <v>COLONIAL</v>
      </c>
    </row>
    <row r="1691" spans="1:8" x14ac:dyDescent="0.25">
      <c r="E1691" t="str">
        <f>"CLC201906250102"</f>
        <v>CLC201906250102</v>
      </c>
      <c r="F1691" t="str">
        <f t="shared" si="33"/>
        <v>COLONIAL</v>
      </c>
      <c r="G1691" s="2">
        <v>33.99</v>
      </c>
      <c r="H1691" t="str">
        <f t="shared" si="34"/>
        <v>COLONIAL</v>
      </c>
    </row>
    <row r="1692" spans="1:8" x14ac:dyDescent="0.25">
      <c r="E1692" t="str">
        <f>"CLI201906119733"</f>
        <v>CLI201906119733</v>
      </c>
      <c r="F1692" t="str">
        <f t="shared" si="33"/>
        <v>COLONIAL</v>
      </c>
      <c r="G1692" s="2">
        <v>534.92999999999995</v>
      </c>
      <c r="H1692" t="str">
        <f t="shared" si="34"/>
        <v>COLONIAL</v>
      </c>
    </row>
    <row r="1693" spans="1:8" x14ac:dyDescent="0.25">
      <c r="E1693" t="str">
        <f>"CLI201906250102"</f>
        <v>CLI201906250102</v>
      </c>
      <c r="F1693" t="str">
        <f t="shared" si="33"/>
        <v>COLONIAL</v>
      </c>
      <c r="G1693" s="2">
        <v>534.92999999999995</v>
      </c>
      <c r="H1693" t="str">
        <f t="shared" si="34"/>
        <v>COLONIAL</v>
      </c>
    </row>
    <row r="1694" spans="1:8" x14ac:dyDescent="0.25">
      <c r="E1694" t="str">
        <f>"CLK201906119733"</f>
        <v>CLK201906119733</v>
      </c>
      <c r="F1694" t="str">
        <f t="shared" si="33"/>
        <v>COLONIAL</v>
      </c>
      <c r="G1694" s="2">
        <v>27.09</v>
      </c>
      <c r="H1694" t="str">
        <f t="shared" si="34"/>
        <v>COLONIAL</v>
      </c>
    </row>
    <row r="1695" spans="1:8" x14ac:dyDescent="0.25">
      <c r="E1695" t="str">
        <f>"CLK201906250102"</f>
        <v>CLK201906250102</v>
      </c>
      <c r="F1695" t="str">
        <f t="shared" si="33"/>
        <v>COLONIAL</v>
      </c>
      <c r="G1695" s="2">
        <v>27.09</v>
      </c>
      <c r="H1695" t="str">
        <f t="shared" si="34"/>
        <v>COLONIAL</v>
      </c>
    </row>
    <row r="1696" spans="1:8" x14ac:dyDescent="0.25">
      <c r="E1696" t="str">
        <f>"CLS201906119733"</f>
        <v>CLS201906119733</v>
      </c>
      <c r="F1696" t="str">
        <f t="shared" si="33"/>
        <v>COLONIAL</v>
      </c>
      <c r="G1696" s="2">
        <v>327.99</v>
      </c>
      <c r="H1696" t="str">
        <f t="shared" si="34"/>
        <v>COLONIAL</v>
      </c>
    </row>
    <row r="1697" spans="1:8" x14ac:dyDescent="0.25">
      <c r="E1697" t="str">
        <f>"CLS201906119734"</f>
        <v>CLS201906119734</v>
      </c>
      <c r="F1697" t="str">
        <f t="shared" si="33"/>
        <v>COLONIAL</v>
      </c>
      <c r="G1697" s="2">
        <v>28.57</v>
      </c>
      <c r="H1697" t="str">
        <f t="shared" si="34"/>
        <v>COLONIAL</v>
      </c>
    </row>
    <row r="1698" spans="1:8" x14ac:dyDescent="0.25">
      <c r="E1698" t="str">
        <f>"CLS201906250102"</f>
        <v>CLS201906250102</v>
      </c>
      <c r="F1698" t="str">
        <f t="shared" si="33"/>
        <v>COLONIAL</v>
      </c>
      <c r="G1698" s="2">
        <v>327.99</v>
      </c>
      <c r="H1698" t="str">
        <f t="shared" si="34"/>
        <v>COLONIAL</v>
      </c>
    </row>
    <row r="1699" spans="1:8" x14ac:dyDescent="0.25">
      <c r="E1699" t="str">
        <f>"CLS201906250103"</f>
        <v>CLS201906250103</v>
      </c>
      <c r="F1699" t="str">
        <f t="shared" si="33"/>
        <v>COLONIAL</v>
      </c>
      <c r="G1699" s="2">
        <v>28.57</v>
      </c>
      <c r="H1699" t="str">
        <f t="shared" si="34"/>
        <v>COLONIAL</v>
      </c>
    </row>
    <row r="1700" spans="1:8" x14ac:dyDescent="0.25">
      <c r="E1700" t="str">
        <f>"CLT201906119733"</f>
        <v>CLT201906119733</v>
      </c>
      <c r="F1700" t="str">
        <f t="shared" si="33"/>
        <v>COLONIAL</v>
      </c>
      <c r="G1700" s="2">
        <v>300.85000000000002</v>
      </c>
      <c r="H1700" t="str">
        <f t="shared" si="34"/>
        <v>COLONIAL</v>
      </c>
    </row>
    <row r="1701" spans="1:8" x14ac:dyDescent="0.25">
      <c r="E1701" t="str">
        <f>"CLT201906250102"</f>
        <v>CLT201906250102</v>
      </c>
      <c r="F1701" t="str">
        <f t="shared" si="33"/>
        <v>COLONIAL</v>
      </c>
      <c r="G1701" s="2">
        <v>300.85000000000002</v>
      </c>
      <c r="H1701" t="str">
        <f t="shared" si="34"/>
        <v>COLONIAL</v>
      </c>
    </row>
    <row r="1702" spans="1:8" x14ac:dyDescent="0.25">
      <c r="E1702" t="str">
        <f>"CLU201906119733"</f>
        <v>CLU201906119733</v>
      </c>
      <c r="F1702" t="str">
        <f t="shared" si="33"/>
        <v>COLONIAL</v>
      </c>
      <c r="G1702" s="2">
        <v>111.55</v>
      </c>
      <c r="H1702" t="str">
        <f t="shared" si="34"/>
        <v>COLONIAL</v>
      </c>
    </row>
    <row r="1703" spans="1:8" x14ac:dyDescent="0.25">
      <c r="E1703" t="str">
        <f>"CLU201906250102"</f>
        <v>CLU201906250102</v>
      </c>
      <c r="F1703" t="str">
        <f t="shared" si="33"/>
        <v>COLONIAL</v>
      </c>
      <c r="G1703" s="2">
        <v>111.55</v>
      </c>
      <c r="H1703" t="str">
        <f t="shared" si="34"/>
        <v>COLONIAL</v>
      </c>
    </row>
    <row r="1704" spans="1:8" x14ac:dyDescent="0.25">
      <c r="E1704" t="str">
        <f>"CLW201906119733"</f>
        <v>CLW201906119733</v>
      </c>
      <c r="F1704" t="str">
        <f t="shared" si="33"/>
        <v>COLONIAL</v>
      </c>
      <c r="G1704" s="2">
        <v>93.98</v>
      </c>
      <c r="H1704" t="str">
        <f t="shared" si="34"/>
        <v>COLONIAL</v>
      </c>
    </row>
    <row r="1705" spans="1:8" x14ac:dyDescent="0.25">
      <c r="E1705" t="str">
        <f>"CLW201906250102"</f>
        <v>CLW201906250102</v>
      </c>
      <c r="F1705" t="str">
        <f t="shared" si="33"/>
        <v>COLONIAL</v>
      </c>
      <c r="G1705" s="2">
        <v>93.98</v>
      </c>
      <c r="H1705" t="str">
        <f t="shared" si="34"/>
        <v>COLONIAL</v>
      </c>
    </row>
    <row r="1706" spans="1:8" x14ac:dyDescent="0.25">
      <c r="A1706" t="s">
        <v>444</v>
      </c>
      <c r="B1706">
        <v>148</v>
      </c>
      <c r="C1706" s="2">
        <v>8080.88</v>
      </c>
      <c r="D1706" s="1">
        <v>43630</v>
      </c>
      <c r="E1706" t="str">
        <f>"CPI201906119733"</f>
        <v>CPI201906119733</v>
      </c>
      <c r="F1706" t="str">
        <f>"DEFERRED COMP 457B PAYABLE"</f>
        <v>DEFERRED COMP 457B PAYABLE</v>
      </c>
      <c r="G1706" s="2">
        <v>7973.38</v>
      </c>
      <c r="H1706" t="str">
        <f>"DEFERRED COMP 457B PAYABLE"</f>
        <v>DEFERRED COMP 457B PAYABLE</v>
      </c>
    </row>
    <row r="1707" spans="1:8" x14ac:dyDescent="0.25">
      <c r="E1707" t="str">
        <f>"CPI201906119734"</f>
        <v>CPI201906119734</v>
      </c>
      <c r="F1707" t="str">
        <f>"DEFERRED COMP 457B PAYABLE"</f>
        <v>DEFERRED COMP 457B PAYABLE</v>
      </c>
      <c r="G1707" s="2">
        <v>107.5</v>
      </c>
      <c r="H1707" t="str">
        <f>"DEFERRED COMP 457B PAYABLE"</f>
        <v>DEFERRED COMP 457B PAYABLE</v>
      </c>
    </row>
    <row r="1708" spans="1:8" x14ac:dyDescent="0.25">
      <c r="A1708" t="s">
        <v>444</v>
      </c>
      <c r="B1708">
        <v>157</v>
      </c>
      <c r="C1708" s="2">
        <v>8180.88</v>
      </c>
      <c r="D1708" s="1">
        <v>43644</v>
      </c>
      <c r="E1708" t="str">
        <f>"CPI201906250102"</f>
        <v>CPI201906250102</v>
      </c>
      <c r="F1708" t="str">
        <f>"DEFERRED COMP 457B PAYABLE"</f>
        <v>DEFERRED COMP 457B PAYABLE</v>
      </c>
      <c r="G1708" s="2">
        <v>8073.38</v>
      </c>
      <c r="H1708" t="str">
        <f>"DEFERRED COMP 457B PAYABLE"</f>
        <v>DEFERRED COMP 457B PAYABLE</v>
      </c>
    </row>
    <row r="1709" spans="1:8" x14ac:dyDescent="0.25">
      <c r="E1709" t="str">
        <f>"CPI201906250103"</f>
        <v>CPI201906250103</v>
      </c>
      <c r="F1709" t="str">
        <f>"DEFERRED COMP 457B PAYABLE"</f>
        <v>DEFERRED COMP 457B PAYABLE</v>
      </c>
      <c r="G1709" s="2">
        <v>107.5</v>
      </c>
      <c r="H1709" t="str">
        <f>"DEFERRED COMP 457B PAYABLE"</f>
        <v>DEFERRED COMP 457B PAYABLE</v>
      </c>
    </row>
    <row r="1710" spans="1:8" x14ac:dyDescent="0.25">
      <c r="A1710" t="s">
        <v>445</v>
      </c>
      <c r="B1710">
        <v>47510</v>
      </c>
      <c r="C1710" s="2">
        <v>853.85</v>
      </c>
      <c r="D1710" s="1">
        <v>43630</v>
      </c>
      <c r="E1710" t="str">
        <f>"B13201906119733"</f>
        <v>B13201906119733</v>
      </c>
      <c r="F1710" t="str">
        <f>"Rosa Warren 15-10357-TMD"</f>
        <v>Rosa Warren 15-10357-TMD</v>
      </c>
      <c r="G1710" s="2">
        <v>853.85</v>
      </c>
      <c r="H1710" t="str">
        <f>"Rosa Warren 15-10357-TMD"</f>
        <v>Rosa Warren 15-10357-TMD</v>
      </c>
    </row>
    <row r="1711" spans="1:8" x14ac:dyDescent="0.25">
      <c r="A1711" t="s">
        <v>445</v>
      </c>
      <c r="B1711">
        <v>47527</v>
      </c>
      <c r="C1711" s="2">
        <v>853.85</v>
      </c>
      <c r="D1711" s="1">
        <v>43644</v>
      </c>
      <c r="E1711" t="str">
        <f>"B13201906250102"</f>
        <v>B13201906250102</v>
      </c>
      <c r="F1711" t="str">
        <f>"Rosa Warren 15-10357-TMD"</f>
        <v>Rosa Warren 15-10357-TMD</v>
      </c>
      <c r="G1711" s="2">
        <v>853.85</v>
      </c>
      <c r="H1711" t="str">
        <f>"Rosa Warren 15-10357-TMD"</f>
        <v>Rosa Warren 15-10357-TMD</v>
      </c>
    </row>
    <row r="1712" spans="1:8" x14ac:dyDescent="0.25">
      <c r="A1712" t="s">
        <v>446</v>
      </c>
      <c r="B1712">
        <v>161</v>
      </c>
      <c r="C1712" s="2">
        <v>39958.76</v>
      </c>
      <c r="D1712" s="1">
        <v>43644</v>
      </c>
      <c r="E1712" t="str">
        <f>"201906270122"</f>
        <v>201906270122</v>
      </c>
      <c r="F1712" t="str">
        <f>"Overpd May 2019 Decrease pymt"</f>
        <v>Overpd May 2019 Decrease pymt</v>
      </c>
      <c r="G1712" s="2">
        <v>-105.61</v>
      </c>
      <c r="H1712" t="str">
        <f t="shared" ref="H1712:H1775" si="35">"GUARDIAN"</f>
        <v>GUARDIAN</v>
      </c>
    </row>
    <row r="1713" spans="5:8" x14ac:dyDescent="0.25">
      <c r="E1713" t="str">
        <f>"201906270123"</f>
        <v>201906270123</v>
      </c>
      <c r="F1713" t="str">
        <f>"Outstanding Credit with Guardi"</f>
        <v>Outstanding Credit with Guardi</v>
      </c>
      <c r="G1713" s="2">
        <v>-115.25</v>
      </c>
      <c r="H1713" t="str">
        <f t="shared" si="35"/>
        <v>GUARDIAN</v>
      </c>
    </row>
    <row r="1714" spans="5:8" x14ac:dyDescent="0.25">
      <c r="E1714" t="str">
        <f>"201906270121"</f>
        <v>201906270121</v>
      </c>
      <c r="F1714" t="str">
        <f>"RETIREE JUNE 2019"</f>
        <v>RETIREE JUNE 2019</v>
      </c>
      <c r="G1714" s="2">
        <v>3426.54</v>
      </c>
      <c r="H1714" t="str">
        <f t="shared" si="35"/>
        <v>GUARDIAN</v>
      </c>
    </row>
    <row r="1715" spans="5:8" x14ac:dyDescent="0.25">
      <c r="E1715" t="str">
        <f>"ADC201906119733"</f>
        <v>ADC201906119733</v>
      </c>
      <c r="F1715" t="str">
        <f t="shared" ref="F1715:F1727" si="36">"GUARDIAN"</f>
        <v>GUARDIAN</v>
      </c>
      <c r="G1715" s="2">
        <v>4.67</v>
      </c>
      <c r="H1715" t="str">
        <f t="shared" si="35"/>
        <v>GUARDIAN</v>
      </c>
    </row>
    <row r="1716" spans="5:8" x14ac:dyDescent="0.25">
      <c r="E1716" t="str">
        <f>"ADC201906119734"</f>
        <v>ADC201906119734</v>
      </c>
      <c r="F1716" t="str">
        <f t="shared" si="36"/>
        <v>GUARDIAN</v>
      </c>
      <c r="G1716" s="2">
        <v>0.16</v>
      </c>
      <c r="H1716" t="str">
        <f t="shared" si="35"/>
        <v>GUARDIAN</v>
      </c>
    </row>
    <row r="1717" spans="5:8" x14ac:dyDescent="0.25">
      <c r="E1717" t="str">
        <f>"ADC201906250102"</f>
        <v>ADC201906250102</v>
      </c>
      <c r="F1717" t="str">
        <f t="shared" si="36"/>
        <v>GUARDIAN</v>
      </c>
      <c r="G1717" s="2">
        <v>4.51</v>
      </c>
      <c r="H1717" t="str">
        <f t="shared" si="35"/>
        <v>GUARDIAN</v>
      </c>
    </row>
    <row r="1718" spans="5:8" x14ac:dyDescent="0.25">
      <c r="E1718" t="str">
        <f>"ADC201906250103"</f>
        <v>ADC201906250103</v>
      </c>
      <c r="F1718" t="str">
        <f t="shared" si="36"/>
        <v>GUARDIAN</v>
      </c>
      <c r="G1718" s="2">
        <v>0.16</v>
      </c>
      <c r="H1718" t="str">
        <f t="shared" si="35"/>
        <v>GUARDIAN</v>
      </c>
    </row>
    <row r="1719" spans="5:8" x14ac:dyDescent="0.25">
      <c r="E1719" t="str">
        <f>"ADE201906119733"</f>
        <v>ADE201906119733</v>
      </c>
      <c r="F1719" t="str">
        <f t="shared" si="36"/>
        <v>GUARDIAN</v>
      </c>
      <c r="G1719" s="2">
        <v>217.56</v>
      </c>
      <c r="H1719" t="str">
        <f t="shared" si="35"/>
        <v>GUARDIAN</v>
      </c>
    </row>
    <row r="1720" spans="5:8" x14ac:dyDescent="0.25">
      <c r="E1720" t="str">
        <f>"ADE201906119734"</f>
        <v>ADE201906119734</v>
      </c>
      <c r="F1720" t="str">
        <f t="shared" si="36"/>
        <v>GUARDIAN</v>
      </c>
      <c r="G1720" s="2">
        <v>6.3</v>
      </c>
      <c r="H1720" t="str">
        <f t="shared" si="35"/>
        <v>GUARDIAN</v>
      </c>
    </row>
    <row r="1721" spans="5:8" x14ac:dyDescent="0.25">
      <c r="E1721" t="str">
        <f>"ADE201906250102"</f>
        <v>ADE201906250102</v>
      </c>
      <c r="F1721" t="str">
        <f t="shared" si="36"/>
        <v>GUARDIAN</v>
      </c>
      <c r="G1721" s="2">
        <v>217.56</v>
      </c>
      <c r="H1721" t="str">
        <f t="shared" si="35"/>
        <v>GUARDIAN</v>
      </c>
    </row>
    <row r="1722" spans="5:8" x14ac:dyDescent="0.25">
      <c r="E1722" t="str">
        <f>"ADE201906250103"</f>
        <v>ADE201906250103</v>
      </c>
      <c r="F1722" t="str">
        <f t="shared" si="36"/>
        <v>GUARDIAN</v>
      </c>
      <c r="G1722" s="2">
        <v>6.3</v>
      </c>
      <c r="H1722" t="str">
        <f t="shared" si="35"/>
        <v>GUARDIAN</v>
      </c>
    </row>
    <row r="1723" spans="5:8" x14ac:dyDescent="0.25">
      <c r="E1723" t="str">
        <f>"ADS201906119733"</f>
        <v>ADS201906119733</v>
      </c>
      <c r="F1723" t="str">
        <f t="shared" si="36"/>
        <v>GUARDIAN</v>
      </c>
      <c r="G1723" s="2">
        <v>37.17</v>
      </c>
      <c r="H1723" t="str">
        <f t="shared" si="35"/>
        <v>GUARDIAN</v>
      </c>
    </row>
    <row r="1724" spans="5:8" x14ac:dyDescent="0.25">
      <c r="E1724" t="str">
        <f>"ADS201906119734"</f>
        <v>ADS201906119734</v>
      </c>
      <c r="F1724" t="str">
        <f t="shared" si="36"/>
        <v>GUARDIAN</v>
      </c>
      <c r="G1724" s="2">
        <v>0.53</v>
      </c>
      <c r="H1724" t="str">
        <f t="shared" si="35"/>
        <v>GUARDIAN</v>
      </c>
    </row>
    <row r="1725" spans="5:8" x14ac:dyDescent="0.25">
      <c r="E1725" t="str">
        <f>"ADS201906250102"</f>
        <v>ADS201906250102</v>
      </c>
      <c r="F1725" t="str">
        <f t="shared" si="36"/>
        <v>GUARDIAN</v>
      </c>
      <c r="G1725" s="2">
        <v>37.17</v>
      </c>
      <c r="H1725" t="str">
        <f t="shared" si="35"/>
        <v>GUARDIAN</v>
      </c>
    </row>
    <row r="1726" spans="5:8" x14ac:dyDescent="0.25">
      <c r="E1726" t="str">
        <f>"ADS201906250103"</f>
        <v>ADS201906250103</v>
      </c>
      <c r="F1726" t="str">
        <f t="shared" si="36"/>
        <v>GUARDIAN</v>
      </c>
      <c r="G1726" s="2">
        <v>0.53</v>
      </c>
      <c r="H1726" t="str">
        <f t="shared" si="35"/>
        <v>GUARDIAN</v>
      </c>
    </row>
    <row r="1727" spans="5:8" x14ac:dyDescent="0.25">
      <c r="E1727" t="str">
        <f>"GDC201906119733"</f>
        <v>GDC201906119733</v>
      </c>
      <c r="F1727" t="str">
        <f t="shared" si="36"/>
        <v>GUARDIAN</v>
      </c>
      <c r="G1727" s="2">
        <v>2614.92</v>
      </c>
      <c r="H1727" t="str">
        <f t="shared" si="35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35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35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35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35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35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35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35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35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35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35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35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35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35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35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35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35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35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35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35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35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35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35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35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35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35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35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35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35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35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35"/>
        <v>GUARDIAN</v>
      </c>
    </row>
    <row r="1758" spans="5:8" x14ac:dyDescent="0.25">
      <c r="E1758" t="str">
        <f>"GDC201906119734"</f>
        <v>GDC201906119734</v>
      </c>
      <c r="F1758" t="str">
        <f>"GUARDIAN"</f>
        <v>GUARDIAN</v>
      </c>
      <c r="G1758" s="2">
        <v>135.84</v>
      </c>
      <c r="H1758" t="str">
        <f t="shared" si="35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35"/>
        <v>GUARDIAN</v>
      </c>
    </row>
    <row r="1760" spans="5:8" x14ac:dyDescent="0.25">
      <c r="E1760" t="str">
        <f>"GDC201906250102"</f>
        <v>GDC201906250102</v>
      </c>
      <c r="F1760" t="str">
        <f>"GUARDIAN"</f>
        <v>GUARDIAN</v>
      </c>
      <c r="G1760" s="2">
        <v>2614.92</v>
      </c>
      <c r="H1760" t="str">
        <f t="shared" si="35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35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35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35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35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35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35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35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35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35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35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35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35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35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35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35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ref="H1776:H1839" si="37">"GUARDIAN"</f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37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37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37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37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37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37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37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37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37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37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37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37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37"/>
        <v>GUARDIAN</v>
      </c>
    </row>
    <row r="1790" spans="5:8" x14ac:dyDescent="0.25">
      <c r="E1790" t="str">
        <f>"GDC201906250103"</f>
        <v>GDC201906250103</v>
      </c>
      <c r="F1790" t="str">
        <f>"GUARDIAN"</f>
        <v>GUARDIAN</v>
      </c>
      <c r="G1790" s="2">
        <v>135.84</v>
      </c>
      <c r="H1790" t="str">
        <f t="shared" si="37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37"/>
        <v>GUARDIAN</v>
      </c>
    </row>
    <row r="1792" spans="5:8" x14ac:dyDescent="0.25">
      <c r="E1792" t="str">
        <f>"GDE201906119733"</f>
        <v>GDE201906119733</v>
      </c>
      <c r="F1792" t="str">
        <f>"GUARDIAN"</f>
        <v>GUARDIAN</v>
      </c>
      <c r="G1792" s="2">
        <v>4247.6400000000003</v>
      </c>
      <c r="H1792" t="str">
        <f t="shared" si="37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37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37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37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37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37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37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37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37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37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37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37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37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37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37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37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37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37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37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37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37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37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37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37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37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37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37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37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37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37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37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37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37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37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37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37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37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37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37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37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37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37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37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37"/>
        <v>GUARDIAN</v>
      </c>
    </row>
    <row r="1836" spans="5:8" x14ac:dyDescent="0.25">
      <c r="E1836" t="str">
        <f>"GDE201906119734"</f>
        <v>GDE201906119734</v>
      </c>
      <c r="F1836" t="str">
        <f>"GUARDIAN"</f>
        <v>GUARDIAN</v>
      </c>
      <c r="G1836" s="2">
        <v>169.29</v>
      </c>
      <c r="H1836" t="str">
        <f t="shared" si="37"/>
        <v>GUARDIAN</v>
      </c>
    </row>
    <row r="1837" spans="5:8" x14ac:dyDescent="0.25">
      <c r="E1837" t="str">
        <f>"GDE201906250102"</f>
        <v>GDE201906250102</v>
      </c>
      <c r="F1837" t="str">
        <f>"GUARDIAN"</f>
        <v>GUARDIAN</v>
      </c>
      <c r="G1837" s="2">
        <v>4186.08</v>
      </c>
      <c r="H1837" t="str">
        <f t="shared" si="37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37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37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ref="H1840:H1903" si="38">"GUARDIAN"</f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38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38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38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38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38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38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38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38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38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38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38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38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38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38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38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38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38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38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38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38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38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38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38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38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38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38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38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38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38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38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38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38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38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38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38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38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38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38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38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38"/>
        <v>GUARDIAN</v>
      </c>
    </row>
    <row r="1881" spans="5:8" x14ac:dyDescent="0.25">
      <c r="E1881" t="str">
        <f>"GDE201906250103"</f>
        <v>GDE201906250103</v>
      </c>
      <c r="F1881" t="str">
        <f>"GUARDIAN"</f>
        <v>GUARDIAN</v>
      </c>
      <c r="G1881" s="2">
        <v>169.29</v>
      </c>
      <c r="H1881" t="str">
        <f t="shared" si="38"/>
        <v>GUARDIAN</v>
      </c>
    </row>
    <row r="1882" spans="5:8" x14ac:dyDescent="0.25">
      <c r="E1882" t="str">
        <f>"GDF201906119733"</f>
        <v>GDF201906119733</v>
      </c>
      <c r="F1882" t="str">
        <f>"GUARDIAN"</f>
        <v>GUARDIAN</v>
      </c>
      <c r="G1882" s="2">
        <v>2359.87</v>
      </c>
      <c r="H1882" t="str">
        <f t="shared" si="38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38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38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38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38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38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38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38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38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38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38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38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38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38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38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38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38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38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38"/>
        <v>GUARDIAN</v>
      </c>
    </row>
    <row r="1901" spans="5:8" x14ac:dyDescent="0.25">
      <c r="E1901" t="str">
        <f>"GDF201906119734"</f>
        <v>GDF201906119734</v>
      </c>
      <c r="F1901" t="str">
        <f>"GUARDIAN"</f>
        <v>GUARDIAN</v>
      </c>
      <c r="G1901" s="2">
        <v>100.42</v>
      </c>
      <c r="H1901" t="str">
        <f t="shared" si="38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38"/>
        <v>GUARDIAN</v>
      </c>
    </row>
    <row r="1903" spans="5:8" x14ac:dyDescent="0.25">
      <c r="E1903" t="str">
        <f>"GDF201906250102"</f>
        <v>GDF201906250102</v>
      </c>
      <c r="F1903" t="str">
        <f>"GUARDIAN"</f>
        <v>GUARDIAN</v>
      </c>
      <c r="G1903" s="2">
        <v>2359.87</v>
      </c>
      <c r="H1903" t="str">
        <f t="shared" si="38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ref="H1904:H1967" si="39">"GUARDIAN"</f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39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39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39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39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39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39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39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39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39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39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39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39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39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39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39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39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39"/>
        <v>GUARDIAN</v>
      </c>
    </row>
    <row r="1922" spans="5:8" x14ac:dyDescent="0.25">
      <c r="E1922" t="str">
        <f>"GDF201906250103"</f>
        <v>GDF201906250103</v>
      </c>
      <c r="F1922" t="str">
        <f>"GUARDIAN"</f>
        <v>GUARDIAN</v>
      </c>
      <c r="G1922" s="2">
        <v>100.42</v>
      </c>
      <c r="H1922" t="str">
        <f t="shared" si="39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39"/>
        <v>GUARDIAN</v>
      </c>
    </row>
    <row r="1924" spans="5:8" x14ac:dyDescent="0.25">
      <c r="E1924" t="str">
        <f>"GDS201906119733"</f>
        <v>GDS201906119733</v>
      </c>
      <c r="F1924" t="str">
        <f>"GUARDIAN"</f>
        <v>GUARDIAN</v>
      </c>
      <c r="G1924" s="2">
        <v>1799.16</v>
      </c>
      <c r="H1924" t="str">
        <f t="shared" si="39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39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39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39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39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39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39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39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39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39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39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39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39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39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39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39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39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39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39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39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39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39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39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39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39"/>
        <v>GUARDIAN</v>
      </c>
    </row>
    <row r="1949" spans="5:8" x14ac:dyDescent="0.25">
      <c r="E1949" t="str">
        <f>"GDS201906250102"</f>
        <v>GDS201906250102</v>
      </c>
      <c r="F1949" t="str">
        <f>"GUARDIAN"</f>
        <v>GUARDIAN</v>
      </c>
      <c r="G1949" s="2">
        <v>1799.16</v>
      </c>
      <c r="H1949" t="str">
        <f t="shared" si="39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39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39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39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39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39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39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39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39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39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39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39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39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39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39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39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39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39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39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ref="H1968:H1973" si="40">"GUARDIAN"</f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40"/>
        <v>GUARDIAN</v>
      </c>
    </row>
    <row r="1970" spans="5:8" x14ac:dyDescent="0.25">
      <c r="E1970" t="str">
        <f>""</f>
        <v/>
      </c>
      <c r="F1970" t="str">
        <f>""</f>
        <v/>
      </c>
      <c r="H1970" t="str">
        <f t="shared" si="40"/>
        <v>GUARDIAN</v>
      </c>
    </row>
    <row r="1971" spans="5:8" x14ac:dyDescent="0.25">
      <c r="E1971" t="str">
        <f>""</f>
        <v/>
      </c>
      <c r="F1971" t="str">
        <f>""</f>
        <v/>
      </c>
      <c r="H1971" t="str">
        <f t="shared" si="40"/>
        <v>GUARDIAN</v>
      </c>
    </row>
    <row r="1972" spans="5:8" x14ac:dyDescent="0.25">
      <c r="E1972" t="str">
        <f>""</f>
        <v/>
      </c>
      <c r="F1972" t="str">
        <f>""</f>
        <v/>
      </c>
      <c r="H1972" t="str">
        <f t="shared" si="40"/>
        <v>GUARDIAN</v>
      </c>
    </row>
    <row r="1973" spans="5:8" x14ac:dyDescent="0.25">
      <c r="E1973" t="str">
        <f>""</f>
        <v/>
      </c>
      <c r="F1973" t="str">
        <f>""</f>
        <v/>
      </c>
      <c r="H1973" t="str">
        <f t="shared" si="40"/>
        <v>GUARDIAN</v>
      </c>
    </row>
    <row r="1974" spans="5:8" x14ac:dyDescent="0.25">
      <c r="E1974" t="str">
        <f>"GV1201906119733"</f>
        <v>GV1201906119733</v>
      </c>
      <c r="F1974" t="str">
        <f>"GUARDIAN VISION"</f>
        <v>GUARDIAN VISION</v>
      </c>
      <c r="G1974" s="2">
        <v>380.8</v>
      </c>
      <c r="H1974" t="str">
        <f>"GUARDIAN VISION"</f>
        <v>GUARDIAN VISION</v>
      </c>
    </row>
    <row r="1975" spans="5:8" x14ac:dyDescent="0.25">
      <c r="E1975" t="str">
        <f>"GV1201906250102"</f>
        <v>GV1201906250102</v>
      </c>
      <c r="F1975" t="str">
        <f>"GUARDIAN VISION"</f>
        <v>GUARDIAN VISION</v>
      </c>
      <c r="G1975" s="2">
        <v>380.8</v>
      </c>
      <c r="H1975" t="str">
        <f>"GUARDIAN VISION"</f>
        <v>GUARDIAN VISION</v>
      </c>
    </row>
    <row r="1976" spans="5:8" x14ac:dyDescent="0.25">
      <c r="E1976" t="str">
        <f>"GVE201906119733"</f>
        <v>GVE201906119733</v>
      </c>
      <c r="F1976" t="str">
        <f>"GUARDIAN VISION VENDOR"</f>
        <v>GUARDIAN VISION VENDOR</v>
      </c>
      <c r="G1976" s="2">
        <v>597.78</v>
      </c>
      <c r="H1976" t="str">
        <f>"GUARDIAN VISION VENDOR"</f>
        <v>GUARDIAN VISION VENDOR</v>
      </c>
    </row>
    <row r="1977" spans="5:8" x14ac:dyDescent="0.25">
      <c r="E1977" t="str">
        <f>"GVE201906119734"</f>
        <v>GVE201906119734</v>
      </c>
      <c r="F1977" t="str">
        <f>"GUARDIAN VISION VENDOR"</f>
        <v>GUARDIAN VISION VENDOR</v>
      </c>
      <c r="G1977" s="2">
        <v>25.83</v>
      </c>
      <c r="H1977" t="str">
        <f>"GUARDIAN VISION VENDOR"</f>
        <v>GUARDIAN VISION VENDOR</v>
      </c>
    </row>
    <row r="1978" spans="5:8" x14ac:dyDescent="0.25">
      <c r="E1978" t="str">
        <f>"GVE201906250102"</f>
        <v>GVE201906250102</v>
      </c>
      <c r="F1978" t="str">
        <f>"GUARDIAN VISION VENDOR"</f>
        <v>GUARDIAN VISION VENDOR</v>
      </c>
      <c r="G1978" s="2">
        <v>590.4</v>
      </c>
      <c r="H1978" t="str">
        <f>"GUARDIAN VISION VENDOR"</f>
        <v>GUARDIAN VISION VENDOR</v>
      </c>
    </row>
    <row r="1979" spans="5:8" x14ac:dyDescent="0.25">
      <c r="E1979" t="str">
        <f>"GVE201906250103"</f>
        <v>GVE201906250103</v>
      </c>
      <c r="F1979" t="str">
        <f>"GUARDIAN VISION VENDOR"</f>
        <v>GUARDIAN VISION VENDOR</v>
      </c>
      <c r="G1979" s="2">
        <v>25.83</v>
      </c>
      <c r="H1979" t="str">
        <f>"GUARDIAN VISION VENDOR"</f>
        <v>GUARDIAN VISION VENDOR</v>
      </c>
    </row>
    <row r="1980" spans="5:8" x14ac:dyDescent="0.25">
      <c r="E1980" t="str">
        <f>"GVF201906119733"</f>
        <v>GVF201906119733</v>
      </c>
      <c r="F1980" t="str">
        <f>"GUARDIAN VISION"</f>
        <v>GUARDIAN VISION</v>
      </c>
      <c r="G1980" s="2">
        <v>561.45000000000005</v>
      </c>
      <c r="H1980" t="str">
        <f>"GUARDIAN VISION"</f>
        <v>GUARDIAN VISION</v>
      </c>
    </row>
    <row r="1981" spans="5:8" x14ac:dyDescent="0.25">
      <c r="E1981" t="str">
        <f>"GVF201906119734"</f>
        <v>GVF201906119734</v>
      </c>
      <c r="F1981" t="str">
        <f>"GUARDIAN VISION VENDOR"</f>
        <v>GUARDIAN VISION VENDOR</v>
      </c>
      <c r="G1981" s="2">
        <v>29.55</v>
      </c>
      <c r="H1981" t="str">
        <f>"GUARDIAN VISION VENDOR"</f>
        <v>GUARDIAN VISION VENDOR</v>
      </c>
    </row>
    <row r="1982" spans="5:8" x14ac:dyDescent="0.25">
      <c r="E1982" t="str">
        <f>"GVF201906250102"</f>
        <v>GVF201906250102</v>
      </c>
      <c r="F1982" t="str">
        <f>"GUARDIAN VISION"</f>
        <v>GUARDIAN VISION</v>
      </c>
      <c r="G1982" s="2">
        <v>561.45000000000005</v>
      </c>
      <c r="H1982" t="str">
        <f>"GUARDIAN VISION"</f>
        <v>GUARDIAN VISION</v>
      </c>
    </row>
    <row r="1983" spans="5:8" x14ac:dyDescent="0.25">
      <c r="E1983" t="str">
        <f>"GVF201906250103"</f>
        <v>GVF201906250103</v>
      </c>
      <c r="F1983" t="str">
        <f>"GUARDIAN VISION VENDOR"</f>
        <v>GUARDIAN VISION VENDOR</v>
      </c>
      <c r="G1983" s="2">
        <v>29.55</v>
      </c>
      <c r="H1983" t="str">
        <f>"GUARDIAN VISION VENDOR"</f>
        <v>GUARDIAN VISION VENDOR</v>
      </c>
    </row>
    <row r="1984" spans="5:8" x14ac:dyDescent="0.25">
      <c r="E1984" t="str">
        <f>"LIA201906119733"</f>
        <v>LIA201906119733</v>
      </c>
      <c r="F1984" t="str">
        <f>"GUARDIAN"</f>
        <v>GUARDIAN</v>
      </c>
      <c r="G1984" s="2">
        <v>231.62</v>
      </c>
      <c r="H1984" t="str">
        <f t="shared" ref="H1984:H2015" si="41">"GUARDIAN"</f>
        <v>GUARDIAN</v>
      </c>
    </row>
    <row r="1985" spans="5:8" x14ac:dyDescent="0.25">
      <c r="E1985" t="str">
        <f>""</f>
        <v/>
      </c>
      <c r="F1985" t="str">
        <f>""</f>
        <v/>
      </c>
      <c r="H1985" t="str">
        <f t="shared" si="41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41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41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41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41"/>
        <v>GUARDIAN</v>
      </c>
    </row>
    <row r="1990" spans="5:8" x14ac:dyDescent="0.25">
      <c r="E1990" t="str">
        <f>""</f>
        <v/>
      </c>
      <c r="F1990" t="str">
        <f>""</f>
        <v/>
      </c>
      <c r="H1990" t="str">
        <f t="shared" si="41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41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41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41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41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41"/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si="41"/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41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41"/>
        <v>GUARDIAN</v>
      </c>
    </row>
    <row r="1999" spans="5:8" x14ac:dyDescent="0.25">
      <c r="E1999" t="str">
        <f>""</f>
        <v/>
      </c>
      <c r="F1999" t="str">
        <f>""</f>
        <v/>
      </c>
      <c r="H1999" t="str">
        <f t="shared" si="41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41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41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41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41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41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41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41"/>
        <v>GUARDIAN</v>
      </c>
    </row>
    <row r="2007" spans="5:8" x14ac:dyDescent="0.25">
      <c r="E2007" t="str">
        <f>"LIA201906119734"</f>
        <v>LIA201906119734</v>
      </c>
      <c r="F2007" t="str">
        <f>"GUARDIAN"</f>
        <v>GUARDIAN</v>
      </c>
      <c r="G2007" s="2">
        <v>40.799999999999997</v>
      </c>
      <c r="H2007" t="str">
        <f t="shared" si="41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41"/>
        <v>GUARDIAN</v>
      </c>
    </row>
    <row r="2009" spans="5:8" x14ac:dyDescent="0.25">
      <c r="E2009" t="str">
        <f>"LIA201906250102"</f>
        <v>LIA201906250102</v>
      </c>
      <c r="F2009" t="str">
        <f>"GUARDIAN"</f>
        <v>GUARDIAN</v>
      </c>
      <c r="G2009" s="2">
        <v>231.62</v>
      </c>
      <c r="H2009" t="str">
        <f t="shared" si="41"/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41"/>
        <v>GUARDIAN</v>
      </c>
    </row>
    <row r="2011" spans="5:8" x14ac:dyDescent="0.25">
      <c r="E2011" t="str">
        <f>""</f>
        <v/>
      </c>
      <c r="F2011" t="str">
        <f>""</f>
        <v/>
      </c>
      <c r="H2011" t="str">
        <f t="shared" si="41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41"/>
        <v>GUARDIAN</v>
      </c>
    </row>
    <row r="2013" spans="5:8" x14ac:dyDescent="0.25">
      <c r="E2013" t="str">
        <f>""</f>
        <v/>
      </c>
      <c r="F2013" t="str">
        <f>""</f>
        <v/>
      </c>
      <c r="H2013" t="str">
        <f t="shared" si="41"/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si="41"/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si="41"/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ref="H2016:H2047" si="42">"GUARDIAN"</f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42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42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42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42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42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42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42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42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42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42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si="42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42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42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42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42"/>
        <v>GUARDIAN</v>
      </c>
    </row>
    <row r="2032" spans="5:8" x14ac:dyDescent="0.25">
      <c r="E2032" t="str">
        <f>"LIA201906250103"</f>
        <v>LIA201906250103</v>
      </c>
      <c r="F2032" t="str">
        <f>"GUARDIAN"</f>
        <v>GUARDIAN</v>
      </c>
      <c r="G2032" s="2">
        <v>40.799999999999997</v>
      </c>
      <c r="H2032" t="str">
        <f t="shared" si="42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42"/>
        <v>GUARDIAN</v>
      </c>
    </row>
    <row r="2034" spans="5:8" x14ac:dyDescent="0.25">
      <c r="E2034" t="str">
        <f>"LIC201906119733"</f>
        <v>LIC201906119733</v>
      </c>
      <c r="F2034" t="str">
        <f>"GUARDIAN"</f>
        <v>GUARDIAN</v>
      </c>
      <c r="G2034" s="2">
        <v>32.01</v>
      </c>
      <c r="H2034" t="str">
        <f t="shared" si="42"/>
        <v>GUARDIAN</v>
      </c>
    </row>
    <row r="2035" spans="5:8" x14ac:dyDescent="0.25">
      <c r="E2035" t="str">
        <f>"LIC201906119734"</f>
        <v>LIC201906119734</v>
      </c>
      <c r="F2035" t="str">
        <f>"GUARDIAN"</f>
        <v>GUARDIAN</v>
      </c>
      <c r="G2035" s="2">
        <v>1.05</v>
      </c>
      <c r="H2035" t="str">
        <f t="shared" si="42"/>
        <v>GUARDIAN</v>
      </c>
    </row>
    <row r="2036" spans="5:8" x14ac:dyDescent="0.25">
      <c r="E2036" t="str">
        <f>"LIC201906250102"</f>
        <v>LIC201906250102</v>
      </c>
      <c r="F2036" t="str">
        <f>"GUARDIAN"</f>
        <v>GUARDIAN</v>
      </c>
      <c r="G2036" s="2">
        <v>30.61</v>
      </c>
      <c r="H2036" t="str">
        <f t="shared" si="42"/>
        <v>GUARDIAN</v>
      </c>
    </row>
    <row r="2037" spans="5:8" x14ac:dyDescent="0.25">
      <c r="E2037" t="str">
        <f>"LIC201906250103"</f>
        <v>LIC201906250103</v>
      </c>
      <c r="F2037" t="str">
        <f>"GUARDIAN"</f>
        <v>GUARDIAN</v>
      </c>
      <c r="G2037" s="2">
        <v>1.05</v>
      </c>
      <c r="H2037" t="str">
        <f t="shared" si="42"/>
        <v>GUARDIAN</v>
      </c>
    </row>
    <row r="2038" spans="5:8" x14ac:dyDescent="0.25">
      <c r="E2038" t="str">
        <f>"LIE201906119733"</f>
        <v>LIE201906119733</v>
      </c>
      <c r="F2038" t="str">
        <f>"GUARDIAN"</f>
        <v>GUARDIAN</v>
      </c>
      <c r="G2038" s="2">
        <v>3480.4</v>
      </c>
      <c r="H2038" t="str">
        <f t="shared" si="42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42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42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42"/>
        <v>GUARDIAN</v>
      </c>
    </row>
    <row r="2042" spans="5:8" x14ac:dyDescent="0.25">
      <c r="E2042" t="str">
        <f>""</f>
        <v/>
      </c>
      <c r="F2042" t="str">
        <f>""</f>
        <v/>
      </c>
      <c r="H2042" t="str">
        <f t="shared" si="42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42"/>
        <v>GUARDIAN</v>
      </c>
    </row>
    <row r="2044" spans="5:8" x14ac:dyDescent="0.25">
      <c r="E2044" t="str">
        <f>""</f>
        <v/>
      </c>
      <c r="F2044" t="str">
        <f>""</f>
        <v/>
      </c>
      <c r="H2044" t="str">
        <f t="shared" si="42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si="42"/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42"/>
        <v>GUARDIAN</v>
      </c>
    </row>
    <row r="2047" spans="5:8" x14ac:dyDescent="0.25">
      <c r="E2047" t="str">
        <f>""</f>
        <v/>
      </c>
      <c r="F2047" t="str">
        <f>""</f>
        <v/>
      </c>
      <c r="H2047" t="str">
        <f t="shared" si="42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ref="H2048:H2079" si="43">"GUARDIAN"</f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43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43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si="43"/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si="43"/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43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43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43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43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43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43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si="43"/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43"/>
        <v>GUARDIAN</v>
      </c>
    </row>
    <row r="2061" spans="5:8" x14ac:dyDescent="0.25">
      <c r="E2061" t="str">
        <f>""</f>
        <v/>
      </c>
      <c r="F2061" t="str">
        <f>""</f>
        <v/>
      </c>
      <c r="H2061" t="str">
        <f t="shared" si="43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43"/>
        <v>GUARDIAN</v>
      </c>
    </row>
    <row r="2063" spans="5:8" x14ac:dyDescent="0.25">
      <c r="E2063" t="str">
        <f>""</f>
        <v/>
      </c>
      <c r="F2063" t="str">
        <f>""</f>
        <v/>
      </c>
      <c r="H2063" t="str">
        <f t="shared" si="43"/>
        <v>GUARDIAN</v>
      </c>
    </row>
    <row r="2064" spans="5:8" x14ac:dyDescent="0.25">
      <c r="E2064" t="str">
        <f>""</f>
        <v/>
      </c>
      <c r="F2064" t="str">
        <f>""</f>
        <v/>
      </c>
      <c r="H2064" t="str">
        <f t="shared" si="43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43"/>
        <v>GUARDIAN</v>
      </c>
    </row>
    <row r="2066" spans="5:8" x14ac:dyDescent="0.25">
      <c r="E2066" t="str">
        <f>""</f>
        <v/>
      </c>
      <c r="F2066" t="str">
        <f>""</f>
        <v/>
      </c>
      <c r="H2066" t="str">
        <f t="shared" si="43"/>
        <v>GUARDIAN</v>
      </c>
    </row>
    <row r="2067" spans="5:8" x14ac:dyDescent="0.25">
      <c r="E2067" t="str">
        <f>""</f>
        <v/>
      </c>
      <c r="F2067" t="str">
        <f>""</f>
        <v/>
      </c>
      <c r="H2067" t="str">
        <f t="shared" si="43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43"/>
        <v>GUARDIAN</v>
      </c>
    </row>
    <row r="2069" spans="5:8" x14ac:dyDescent="0.25">
      <c r="E2069" t="str">
        <f>""</f>
        <v/>
      </c>
      <c r="F2069" t="str">
        <f>""</f>
        <v/>
      </c>
      <c r="H2069" t="str">
        <f t="shared" si="43"/>
        <v>GUARDIAN</v>
      </c>
    </row>
    <row r="2070" spans="5:8" x14ac:dyDescent="0.25">
      <c r="E2070" t="str">
        <f>""</f>
        <v/>
      </c>
      <c r="F2070" t="str">
        <f>""</f>
        <v/>
      </c>
      <c r="H2070" t="str">
        <f t="shared" si="43"/>
        <v>GUARDIAN</v>
      </c>
    </row>
    <row r="2071" spans="5:8" x14ac:dyDescent="0.25">
      <c r="E2071" t="str">
        <f>""</f>
        <v/>
      </c>
      <c r="F2071" t="str">
        <f>""</f>
        <v/>
      </c>
      <c r="H2071" t="str">
        <f t="shared" si="43"/>
        <v>GUARDIAN</v>
      </c>
    </row>
    <row r="2072" spans="5:8" x14ac:dyDescent="0.25">
      <c r="E2072" t="str">
        <f>""</f>
        <v/>
      </c>
      <c r="F2072" t="str">
        <f>""</f>
        <v/>
      </c>
      <c r="H2072" t="str">
        <f t="shared" si="43"/>
        <v>GUARDIAN</v>
      </c>
    </row>
    <row r="2073" spans="5:8" x14ac:dyDescent="0.25">
      <c r="E2073" t="str">
        <f>""</f>
        <v/>
      </c>
      <c r="F2073" t="str">
        <f>""</f>
        <v/>
      </c>
      <c r="H2073" t="str">
        <f t="shared" si="43"/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43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43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43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43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43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43"/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ref="H2080:H2111" si="44">"GUARDIAN"</f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44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44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44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si="44"/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44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44"/>
        <v>GUARDIAN</v>
      </c>
    </row>
    <row r="2087" spans="5:8" x14ac:dyDescent="0.25">
      <c r="E2087" t="str">
        <f>"LIE201906119734"</f>
        <v>LIE201906119734</v>
      </c>
      <c r="F2087" t="str">
        <f>"GUARDIAN"</f>
        <v>GUARDIAN</v>
      </c>
      <c r="G2087" s="2">
        <v>83.65</v>
      </c>
      <c r="H2087" t="str">
        <f t="shared" si="44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44"/>
        <v>GUARDIAN</v>
      </c>
    </row>
    <row r="2089" spans="5:8" x14ac:dyDescent="0.25">
      <c r="E2089" t="str">
        <f>"LIE201906250102"</f>
        <v>LIE201906250102</v>
      </c>
      <c r="F2089" t="str">
        <f>"GUARDIAN"</f>
        <v>GUARDIAN</v>
      </c>
      <c r="G2089" s="2">
        <v>3357.4</v>
      </c>
      <c r="H2089" t="str">
        <f t="shared" si="44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44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44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44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44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44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44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44"/>
        <v>GUARDIAN</v>
      </c>
    </row>
    <row r="2097" spans="5:8" x14ac:dyDescent="0.25">
      <c r="E2097" t="str">
        <f>""</f>
        <v/>
      </c>
      <c r="F2097" t="str">
        <f>""</f>
        <v/>
      </c>
      <c r="H2097" t="str">
        <f t="shared" si="44"/>
        <v>GUARDIAN</v>
      </c>
    </row>
    <row r="2098" spans="5:8" x14ac:dyDescent="0.25">
      <c r="E2098" t="str">
        <f>""</f>
        <v/>
      </c>
      <c r="F2098" t="str">
        <f>""</f>
        <v/>
      </c>
      <c r="H2098" t="str">
        <f t="shared" si="44"/>
        <v>GUARDIAN</v>
      </c>
    </row>
    <row r="2099" spans="5:8" x14ac:dyDescent="0.25">
      <c r="E2099" t="str">
        <f>""</f>
        <v/>
      </c>
      <c r="F2099" t="str">
        <f>""</f>
        <v/>
      </c>
      <c r="H2099" t="str">
        <f t="shared" si="44"/>
        <v>GUARDIAN</v>
      </c>
    </row>
    <row r="2100" spans="5:8" x14ac:dyDescent="0.25">
      <c r="E2100" t="str">
        <f>""</f>
        <v/>
      </c>
      <c r="F2100" t="str">
        <f>""</f>
        <v/>
      </c>
      <c r="H2100" t="str">
        <f t="shared" si="44"/>
        <v>GUARDIAN</v>
      </c>
    </row>
    <row r="2101" spans="5:8" x14ac:dyDescent="0.25">
      <c r="E2101" t="str">
        <f>""</f>
        <v/>
      </c>
      <c r="F2101" t="str">
        <f>""</f>
        <v/>
      </c>
      <c r="H2101" t="str">
        <f t="shared" si="44"/>
        <v>GUARDIAN</v>
      </c>
    </row>
    <row r="2102" spans="5:8" x14ac:dyDescent="0.25">
      <c r="E2102" t="str">
        <f>""</f>
        <v/>
      </c>
      <c r="F2102" t="str">
        <f>""</f>
        <v/>
      </c>
      <c r="H2102" t="str">
        <f t="shared" si="44"/>
        <v>GUARDIAN</v>
      </c>
    </row>
    <row r="2103" spans="5:8" x14ac:dyDescent="0.25">
      <c r="E2103" t="str">
        <f>""</f>
        <v/>
      </c>
      <c r="F2103" t="str">
        <f>""</f>
        <v/>
      </c>
      <c r="H2103" t="str">
        <f t="shared" si="44"/>
        <v>GUARDIAN</v>
      </c>
    </row>
    <row r="2104" spans="5:8" x14ac:dyDescent="0.25">
      <c r="E2104" t="str">
        <f>""</f>
        <v/>
      </c>
      <c r="F2104" t="str">
        <f>""</f>
        <v/>
      </c>
      <c r="H2104" t="str">
        <f t="shared" si="44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si="44"/>
        <v>GUARDIAN</v>
      </c>
    </row>
    <row r="2106" spans="5:8" x14ac:dyDescent="0.25">
      <c r="E2106" t="str">
        <f>""</f>
        <v/>
      </c>
      <c r="F2106" t="str">
        <f>""</f>
        <v/>
      </c>
      <c r="H2106" t="str">
        <f t="shared" si="44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44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44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44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44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44"/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ref="H2112:H2143" si="45">"GUARDIAN"</f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45"/>
        <v>GUARDIAN</v>
      </c>
    </row>
    <row r="2114" spans="5:8" x14ac:dyDescent="0.25">
      <c r="E2114" t="str">
        <f>""</f>
        <v/>
      </c>
      <c r="F2114" t="str">
        <f>""</f>
        <v/>
      </c>
      <c r="H2114" t="str">
        <f t="shared" si="45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si="45"/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si="45"/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45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45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45"/>
        <v>GUARDIAN</v>
      </c>
    </row>
    <row r="2120" spans="5:8" x14ac:dyDescent="0.25">
      <c r="E2120" t="str">
        <f>""</f>
        <v/>
      </c>
      <c r="F2120" t="str">
        <f>""</f>
        <v/>
      </c>
      <c r="H2120" t="str">
        <f t="shared" si="45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45"/>
        <v>GUARDIAN</v>
      </c>
    </row>
    <row r="2122" spans="5:8" x14ac:dyDescent="0.25">
      <c r="E2122" t="str">
        <f>""</f>
        <v/>
      </c>
      <c r="F2122" t="str">
        <f>""</f>
        <v/>
      </c>
      <c r="H2122" t="str">
        <f t="shared" si="45"/>
        <v>GUARDIAN</v>
      </c>
    </row>
    <row r="2123" spans="5:8" x14ac:dyDescent="0.25">
      <c r="E2123" t="str">
        <f>""</f>
        <v/>
      </c>
      <c r="F2123" t="str">
        <f>""</f>
        <v/>
      </c>
      <c r="H2123" t="str">
        <f t="shared" si="45"/>
        <v>GUARDIAN</v>
      </c>
    </row>
    <row r="2124" spans="5:8" x14ac:dyDescent="0.25">
      <c r="E2124" t="str">
        <f>""</f>
        <v/>
      </c>
      <c r="F2124" t="str">
        <f>""</f>
        <v/>
      </c>
      <c r="H2124" t="str">
        <f t="shared" si="45"/>
        <v>GUARDIAN</v>
      </c>
    </row>
    <row r="2125" spans="5:8" x14ac:dyDescent="0.25">
      <c r="E2125" t="str">
        <f>""</f>
        <v/>
      </c>
      <c r="F2125" t="str">
        <f>""</f>
        <v/>
      </c>
      <c r="H2125" t="str">
        <f t="shared" si="45"/>
        <v>GUARDIAN</v>
      </c>
    </row>
    <row r="2126" spans="5:8" x14ac:dyDescent="0.25">
      <c r="E2126" t="str">
        <f>""</f>
        <v/>
      </c>
      <c r="F2126" t="str">
        <f>""</f>
        <v/>
      </c>
      <c r="H2126" t="str">
        <f t="shared" si="45"/>
        <v>GUARDIAN</v>
      </c>
    </row>
    <row r="2127" spans="5:8" x14ac:dyDescent="0.25">
      <c r="E2127" t="str">
        <f>""</f>
        <v/>
      </c>
      <c r="F2127" t="str">
        <f>""</f>
        <v/>
      </c>
      <c r="H2127" t="str">
        <f t="shared" si="45"/>
        <v>GUARDIAN</v>
      </c>
    </row>
    <row r="2128" spans="5:8" x14ac:dyDescent="0.25">
      <c r="E2128" t="str">
        <f>""</f>
        <v/>
      </c>
      <c r="F2128" t="str">
        <f>""</f>
        <v/>
      </c>
      <c r="H2128" t="str">
        <f t="shared" si="45"/>
        <v>GUARDIAN</v>
      </c>
    </row>
    <row r="2129" spans="5:8" x14ac:dyDescent="0.25">
      <c r="E2129" t="str">
        <f>""</f>
        <v/>
      </c>
      <c r="F2129" t="str">
        <f>""</f>
        <v/>
      </c>
      <c r="H2129" t="str">
        <f t="shared" si="45"/>
        <v>GUARDIAN</v>
      </c>
    </row>
    <row r="2130" spans="5:8" x14ac:dyDescent="0.25">
      <c r="E2130" t="str">
        <f>""</f>
        <v/>
      </c>
      <c r="F2130" t="str">
        <f>""</f>
        <v/>
      </c>
      <c r="H2130" t="str">
        <f t="shared" si="45"/>
        <v>GUARDIAN</v>
      </c>
    </row>
    <row r="2131" spans="5:8" x14ac:dyDescent="0.25">
      <c r="E2131" t="str">
        <f>""</f>
        <v/>
      </c>
      <c r="F2131" t="str">
        <f>""</f>
        <v/>
      </c>
      <c r="H2131" t="str">
        <f t="shared" si="45"/>
        <v>GUARDIAN</v>
      </c>
    </row>
    <row r="2132" spans="5:8" x14ac:dyDescent="0.25">
      <c r="E2132" t="str">
        <f>""</f>
        <v/>
      </c>
      <c r="F2132" t="str">
        <f>""</f>
        <v/>
      </c>
      <c r="H2132" t="str">
        <f t="shared" si="45"/>
        <v>GUARDIAN</v>
      </c>
    </row>
    <row r="2133" spans="5:8" x14ac:dyDescent="0.25">
      <c r="E2133" t="str">
        <f>""</f>
        <v/>
      </c>
      <c r="F2133" t="str">
        <f>""</f>
        <v/>
      </c>
      <c r="H2133" t="str">
        <f t="shared" si="45"/>
        <v>GUARDIAN</v>
      </c>
    </row>
    <row r="2134" spans="5:8" x14ac:dyDescent="0.25">
      <c r="E2134" t="str">
        <f>""</f>
        <v/>
      </c>
      <c r="F2134" t="str">
        <f>""</f>
        <v/>
      </c>
      <c r="H2134" t="str">
        <f t="shared" si="45"/>
        <v>GUARDIAN</v>
      </c>
    </row>
    <row r="2135" spans="5:8" x14ac:dyDescent="0.25">
      <c r="E2135" t="str">
        <f>""</f>
        <v/>
      </c>
      <c r="F2135" t="str">
        <f>""</f>
        <v/>
      </c>
      <c r="H2135" t="str">
        <f t="shared" si="45"/>
        <v>GUARDIAN</v>
      </c>
    </row>
    <row r="2136" spans="5:8" x14ac:dyDescent="0.25">
      <c r="E2136" t="str">
        <f>""</f>
        <v/>
      </c>
      <c r="F2136" t="str">
        <f>""</f>
        <v/>
      </c>
      <c r="H2136" t="str">
        <f t="shared" si="45"/>
        <v>GUARDIAN</v>
      </c>
    </row>
    <row r="2137" spans="5:8" x14ac:dyDescent="0.25">
      <c r="E2137" t="str">
        <f>""</f>
        <v/>
      </c>
      <c r="F2137" t="str">
        <f>""</f>
        <v/>
      </c>
      <c r="H2137" t="str">
        <f t="shared" si="45"/>
        <v>GUARDIAN</v>
      </c>
    </row>
    <row r="2138" spans="5:8" x14ac:dyDescent="0.25">
      <c r="E2138" t="str">
        <f>"LIE201906250103"</f>
        <v>LIE201906250103</v>
      </c>
      <c r="F2138" t="str">
        <f>"GUARDIAN"</f>
        <v>GUARDIAN</v>
      </c>
      <c r="G2138" s="2">
        <v>83.65</v>
      </c>
      <c r="H2138" t="str">
        <f t="shared" si="45"/>
        <v>GUARDIAN</v>
      </c>
    </row>
    <row r="2139" spans="5:8" x14ac:dyDescent="0.25">
      <c r="E2139" t="str">
        <f>""</f>
        <v/>
      </c>
      <c r="F2139" t="str">
        <f>""</f>
        <v/>
      </c>
      <c r="H2139" t="str">
        <f t="shared" si="45"/>
        <v>GUARDIAN</v>
      </c>
    </row>
    <row r="2140" spans="5:8" x14ac:dyDescent="0.25">
      <c r="E2140" t="str">
        <f>"LIS201906119733"</f>
        <v>LIS201906119733</v>
      </c>
      <c r="F2140" t="str">
        <f t="shared" ref="F2140:F2151" si="46">"GUARDIAN"</f>
        <v>GUARDIAN</v>
      </c>
      <c r="G2140" s="2">
        <v>463.33</v>
      </c>
      <c r="H2140" t="str">
        <f t="shared" si="45"/>
        <v>GUARDIAN</v>
      </c>
    </row>
    <row r="2141" spans="5:8" x14ac:dyDescent="0.25">
      <c r="E2141" t="str">
        <f>"LIS201906119734"</f>
        <v>LIS201906119734</v>
      </c>
      <c r="F2141" t="str">
        <f t="shared" si="46"/>
        <v>GUARDIAN</v>
      </c>
      <c r="G2141" s="2">
        <v>36.15</v>
      </c>
      <c r="H2141" t="str">
        <f t="shared" si="45"/>
        <v>GUARDIAN</v>
      </c>
    </row>
    <row r="2142" spans="5:8" x14ac:dyDescent="0.25">
      <c r="E2142" t="str">
        <f>"LIS201906250102"</f>
        <v>LIS201906250102</v>
      </c>
      <c r="F2142" t="str">
        <f t="shared" si="46"/>
        <v>GUARDIAN</v>
      </c>
      <c r="G2142" s="2">
        <v>463.33</v>
      </c>
      <c r="H2142" t="str">
        <f t="shared" si="45"/>
        <v>GUARDIAN</v>
      </c>
    </row>
    <row r="2143" spans="5:8" x14ac:dyDescent="0.25">
      <c r="E2143" t="str">
        <f>"LIS201906250103"</f>
        <v>LIS201906250103</v>
      </c>
      <c r="F2143" t="str">
        <f t="shared" si="46"/>
        <v>GUARDIAN</v>
      </c>
      <c r="G2143" s="2">
        <v>36.15</v>
      </c>
      <c r="H2143" t="str">
        <f t="shared" si="45"/>
        <v>GUARDIAN</v>
      </c>
    </row>
    <row r="2144" spans="5:8" x14ac:dyDescent="0.25">
      <c r="E2144" t="str">
        <f>"LTD201906119733"</f>
        <v>LTD201906119733</v>
      </c>
      <c r="F2144" t="str">
        <f t="shared" si="46"/>
        <v>GUARDIAN</v>
      </c>
      <c r="G2144" s="2">
        <v>809.23</v>
      </c>
      <c r="H2144" t="str">
        <f t="shared" ref="H2144:H2151" si="47">"GUARDIAN"</f>
        <v>GUARDIAN</v>
      </c>
    </row>
    <row r="2145" spans="1:8" x14ac:dyDescent="0.25">
      <c r="E2145" t="str">
        <f>"LTD201906119734"</f>
        <v>LTD201906119734</v>
      </c>
      <c r="F2145" t="str">
        <f t="shared" si="46"/>
        <v>GUARDIAN</v>
      </c>
      <c r="G2145" s="2">
        <v>6.11</v>
      </c>
      <c r="H2145" t="str">
        <f t="shared" si="47"/>
        <v>GUARDIAN</v>
      </c>
    </row>
    <row r="2146" spans="1:8" x14ac:dyDescent="0.25">
      <c r="E2146" t="str">
        <f>"LTD201906250102"</f>
        <v>LTD201906250102</v>
      </c>
      <c r="F2146" t="str">
        <f t="shared" si="46"/>
        <v>GUARDIAN</v>
      </c>
      <c r="G2146" s="2">
        <v>809.23</v>
      </c>
      <c r="H2146" t="str">
        <f t="shared" si="47"/>
        <v>GUARDIAN</v>
      </c>
    </row>
    <row r="2147" spans="1:8" x14ac:dyDescent="0.25">
      <c r="E2147" t="str">
        <f>"LTD201906250103"</f>
        <v>LTD201906250103</v>
      </c>
      <c r="F2147" t="str">
        <f t="shared" si="46"/>
        <v>GUARDIAN</v>
      </c>
      <c r="G2147" s="2">
        <v>6.11</v>
      </c>
      <c r="H2147" t="str">
        <f t="shared" si="47"/>
        <v>GUARDIAN</v>
      </c>
    </row>
    <row r="2148" spans="1:8" x14ac:dyDescent="0.25">
      <c r="A2148" t="s">
        <v>446</v>
      </c>
      <c r="B2148">
        <v>162</v>
      </c>
      <c r="C2148" s="2">
        <v>109.1</v>
      </c>
      <c r="D2148" s="1">
        <v>43644</v>
      </c>
      <c r="E2148" t="str">
        <f>"AEG201906119733"</f>
        <v>AEG201906119733</v>
      </c>
      <c r="F2148" t="str">
        <f t="shared" si="46"/>
        <v>GUARDIAN</v>
      </c>
      <c r="G2148" s="2">
        <v>6.66</v>
      </c>
      <c r="H2148" t="str">
        <f t="shared" si="47"/>
        <v>GUARDIAN</v>
      </c>
    </row>
    <row r="2149" spans="1:8" x14ac:dyDescent="0.25">
      <c r="E2149" t="str">
        <f>"AEG201906250102"</f>
        <v>AEG201906250102</v>
      </c>
      <c r="F2149" t="str">
        <f t="shared" si="46"/>
        <v>GUARDIAN</v>
      </c>
      <c r="G2149" s="2">
        <v>6.66</v>
      </c>
      <c r="H2149" t="str">
        <f t="shared" si="47"/>
        <v>GUARDIAN</v>
      </c>
    </row>
    <row r="2150" spans="1:8" x14ac:dyDescent="0.25">
      <c r="E2150" t="str">
        <f>"AFG201906119733"</f>
        <v>AFG201906119733</v>
      </c>
      <c r="F2150" t="str">
        <f t="shared" si="46"/>
        <v>GUARDIAN</v>
      </c>
      <c r="G2150" s="2">
        <v>47.89</v>
      </c>
      <c r="H2150" t="str">
        <f t="shared" si="47"/>
        <v>GUARDIAN</v>
      </c>
    </row>
    <row r="2151" spans="1:8" x14ac:dyDescent="0.25">
      <c r="E2151" t="str">
        <f>"AFG201906250102"</f>
        <v>AFG201906250102</v>
      </c>
      <c r="F2151" t="str">
        <f t="shared" si="46"/>
        <v>GUARDIAN</v>
      </c>
      <c r="G2151" s="2">
        <v>47.89</v>
      </c>
      <c r="H2151" t="str">
        <f t="shared" si="47"/>
        <v>GUARDIAN</v>
      </c>
    </row>
    <row r="2152" spans="1:8" x14ac:dyDescent="0.25">
      <c r="A2152" t="s">
        <v>447</v>
      </c>
      <c r="B2152">
        <v>146</v>
      </c>
      <c r="C2152" s="2">
        <v>223132.77</v>
      </c>
      <c r="D2152" s="1">
        <v>43630</v>
      </c>
      <c r="E2152" t="str">
        <f>"T1 201906119733"</f>
        <v>T1 201906119733</v>
      </c>
      <c r="F2152" t="str">
        <f>"FEDERAL WITHHOLDING"</f>
        <v>FEDERAL WITHHOLDING</v>
      </c>
      <c r="G2152" s="2">
        <v>73662.75</v>
      </c>
      <c r="H2152" t="str">
        <f>"FEDERAL WITHHOLDING"</f>
        <v>FEDERAL WITHHOLDING</v>
      </c>
    </row>
    <row r="2153" spans="1:8" x14ac:dyDescent="0.25">
      <c r="E2153" t="str">
        <f>"T1 201906119734"</f>
        <v>T1 201906119734</v>
      </c>
      <c r="F2153" t="str">
        <f>"FEDERAL WITHHOLDING"</f>
        <v>FEDERAL WITHHOLDING</v>
      </c>
      <c r="G2153" s="2">
        <v>2851.72</v>
      </c>
      <c r="H2153" t="str">
        <f>"FEDERAL WITHHOLDING"</f>
        <v>FEDERAL WITHHOLDING</v>
      </c>
    </row>
    <row r="2154" spans="1:8" x14ac:dyDescent="0.25">
      <c r="E2154" t="str">
        <f>"T1 201906119735"</f>
        <v>T1 201906119735</v>
      </c>
      <c r="F2154" t="str">
        <f>"FEDERAL WITHHOLDING"</f>
        <v>FEDERAL WITHHOLDING</v>
      </c>
      <c r="G2154" s="2">
        <v>3503.92</v>
      </c>
      <c r="H2154" t="str">
        <f>"FEDERAL WITHHOLDING"</f>
        <v>FEDERAL WITHHOLDING</v>
      </c>
    </row>
    <row r="2155" spans="1:8" x14ac:dyDescent="0.25">
      <c r="E2155" t="str">
        <f>"T3 201906119733"</f>
        <v>T3 201906119733</v>
      </c>
      <c r="F2155" t="str">
        <f>"SOCIAL SECURITY TAXES"</f>
        <v>SOCIAL SECURITY TAXES</v>
      </c>
      <c r="G2155" s="2">
        <v>106998.72</v>
      </c>
      <c r="H2155" t="str">
        <f t="shared" ref="H2155:H2186" si="48">"SOCIAL SECURITY TAXES"</f>
        <v>SOCIAL SECURITY TAXES</v>
      </c>
    </row>
    <row r="2156" spans="1:8" x14ac:dyDescent="0.25">
      <c r="E2156" t="str">
        <f>""</f>
        <v/>
      </c>
      <c r="F2156" t="str">
        <f>""</f>
        <v/>
      </c>
      <c r="H2156" t="str">
        <f t="shared" si="48"/>
        <v>SOCIAL SECURITY TAXES</v>
      </c>
    </row>
    <row r="2157" spans="1:8" x14ac:dyDescent="0.25">
      <c r="E2157" t="str">
        <f>""</f>
        <v/>
      </c>
      <c r="F2157" t="str">
        <f>""</f>
        <v/>
      </c>
      <c r="H2157" t="str">
        <f t="shared" si="48"/>
        <v>SOCIAL SECURITY TAXES</v>
      </c>
    </row>
    <row r="2158" spans="1:8" x14ac:dyDescent="0.25">
      <c r="E2158" t="str">
        <f>""</f>
        <v/>
      </c>
      <c r="F2158" t="str">
        <f>""</f>
        <v/>
      </c>
      <c r="H2158" t="str">
        <f t="shared" si="48"/>
        <v>SOCIAL SECURITY TAXES</v>
      </c>
    </row>
    <row r="2159" spans="1:8" x14ac:dyDescent="0.25">
      <c r="E2159" t="str">
        <f>""</f>
        <v/>
      </c>
      <c r="F2159" t="str">
        <f>""</f>
        <v/>
      </c>
      <c r="H2159" t="str">
        <f t="shared" si="48"/>
        <v>SOCIAL SECURITY TAXES</v>
      </c>
    </row>
    <row r="2160" spans="1:8" x14ac:dyDescent="0.25">
      <c r="E2160" t="str">
        <f>""</f>
        <v/>
      </c>
      <c r="F2160" t="str">
        <f>""</f>
        <v/>
      </c>
      <c r="H2160" t="str">
        <f t="shared" si="48"/>
        <v>SOCIAL SECURITY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48"/>
        <v>SOCIAL SECURITY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48"/>
        <v>SOCIAL SECURITY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48"/>
        <v>SOCIAL SECURITY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48"/>
        <v>SOCIAL SECURITY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48"/>
        <v>SOCIAL SECURITY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48"/>
        <v>SOCIAL SECURITY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48"/>
        <v>SOCIAL SECURITY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48"/>
        <v>SOCIAL SECURITY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48"/>
        <v>SOCIAL SECURITY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48"/>
        <v>SOCIAL SECURITY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48"/>
        <v>SOCIAL SECURITY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48"/>
        <v>SOCIAL SECURITY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48"/>
        <v>SOCIAL SECURITY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48"/>
        <v>SOCIAL SECURITY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48"/>
        <v>SOCIAL SECURITY TAXES</v>
      </c>
    </row>
    <row r="2176" spans="5:8" x14ac:dyDescent="0.25">
      <c r="E2176" t="str">
        <f>""</f>
        <v/>
      </c>
      <c r="F2176" t="str">
        <f>""</f>
        <v/>
      </c>
      <c r="H2176" t="str">
        <f t="shared" si="48"/>
        <v>SOCIAL SECURITY TAXES</v>
      </c>
    </row>
    <row r="2177" spans="5:8" x14ac:dyDescent="0.25">
      <c r="E2177" t="str">
        <f>""</f>
        <v/>
      </c>
      <c r="F2177" t="str">
        <f>""</f>
        <v/>
      </c>
      <c r="H2177" t="str">
        <f t="shared" si="48"/>
        <v>SOCIAL SECURITY TAXES</v>
      </c>
    </row>
    <row r="2178" spans="5:8" x14ac:dyDescent="0.25">
      <c r="E2178" t="str">
        <f>""</f>
        <v/>
      </c>
      <c r="F2178" t="str">
        <f>""</f>
        <v/>
      </c>
      <c r="H2178" t="str">
        <f t="shared" si="48"/>
        <v>SOCIAL SECURITY TAXES</v>
      </c>
    </row>
    <row r="2179" spans="5:8" x14ac:dyDescent="0.25">
      <c r="E2179" t="str">
        <f>""</f>
        <v/>
      </c>
      <c r="F2179" t="str">
        <f>""</f>
        <v/>
      </c>
      <c r="H2179" t="str">
        <f t="shared" si="48"/>
        <v>SOCIAL SECURITY TAXES</v>
      </c>
    </row>
    <row r="2180" spans="5:8" x14ac:dyDescent="0.25">
      <c r="E2180" t="str">
        <f>""</f>
        <v/>
      </c>
      <c r="F2180" t="str">
        <f>""</f>
        <v/>
      </c>
      <c r="H2180" t="str">
        <f t="shared" si="48"/>
        <v>SOCIAL SECURITY TAXES</v>
      </c>
    </row>
    <row r="2181" spans="5:8" x14ac:dyDescent="0.25">
      <c r="E2181" t="str">
        <f>""</f>
        <v/>
      </c>
      <c r="F2181" t="str">
        <f>""</f>
        <v/>
      </c>
      <c r="H2181" t="str">
        <f t="shared" si="48"/>
        <v>SOCIAL SECURITY TAXES</v>
      </c>
    </row>
    <row r="2182" spans="5:8" x14ac:dyDescent="0.25">
      <c r="E2182" t="str">
        <f>""</f>
        <v/>
      </c>
      <c r="F2182" t="str">
        <f>""</f>
        <v/>
      </c>
      <c r="H2182" t="str">
        <f t="shared" si="48"/>
        <v>SOCIAL SECURITY TAXES</v>
      </c>
    </row>
    <row r="2183" spans="5:8" x14ac:dyDescent="0.25">
      <c r="E2183" t="str">
        <f>""</f>
        <v/>
      </c>
      <c r="F2183" t="str">
        <f>""</f>
        <v/>
      </c>
      <c r="H2183" t="str">
        <f t="shared" si="48"/>
        <v>SOCIAL SECURITY TAXES</v>
      </c>
    </row>
    <row r="2184" spans="5:8" x14ac:dyDescent="0.25">
      <c r="E2184" t="str">
        <f>""</f>
        <v/>
      </c>
      <c r="F2184" t="str">
        <f>""</f>
        <v/>
      </c>
      <c r="H2184" t="str">
        <f t="shared" si="48"/>
        <v>SOCIAL SECURITY TAXES</v>
      </c>
    </row>
    <row r="2185" spans="5:8" x14ac:dyDescent="0.25">
      <c r="E2185" t="str">
        <f>""</f>
        <v/>
      </c>
      <c r="F2185" t="str">
        <f>""</f>
        <v/>
      </c>
      <c r="H2185" t="str">
        <f t="shared" si="48"/>
        <v>SOCIAL SECURITY TAXES</v>
      </c>
    </row>
    <row r="2186" spans="5:8" x14ac:dyDescent="0.25">
      <c r="E2186" t="str">
        <f>""</f>
        <v/>
      </c>
      <c r="F2186" t="str">
        <f>""</f>
        <v/>
      </c>
      <c r="H2186" t="str">
        <f t="shared" si="48"/>
        <v>SOCIAL SECURITY TAXES</v>
      </c>
    </row>
    <row r="2187" spans="5:8" x14ac:dyDescent="0.25">
      <c r="E2187" t="str">
        <f>""</f>
        <v/>
      </c>
      <c r="F2187" t="str">
        <f>""</f>
        <v/>
      </c>
      <c r="H2187" t="str">
        <f t="shared" ref="H2187:H2210" si="49">"SOCIAL SECURITY TAXES"</f>
        <v>SOCIAL SECURITY TAXES</v>
      </c>
    </row>
    <row r="2188" spans="5:8" x14ac:dyDescent="0.25">
      <c r="E2188" t="str">
        <f>""</f>
        <v/>
      </c>
      <c r="F2188" t="str">
        <f>""</f>
        <v/>
      </c>
      <c r="H2188" t="str">
        <f t="shared" si="49"/>
        <v>SOCIAL SECURITY TAXES</v>
      </c>
    </row>
    <row r="2189" spans="5:8" x14ac:dyDescent="0.25">
      <c r="E2189" t="str">
        <f>""</f>
        <v/>
      </c>
      <c r="F2189" t="str">
        <f>""</f>
        <v/>
      </c>
      <c r="H2189" t="str">
        <f t="shared" si="49"/>
        <v>SOCIAL SECURITY TAXES</v>
      </c>
    </row>
    <row r="2190" spans="5:8" x14ac:dyDescent="0.25">
      <c r="E2190" t="str">
        <f>""</f>
        <v/>
      </c>
      <c r="F2190" t="str">
        <f>""</f>
        <v/>
      </c>
      <c r="H2190" t="str">
        <f t="shared" si="49"/>
        <v>SOCIAL SECURITY TAXES</v>
      </c>
    </row>
    <row r="2191" spans="5:8" x14ac:dyDescent="0.25">
      <c r="E2191" t="str">
        <f>""</f>
        <v/>
      </c>
      <c r="F2191" t="str">
        <f>""</f>
        <v/>
      </c>
      <c r="H2191" t="str">
        <f t="shared" si="49"/>
        <v>SOCIAL SECURITY TAXES</v>
      </c>
    </row>
    <row r="2192" spans="5:8" x14ac:dyDescent="0.25">
      <c r="E2192" t="str">
        <f>""</f>
        <v/>
      </c>
      <c r="F2192" t="str">
        <f>""</f>
        <v/>
      </c>
      <c r="H2192" t="str">
        <f t="shared" si="49"/>
        <v>SOCIAL SECURITY TAXES</v>
      </c>
    </row>
    <row r="2193" spans="5:8" x14ac:dyDescent="0.25">
      <c r="E2193" t="str">
        <f>""</f>
        <v/>
      </c>
      <c r="F2193" t="str">
        <f>""</f>
        <v/>
      </c>
      <c r="H2193" t="str">
        <f t="shared" si="49"/>
        <v>SOCIAL SECURITY TAXES</v>
      </c>
    </row>
    <row r="2194" spans="5:8" x14ac:dyDescent="0.25">
      <c r="E2194" t="str">
        <f>""</f>
        <v/>
      </c>
      <c r="F2194" t="str">
        <f>""</f>
        <v/>
      </c>
      <c r="H2194" t="str">
        <f t="shared" si="49"/>
        <v>SOCIAL SECURITY TAXES</v>
      </c>
    </row>
    <row r="2195" spans="5:8" x14ac:dyDescent="0.25">
      <c r="E2195" t="str">
        <f>""</f>
        <v/>
      </c>
      <c r="F2195" t="str">
        <f>""</f>
        <v/>
      </c>
      <c r="H2195" t="str">
        <f t="shared" si="49"/>
        <v>SOCIAL SECURITY TAXES</v>
      </c>
    </row>
    <row r="2196" spans="5:8" x14ac:dyDescent="0.25">
      <c r="E2196" t="str">
        <f>""</f>
        <v/>
      </c>
      <c r="F2196" t="str">
        <f>""</f>
        <v/>
      </c>
      <c r="H2196" t="str">
        <f t="shared" si="49"/>
        <v>SOCIAL SECURITY TAXES</v>
      </c>
    </row>
    <row r="2197" spans="5:8" x14ac:dyDescent="0.25">
      <c r="E2197" t="str">
        <f>""</f>
        <v/>
      </c>
      <c r="F2197" t="str">
        <f>""</f>
        <v/>
      </c>
      <c r="H2197" t="str">
        <f t="shared" si="49"/>
        <v>SOCIAL SECURITY TAXES</v>
      </c>
    </row>
    <row r="2198" spans="5:8" x14ac:dyDescent="0.25">
      <c r="E2198" t="str">
        <f>""</f>
        <v/>
      </c>
      <c r="F2198" t="str">
        <f>""</f>
        <v/>
      </c>
      <c r="H2198" t="str">
        <f t="shared" si="49"/>
        <v>SOCIAL SECURITY TAXES</v>
      </c>
    </row>
    <row r="2199" spans="5:8" x14ac:dyDescent="0.25">
      <c r="E2199" t="str">
        <f>""</f>
        <v/>
      </c>
      <c r="F2199" t="str">
        <f>""</f>
        <v/>
      </c>
      <c r="H2199" t="str">
        <f t="shared" si="49"/>
        <v>SOCIAL SECURITY TAXES</v>
      </c>
    </row>
    <row r="2200" spans="5:8" x14ac:dyDescent="0.25">
      <c r="E2200" t="str">
        <f>""</f>
        <v/>
      </c>
      <c r="F2200" t="str">
        <f>""</f>
        <v/>
      </c>
      <c r="H2200" t="str">
        <f t="shared" si="49"/>
        <v>SOCIAL SECURITY TAXES</v>
      </c>
    </row>
    <row r="2201" spans="5:8" x14ac:dyDescent="0.25">
      <c r="E2201" t="str">
        <f>""</f>
        <v/>
      </c>
      <c r="F2201" t="str">
        <f>""</f>
        <v/>
      </c>
      <c r="H2201" t="str">
        <f t="shared" si="49"/>
        <v>SOCIAL SECURITY TAXES</v>
      </c>
    </row>
    <row r="2202" spans="5:8" x14ac:dyDescent="0.25">
      <c r="E2202" t="str">
        <f>""</f>
        <v/>
      </c>
      <c r="F2202" t="str">
        <f>""</f>
        <v/>
      </c>
      <c r="H2202" t="str">
        <f t="shared" si="49"/>
        <v>SOCIAL SECURITY TAXES</v>
      </c>
    </row>
    <row r="2203" spans="5:8" x14ac:dyDescent="0.25">
      <c r="E2203" t="str">
        <f>""</f>
        <v/>
      </c>
      <c r="F2203" t="str">
        <f>""</f>
        <v/>
      </c>
      <c r="H2203" t="str">
        <f t="shared" si="49"/>
        <v>SOCIAL SECURITY TAXES</v>
      </c>
    </row>
    <row r="2204" spans="5:8" x14ac:dyDescent="0.25">
      <c r="E2204" t="str">
        <f>""</f>
        <v/>
      </c>
      <c r="F2204" t="str">
        <f>""</f>
        <v/>
      </c>
      <c r="H2204" t="str">
        <f t="shared" si="49"/>
        <v>SOCIAL SECURITY TAXES</v>
      </c>
    </row>
    <row r="2205" spans="5:8" x14ac:dyDescent="0.25">
      <c r="E2205" t="str">
        <f>""</f>
        <v/>
      </c>
      <c r="F2205" t="str">
        <f>""</f>
        <v/>
      </c>
      <c r="H2205" t="str">
        <f t="shared" si="49"/>
        <v>SOCIAL SECURITY TAXES</v>
      </c>
    </row>
    <row r="2206" spans="5:8" x14ac:dyDescent="0.25">
      <c r="E2206" t="str">
        <f>""</f>
        <v/>
      </c>
      <c r="F2206" t="str">
        <f>""</f>
        <v/>
      </c>
      <c r="H2206" t="str">
        <f t="shared" si="49"/>
        <v>SOCIAL SECURITY TAXES</v>
      </c>
    </row>
    <row r="2207" spans="5:8" x14ac:dyDescent="0.25">
      <c r="E2207" t="str">
        <f>"T3 201906119734"</f>
        <v>T3 201906119734</v>
      </c>
      <c r="F2207" t="str">
        <f>"SOCIAL SECURITY TAXES"</f>
        <v>SOCIAL SECURITY TAXES</v>
      </c>
      <c r="G2207" s="2">
        <v>3996</v>
      </c>
      <c r="H2207" t="str">
        <f t="shared" si="49"/>
        <v>SOCIAL SECURITY TAXES</v>
      </c>
    </row>
    <row r="2208" spans="5:8" x14ac:dyDescent="0.25">
      <c r="E2208" t="str">
        <f>""</f>
        <v/>
      </c>
      <c r="F2208" t="str">
        <f>""</f>
        <v/>
      </c>
      <c r="H2208" t="str">
        <f t="shared" si="49"/>
        <v>SOCIAL SECURITY TAXES</v>
      </c>
    </row>
    <row r="2209" spans="5:8" x14ac:dyDescent="0.25">
      <c r="E2209" t="str">
        <f>"T3 201906119735"</f>
        <v>T3 201906119735</v>
      </c>
      <c r="F2209" t="str">
        <f>"SOCIAL SECURITY TAXES"</f>
        <v>SOCIAL SECURITY TAXES</v>
      </c>
      <c r="G2209" s="2">
        <v>4993.34</v>
      </c>
      <c r="H2209" t="str">
        <f t="shared" si="49"/>
        <v>SOCIAL SECURITY TAXES</v>
      </c>
    </row>
    <row r="2210" spans="5:8" x14ac:dyDescent="0.25">
      <c r="E2210" t="str">
        <f>""</f>
        <v/>
      </c>
      <c r="F2210" t="str">
        <f>""</f>
        <v/>
      </c>
      <c r="H2210" t="str">
        <f t="shared" si="49"/>
        <v>SOCIAL SECURITY TAXES</v>
      </c>
    </row>
    <row r="2211" spans="5:8" x14ac:dyDescent="0.25">
      <c r="E2211" t="str">
        <f>"T4 201906119733"</f>
        <v>T4 201906119733</v>
      </c>
      <c r="F2211" t="str">
        <f>"MEDICARE TAXES"</f>
        <v>MEDICARE TAXES</v>
      </c>
      <c r="G2211" s="2">
        <v>25023.94</v>
      </c>
      <c r="H2211" t="str">
        <f t="shared" ref="H2211:H2242" si="50">"MEDICARE TAXES"</f>
        <v>MEDICARE TAXES</v>
      </c>
    </row>
    <row r="2212" spans="5:8" x14ac:dyDescent="0.25">
      <c r="E2212" t="str">
        <f>""</f>
        <v/>
      </c>
      <c r="F2212" t="str">
        <f>""</f>
        <v/>
      </c>
      <c r="H2212" t="str">
        <f t="shared" si="50"/>
        <v>MEDICARE TAXES</v>
      </c>
    </row>
    <row r="2213" spans="5:8" x14ac:dyDescent="0.25">
      <c r="E2213" t="str">
        <f>""</f>
        <v/>
      </c>
      <c r="F2213" t="str">
        <f>""</f>
        <v/>
      </c>
      <c r="H2213" t="str">
        <f t="shared" si="50"/>
        <v>MEDICARE TAXES</v>
      </c>
    </row>
    <row r="2214" spans="5:8" x14ac:dyDescent="0.25">
      <c r="E2214" t="str">
        <f>""</f>
        <v/>
      </c>
      <c r="F2214" t="str">
        <f>""</f>
        <v/>
      </c>
      <c r="H2214" t="str">
        <f t="shared" si="50"/>
        <v>MEDICARE TAXES</v>
      </c>
    </row>
    <row r="2215" spans="5:8" x14ac:dyDescent="0.25">
      <c r="E2215" t="str">
        <f>""</f>
        <v/>
      </c>
      <c r="F2215" t="str">
        <f>""</f>
        <v/>
      </c>
      <c r="H2215" t="str">
        <f t="shared" si="50"/>
        <v>MEDICARE TAXES</v>
      </c>
    </row>
    <row r="2216" spans="5:8" x14ac:dyDescent="0.25">
      <c r="E2216" t="str">
        <f>""</f>
        <v/>
      </c>
      <c r="F2216" t="str">
        <f>""</f>
        <v/>
      </c>
      <c r="H2216" t="str">
        <f t="shared" si="50"/>
        <v>MEDICARE TAXES</v>
      </c>
    </row>
    <row r="2217" spans="5:8" x14ac:dyDescent="0.25">
      <c r="E2217" t="str">
        <f>""</f>
        <v/>
      </c>
      <c r="F2217" t="str">
        <f>""</f>
        <v/>
      </c>
      <c r="H2217" t="str">
        <f t="shared" si="50"/>
        <v>MEDICARE TAXES</v>
      </c>
    </row>
    <row r="2218" spans="5:8" x14ac:dyDescent="0.25">
      <c r="E2218" t="str">
        <f>""</f>
        <v/>
      </c>
      <c r="F2218" t="str">
        <f>""</f>
        <v/>
      </c>
      <c r="H2218" t="str">
        <f t="shared" si="50"/>
        <v>MEDICARE TAXES</v>
      </c>
    </row>
    <row r="2219" spans="5:8" x14ac:dyDescent="0.25">
      <c r="E2219" t="str">
        <f>""</f>
        <v/>
      </c>
      <c r="F2219" t="str">
        <f>""</f>
        <v/>
      </c>
      <c r="H2219" t="str">
        <f t="shared" si="50"/>
        <v>MEDICARE TAXES</v>
      </c>
    </row>
    <row r="2220" spans="5:8" x14ac:dyDescent="0.25">
      <c r="E2220" t="str">
        <f>""</f>
        <v/>
      </c>
      <c r="F2220" t="str">
        <f>""</f>
        <v/>
      </c>
      <c r="H2220" t="str">
        <f t="shared" si="50"/>
        <v>MEDICARE TAXES</v>
      </c>
    </row>
    <row r="2221" spans="5:8" x14ac:dyDescent="0.25">
      <c r="E2221" t="str">
        <f>""</f>
        <v/>
      </c>
      <c r="F2221" t="str">
        <f>""</f>
        <v/>
      </c>
      <c r="H2221" t="str">
        <f t="shared" si="50"/>
        <v>MEDICARE TAXES</v>
      </c>
    </row>
    <row r="2222" spans="5:8" x14ac:dyDescent="0.25">
      <c r="E2222" t="str">
        <f>""</f>
        <v/>
      </c>
      <c r="F2222" t="str">
        <f>""</f>
        <v/>
      </c>
      <c r="H2222" t="str">
        <f t="shared" si="50"/>
        <v>MEDICARE TAXES</v>
      </c>
    </row>
    <row r="2223" spans="5:8" x14ac:dyDescent="0.25">
      <c r="E2223" t="str">
        <f>""</f>
        <v/>
      </c>
      <c r="F2223" t="str">
        <f>""</f>
        <v/>
      </c>
      <c r="H2223" t="str">
        <f t="shared" si="50"/>
        <v>MEDICARE TAXES</v>
      </c>
    </row>
    <row r="2224" spans="5:8" x14ac:dyDescent="0.25">
      <c r="E2224" t="str">
        <f>""</f>
        <v/>
      </c>
      <c r="F2224" t="str">
        <f>""</f>
        <v/>
      </c>
      <c r="H2224" t="str">
        <f t="shared" si="50"/>
        <v>MEDICARE TAXES</v>
      </c>
    </row>
    <row r="2225" spans="5:8" x14ac:dyDescent="0.25">
      <c r="E2225" t="str">
        <f>""</f>
        <v/>
      </c>
      <c r="F2225" t="str">
        <f>""</f>
        <v/>
      </c>
      <c r="H2225" t="str">
        <f t="shared" si="50"/>
        <v>MEDICARE TAXES</v>
      </c>
    </row>
    <row r="2226" spans="5:8" x14ac:dyDescent="0.25">
      <c r="E2226" t="str">
        <f>""</f>
        <v/>
      </c>
      <c r="F2226" t="str">
        <f>""</f>
        <v/>
      </c>
      <c r="H2226" t="str">
        <f t="shared" si="50"/>
        <v>MEDICARE TAXES</v>
      </c>
    </row>
    <row r="2227" spans="5:8" x14ac:dyDescent="0.25">
      <c r="E2227" t="str">
        <f>""</f>
        <v/>
      </c>
      <c r="F2227" t="str">
        <f>""</f>
        <v/>
      </c>
      <c r="H2227" t="str">
        <f t="shared" si="50"/>
        <v>MEDICARE TAXES</v>
      </c>
    </row>
    <row r="2228" spans="5:8" x14ac:dyDescent="0.25">
      <c r="E2228" t="str">
        <f>""</f>
        <v/>
      </c>
      <c r="F2228" t="str">
        <f>""</f>
        <v/>
      </c>
      <c r="H2228" t="str">
        <f t="shared" si="50"/>
        <v>MEDICARE TAXES</v>
      </c>
    </row>
    <row r="2229" spans="5:8" x14ac:dyDescent="0.25">
      <c r="E2229" t="str">
        <f>""</f>
        <v/>
      </c>
      <c r="F2229" t="str">
        <f>""</f>
        <v/>
      </c>
      <c r="H2229" t="str">
        <f t="shared" si="50"/>
        <v>MEDICARE TAXES</v>
      </c>
    </row>
    <row r="2230" spans="5:8" x14ac:dyDescent="0.25">
      <c r="E2230" t="str">
        <f>""</f>
        <v/>
      </c>
      <c r="F2230" t="str">
        <f>""</f>
        <v/>
      </c>
      <c r="H2230" t="str">
        <f t="shared" si="50"/>
        <v>MEDICARE TAXES</v>
      </c>
    </row>
    <row r="2231" spans="5:8" x14ac:dyDescent="0.25">
      <c r="E2231" t="str">
        <f>""</f>
        <v/>
      </c>
      <c r="F2231" t="str">
        <f>""</f>
        <v/>
      </c>
      <c r="H2231" t="str">
        <f t="shared" si="50"/>
        <v>MEDICARE TAXES</v>
      </c>
    </row>
    <row r="2232" spans="5:8" x14ac:dyDescent="0.25">
      <c r="E2232" t="str">
        <f>""</f>
        <v/>
      </c>
      <c r="F2232" t="str">
        <f>""</f>
        <v/>
      </c>
      <c r="H2232" t="str">
        <f t="shared" si="50"/>
        <v>MEDICARE TAXES</v>
      </c>
    </row>
    <row r="2233" spans="5:8" x14ac:dyDescent="0.25">
      <c r="E2233" t="str">
        <f>""</f>
        <v/>
      </c>
      <c r="F2233" t="str">
        <f>""</f>
        <v/>
      </c>
      <c r="H2233" t="str">
        <f t="shared" si="50"/>
        <v>MEDICARE TAXES</v>
      </c>
    </row>
    <row r="2234" spans="5:8" x14ac:dyDescent="0.25">
      <c r="E2234" t="str">
        <f>""</f>
        <v/>
      </c>
      <c r="F2234" t="str">
        <f>""</f>
        <v/>
      </c>
      <c r="H2234" t="str">
        <f t="shared" si="50"/>
        <v>MEDICARE TAXES</v>
      </c>
    </row>
    <row r="2235" spans="5:8" x14ac:dyDescent="0.25">
      <c r="E2235" t="str">
        <f>""</f>
        <v/>
      </c>
      <c r="F2235" t="str">
        <f>""</f>
        <v/>
      </c>
      <c r="H2235" t="str">
        <f t="shared" si="50"/>
        <v>MEDICARE TAXES</v>
      </c>
    </row>
    <row r="2236" spans="5:8" x14ac:dyDescent="0.25">
      <c r="E2236" t="str">
        <f>""</f>
        <v/>
      </c>
      <c r="F2236" t="str">
        <f>""</f>
        <v/>
      </c>
      <c r="H2236" t="str">
        <f t="shared" si="50"/>
        <v>MEDICARE TAXES</v>
      </c>
    </row>
    <row r="2237" spans="5:8" x14ac:dyDescent="0.25">
      <c r="E2237" t="str">
        <f>""</f>
        <v/>
      </c>
      <c r="F2237" t="str">
        <f>""</f>
        <v/>
      </c>
      <c r="H2237" t="str">
        <f t="shared" si="50"/>
        <v>MEDICARE TAXES</v>
      </c>
    </row>
    <row r="2238" spans="5:8" x14ac:dyDescent="0.25">
      <c r="E2238" t="str">
        <f>""</f>
        <v/>
      </c>
      <c r="F2238" t="str">
        <f>""</f>
        <v/>
      </c>
      <c r="H2238" t="str">
        <f t="shared" si="50"/>
        <v>MEDICARE TAXES</v>
      </c>
    </row>
    <row r="2239" spans="5:8" x14ac:dyDescent="0.25">
      <c r="E2239" t="str">
        <f>""</f>
        <v/>
      </c>
      <c r="F2239" t="str">
        <f>""</f>
        <v/>
      </c>
      <c r="H2239" t="str">
        <f t="shared" si="50"/>
        <v>MEDICARE TAXES</v>
      </c>
    </row>
    <row r="2240" spans="5:8" x14ac:dyDescent="0.25">
      <c r="E2240" t="str">
        <f>""</f>
        <v/>
      </c>
      <c r="F2240" t="str">
        <f>""</f>
        <v/>
      </c>
      <c r="H2240" t="str">
        <f t="shared" si="50"/>
        <v>MEDICARE TAXES</v>
      </c>
    </row>
    <row r="2241" spans="5:8" x14ac:dyDescent="0.25">
      <c r="E2241" t="str">
        <f>""</f>
        <v/>
      </c>
      <c r="F2241" t="str">
        <f>""</f>
        <v/>
      </c>
      <c r="H2241" t="str">
        <f t="shared" si="50"/>
        <v>MEDICARE TAXES</v>
      </c>
    </row>
    <row r="2242" spans="5:8" x14ac:dyDescent="0.25">
      <c r="E2242" t="str">
        <f>""</f>
        <v/>
      </c>
      <c r="F2242" t="str">
        <f>""</f>
        <v/>
      </c>
      <c r="H2242" t="str">
        <f t="shared" si="50"/>
        <v>MEDICARE TAXES</v>
      </c>
    </row>
    <row r="2243" spans="5:8" x14ac:dyDescent="0.25">
      <c r="E2243" t="str">
        <f>""</f>
        <v/>
      </c>
      <c r="F2243" t="str">
        <f>""</f>
        <v/>
      </c>
      <c r="H2243" t="str">
        <f t="shared" ref="H2243:H2266" si="51">"MEDICARE TAXES"</f>
        <v>MEDICARE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51"/>
        <v>MEDICARE TAXES</v>
      </c>
    </row>
    <row r="2245" spans="5:8" x14ac:dyDescent="0.25">
      <c r="E2245" t="str">
        <f>""</f>
        <v/>
      </c>
      <c r="F2245" t="str">
        <f>""</f>
        <v/>
      </c>
      <c r="H2245" t="str">
        <f t="shared" si="51"/>
        <v>MEDICARE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51"/>
        <v>MEDICARE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51"/>
        <v>MEDICARE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51"/>
        <v>MEDICARE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51"/>
        <v>MEDICARE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51"/>
        <v>MEDICARE TAXES</v>
      </c>
    </row>
    <row r="2251" spans="5:8" x14ac:dyDescent="0.25">
      <c r="E2251" t="str">
        <f>""</f>
        <v/>
      </c>
      <c r="F2251" t="str">
        <f>""</f>
        <v/>
      </c>
      <c r="H2251" t="str">
        <f t="shared" si="51"/>
        <v>MEDICARE TAXES</v>
      </c>
    </row>
    <row r="2252" spans="5:8" x14ac:dyDescent="0.25">
      <c r="E2252" t="str">
        <f>""</f>
        <v/>
      </c>
      <c r="F2252" t="str">
        <f>""</f>
        <v/>
      </c>
      <c r="H2252" t="str">
        <f t="shared" si="51"/>
        <v>MEDICARE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51"/>
        <v>MEDICARE TAXES</v>
      </c>
    </row>
    <row r="2254" spans="5:8" x14ac:dyDescent="0.25">
      <c r="E2254" t="str">
        <f>""</f>
        <v/>
      </c>
      <c r="F2254" t="str">
        <f>""</f>
        <v/>
      </c>
      <c r="H2254" t="str">
        <f t="shared" si="51"/>
        <v>MEDICARE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51"/>
        <v>MEDICARE TAXES</v>
      </c>
    </row>
    <row r="2256" spans="5:8" x14ac:dyDescent="0.25">
      <c r="E2256" t="str">
        <f>""</f>
        <v/>
      </c>
      <c r="F2256" t="str">
        <f>""</f>
        <v/>
      </c>
      <c r="H2256" t="str">
        <f t="shared" si="51"/>
        <v>MEDICARE TAXES</v>
      </c>
    </row>
    <row r="2257" spans="1:8" x14ac:dyDescent="0.25">
      <c r="E2257" t="str">
        <f>""</f>
        <v/>
      </c>
      <c r="F2257" t="str">
        <f>""</f>
        <v/>
      </c>
      <c r="H2257" t="str">
        <f t="shared" si="51"/>
        <v>MEDICARE TAXES</v>
      </c>
    </row>
    <row r="2258" spans="1:8" x14ac:dyDescent="0.25">
      <c r="E2258" t="str">
        <f>""</f>
        <v/>
      </c>
      <c r="F2258" t="str">
        <f>""</f>
        <v/>
      </c>
      <c r="H2258" t="str">
        <f t="shared" si="51"/>
        <v>MEDICARE TAXES</v>
      </c>
    </row>
    <row r="2259" spans="1:8" x14ac:dyDescent="0.25">
      <c r="E2259" t="str">
        <f>""</f>
        <v/>
      </c>
      <c r="F2259" t="str">
        <f>""</f>
        <v/>
      </c>
      <c r="H2259" t="str">
        <f t="shared" si="51"/>
        <v>MEDICARE TAXES</v>
      </c>
    </row>
    <row r="2260" spans="1:8" x14ac:dyDescent="0.25">
      <c r="E2260" t="str">
        <f>""</f>
        <v/>
      </c>
      <c r="F2260" t="str">
        <f>""</f>
        <v/>
      </c>
      <c r="H2260" t="str">
        <f t="shared" si="51"/>
        <v>MEDICARE TAXES</v>
      </c>
    </row>
    <row r="2261" spans="1:8" x14ac:dyDescent="0.25">
      <c r="E2261" t="str">
        <f>""</f>
        <v/>
      </c>
      <c r="F2261" t="str">
        <f>""</f>
        <v/>
      </c>
      <c r="H2261" t="str">
        <f t="shared" si="51"/>
        <v>MEDICARE TAXES</v>
      </c>
    </row>
    <row r="2262" spans="1:8" x14ac:dyDescent="0.25">
      <c r="E2262" t="str">
        <f>""</f>
        <v/>
      </c>
      <c r="F2262" t="str">
        <f>""</f>
        <v/>
      </c>
      <c r="H2262" t="str">
        <f t="shared" si="51"/>
        <v>MEDICARE TAXES</v>
      </c>
    </row>
    <row r="2263" spans="1:8" x14ac:dyDescent="0.25">
      <c r="E2263" t="str">
        <f>"T4 201906119734"</f>
        <v>T4 201906119734</v>
      </c>
      <c r="F2263" t="str">
        <f>"MEDICARE TAXES"</f>
        <v>MEDICARE TAXES</v>
      </c>
      <c r="G2263" s="2">
        <v>934.58</v>
      </c>
      <c r="H2263" t="str">
        <f t="shared" si="51"/>
        <v>MEDICARE TAXES</v>
      </c>
    </row>
    <row r="2264" spans="1:8" x14ac:dyDescent="0.25">
      <c r="E2264" t="str">
        <f>""</f>
        <v/>
      </c>
      <c r="F2264" t="str">
        <f>""</f>
        <v/>
      </c>
      <c r="H2264" t="str">
        <f t="shared" si="51"/>
        <v>MEDICARE TAXES</v>
      </c>
    </row>
    <row r="2265" spans="1:8" x14ac:dyDescent="0.25">
      <c r="E2265" t="str">
        <f>"T4 201906119735"</f>
        <v>T4 201906119735</v>
      </c>
      <c r="F2265" t="str">
        <f>"MEDICARE TAXES"</f>
        <v>MEDICARE TAXES</v>
      </c>
      <c r="G2265" s="2">
        <v>1167.8</v>
      </c>
      <c r="H2265" t="str">
        <f t="shared" si="51"/>
        <v>MEDICARE TAXES</v>
      </c>
    </row>
    <row r="2266" spans="1:8" x14ac:dyDescent="0.25">
      <c r="E2266" t="str">
        <f>""</f>
        <v/>
      </c>
      <c r="F2266" t="str">
        <f>""</f>
        <v/>
      </c>
      <c r="H2266" t="str">
        <f t="shared" si="51"/>
        <v>MEDICARE TAXES</v>
      </c>
    </row>
    <row r="2267" spans="1:8" x14ac:dyDescent="0.25">
      <c r="A2267" t="s">
        <v>447</v>
      </c>
      <c r="B2267">
        <v>155</v>
      </c>
      <c r="C2267" s="2">
        <v>222750.92</v>
      </c>
      <c r="D2267" s="1">
        <v>43644</v>
      </c>
      <c r="E2267" t="str">
        <f>"T1 201906250102"</f>
        <v>T1 201906250102</v>
      </c>
      <c r="F2267" t="str">
        <f>"FEDERAL WITHHOLDING"</f>
        <v>FEDERAL WITHHOLDING</v>
      </c>
      <c r="G2267" s="2">
        <v>73256.63</v>
      </c>
      <c r="H2267" t="str">
        <f>"FEDERAL WITHHOLDING"</f>
        <v>FEDERAL WITHHOLDING</v>
      </c>
    </row>
    <row r="2268" spans="1:8" x14ac:dyDescent="0.25">
      <c r="E2268" t="str">
        <f>"T1 201906250103"</f>
        <v>T1 201906250103</v>
      </c>
      <c r="F2268" t="str">
        <f>"FEDERAL WITHHOLDING"</f>
        <v>FEDERAL WITHHOLDING</v>
      </c>
      <c r="G2268" s="2">
        <v>2865.69</v>
      </c>
      <c r="H2268" t="str">
        <f>"FEDERAL WITHHOLDING"</f>
        <v>FEDERAL WITHHOLDING</v>
      </c>
    </row>
    <row r="2269" spans="1:8" x14ac:dyDescent="0.25">
      <c r="E2269" t="str">
        <f>"T1 201906250104"</f>
        <v>T1 201906250104</v>
      </c>
      <c r="F2269" t="str">
        <f>"FEDERAL WITHHOLDING"</f>
        <v>FEDERAL WITHHOLDING</v>
      </c>
      <c r="G2269" s="2">
        <v>3728.02</v>
      </c>
      <c r="H2269" t="str">
        <f>"FEDERAL WITHHOLDING"</f>
        <v>FEDERAL WITHHOLDING</v>
      </c>
    </row>
    <row r="2270" spans="1:8" x14ac:dyDescent="0.25">
      <c r="E2270" t="str">
        <f>"T3 201906250102"</f>
        <v>T3 201906250102</v>
      </c>
      <c r="F2270" t="str">
        <f>"SOCIAL SECURITY TAXES"</f>
        <v>SOCIAL SECURITY TAXES</v>
      </c>
      <c r="G2270" s="2">
        <v>106546.42</v>
      </c>
      <c r="H2270" t="str">
        <f t="shared" ref="H2270:H2301" si="52">"SOCIAL SECURITY TAXES"</f>
        <v>SOCIAL SECURITY TAXES</v>
      </c>
    </row>
    <row r="2271" spans="1:8" x14ac:dyDescent="0.25">
      <c r="E2271" t="str">
        <f>""</f>
        <v/>
      </c>
      <c r="F2271" t="str">
        <f>""</f>
        <v/>
      </c>
      <c r="H2271" t="str">
        <f t="shared" si="52"/>
        <v>SOCIAL SECURITY TAXES</v>
      </c>
    </row>
    <row r="2272" spans="1:8" x14ac:dyDescent="0.25">
      <c r="E2272" t="str">
        <f>""</f>
        <v/>
      </c>
      <c r="F2272" t="str">
        <f>""</f>
        <v/>
      </c>
      <c r="H2272" t="str">
        <f t="shared" si="52"/>
        <v>SOCIAL SECURITY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52"/>
        <v>SOCIAL SECURITY TAXES</v>
      </c>
    </row>
    <row r="2274" spans="5:8" x14ac:dyDescent="0.25">
      <c r="E2274" t="str">
        <f>""</f>
        <v/>
      </c>
      <c r="F2274" t="str">
        <f>""</f>
        <v/>
      </c>
      <c r="H2274" t="str">
        <f t="shared" si="52"/>
        <v>SOCIAL SECURITY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52"/>
        <v>SOCIAL SECURITY TAXES</v>
      </c>
    </row>
    <row r="2276" spans="5:8" x14ac:dyDescent="0.25">
      <c r="E2276" t="str">
        <f>""</f>
        <v/>
      </c>
      <c r="F2276" t="str">
        <f>""</f>
        <v/>
      </c>
      <c r="H2276" t="str">
        <f t="shared" si="52"/>
        <v>SOCIAL SECURITY TAXES</v>
      </c>
    </row>
    <row r="2277" spans="5:8" x14ac:dyDescent="0.25">
      <c r="E2277" t="str">
        <f>""</f>
        <v/>
      </c>
      <c r="F2277" t="str">
        <f>""</f>
        <v/>
      </c>
      <c r="H2277" t="str">
        <f t="shared" si="52"/>
        <v>SOCIAL SECURITY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52"/>
        <v>SOCIAL SECURITY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52"/>
        <v>SOCIAL SECURITY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52"/>
        <v>SOCIAL SECURITY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52"/>
        <v>SOCIAL SECURITY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52"/>
        <v>SOCIAL SECURITY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52"/>
        <v>SOCIAL SECURITY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52"/>
        <v>SOCIAL SECURITY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52"/>
        <v>SOCIAL SECURITY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52"/>
        <v>SOCIAL SECURITY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52"/>
        <v>SOCIAL SECURITY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52"/>
        <v>SOCIAL SECURITY TAXES</v>
      </c>
    </row>
    <row r="2289" spans="5:8" x14ac:dyDescent="0.25">
      <c r="E2289" t="str">
        <f>""</f>
        <v/>
      </c>
      <c r="F2289" t="str">
        <f>""</f>
        <v/>
      </c>
      <c r="H2289" t="str">
        <f t="shared" si="52"/>
        <v>SOCIAL SECURITY TAXES</v>
      </c>
    </row>
    <row r="2290" spans="5:8" x14ac:dyDescent="0.25">
      <c r="E2290" t="str">
        <f>""</f>
        <v/>
      </c>
      <c r="F2290" t="str">
        <f>""</f>
        <v/>
      </c>
      <c r="H2290" t="str">
        <f t="shared" si="52"/>
        <v>SOCIAL SECURITY TAXES</v>
      </c>
    </row>
    <row r="2291" spans="5:8" x14ac:dyDescent="0.25">
      <c r="E2291" t="str">
        <f>""</f>
        <v/>
      </c>
      <c r="F2291" t="str">
        <f>""</f>
        <v/>
      </c>
      <c r="H2291" t="str">
        <f t="shared" si="52"/>
        <v>SOCIAL SECURITY TAXES</v>
      </c>
    </row>
    <row r="2292" spans="5:8" x14ac:dyDescent="0.25">
      <c r="E2292" t="str">
        <f>""</f>
        <v/>
      </c>
      <c r="F2292" t="str">
        <f>""</f>
        <v/>
      </c>
      <c r="H2292" t="str">
        <f t="shared" si="52"/>
        <v>SOCIAL SECURITY TAXES</v>
      </c>
    </row>
    <row r="2293" spans="5:8" x14ac:dyDescent="0.25">
      <c r="E2293" t="str">
        <f>""</f>
        <v/>
      </c>
      <c r="F2293" t="str">
        <f>""</f>
        <v/>
      </c>
      <c r="H2293" t="str">
        <f t="shared" si="52"/>
        <v>SOCIAL SECURITY TAXES</v>
      </c>
    </row>
    <row r="2294" spans="5:8" x14ac:dyDescent="0.25">
      <c r="E2294" t="str">
        <f>""</f>
        <v/>
      </c>
      <c r="F2294" t="str">
        <f>""</f>
        <v/>
      </c>
      <c r="H2294" t="str">
        <f t="shared" si="52"/>
        <v>SOCIAL SECURITY TAXES</v>
      </c>
    </row>
    <row r="2295" spans="5:8" x14ac:dyDescent="0.25">
      <c r="E2295" t="str">
        <f>""</f>
        <v/>
      </c>
      <c r="F2295" t="str">
        <f>""</f>
        <v/>
      </c>
      <c r="H2295" t="str">
        <f t="shared" si="52"/>
        <v>SOCIAL SECURITY TAXES</v>
      </c>
    </row>
    <row r="2296" spans="5:8" x14ac:dyDescent="0.25">
      <c r="E2296" t="str">
        <f>""</f>
        <v/>
      </c>
      <c r="F2296" t="str">
        <f>""</f>
        <v/>
      </c>
      <c r="H2296" t="str">
        <f t="shared" si="52"/>
        <v>SOCIAL SECURITY TAXES</v>
      </c>
    </row>
    <row r="2297" spans="5:8" x14ac:dyDescent="0.25">
      <c r="E2297" t="str">
        <f>""</f>
        <v/>
      </c>
      <c r="F2297" t="str">
        <f>""</f>
        <v/>
      </c>
      <c r="H2297" t="str">
        <f t="shared" si="52"/>
        <v>SOCIAL SECURITY TAXES</v>
      </c>
    </row>
    <row r="2298" spans="5:8" x14ac:dyDescent="0.25">
      <c r="E2298" t="str">
        <f>""</f>
        <v/>
      </c>
      <c r="F2298" t="str">
        <f>""</f>
        <v/>
      </c>
      <c r="H2298" t="str">
        <f t="shared" si="52"/>
        <v>SOCIAL SECURITY TAXES</v>
      </c>
    </row>
    <row r="2299" spans="5:8" x14ac:dyDescent="0.25">
      <c r="E2299" t="str">
        <f>""</f>
        <v/>
      </c>
      <c r="F2299" t="str">
        <f>""</f>
        <v/>
      </c>
      <c r="H2299" t="str">
        <f t="shared" si="52"/>
        <v>SOCIAL SECURITY TAXES</v>
      </c>
    </row>
    <row r="2300" spans="5:8" x14ac:dyDescent="0.25">
      <c r="E2300" t="str">
        <f>""</f>
        <v/>
      </c>
      <c r="F2300" t="str">
        <f>""</f>
        <v/>
      </c>
      <c r="H2300" t="str">
        <f t="shared" si="52"/>
        <v>SOCIAL SECURITY TAXES</v>
      </c>
    </row>
    <row r="2301" spans="5:8" x14ac:dyDescent="0.25">
      <c r="E2301" t="str">
        <f>""</f>
        <v/>
      </c>
      <c r="F2301" t="str">
        <f>""</f>
        <v/>
      </c>
      <c r="H2301" t="str">
        <f t="shared" si="52"/>
        <v>SOCIAL SECURITY TAXES</v>
      </c>
    </row>
    <row r="2302" spans="5:8" x14ac:dyDescent="0.25">
      <c r="E2302" t="str">
        <f>""</f>
        <v/>
      </c>
      <c r="F2302" t="str">
        <f>""</f>
        <v/>
      </c>
      <c r="H2302" t="str">
        <f t="shared" ref="H2302:H2325" si="53">"SOCIAL SECURITY TAXES"</f>
        <v>SOCIAL SECURITY TAXES</v>
      </c>
    </row>
    <row r="2303" spans="5:8" x14ac:dyDescent="0.25">
      <c r="E2303" t="str">
        <f>""</f>
        <v/>
      </c>
      <c r="F2303" t="str">
        <f>""</f>
        <v/>
      </c>
      <c r="H2303" t="str">
        <f t="shared" si="53"/>
        <v>SOCIAL SECURITY TAXES</v>
      </c>
    </row>
    <row r="2304" spans="5:8" x14ac:dyDescent="0.25">
      <c r="E2304" t="str">
        <f>""</f>
        <v/>
      </c>
      <c r="F2304" t="str">
        <f>""</f>
        <v/>
      </c>
      <c r="H2304" t="str">
        <f t="shared" si="53"/>
        <v>SOCIAL SECURITY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53"/>
        <v>SOCIAL SECURITY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53"/>
        <v>SOCIAL SECURITY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53"/>
        <v>SOCIAL SECURITY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53"/>
        <v>SOCIAL SECURITY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53"/>
        <v>SOCIAL SECURITY TAXES</v>
      </c>
    </row>
    <row r="2310" spans="5:8" x14ac:dyDescent="0.25">
      <c r="E2310" t="str">
        <f>""</f>
        <v/>
      </c>
      <c r="F2310" t="str">
        <f>""</f>
        <v/>
      </c>
      <c r="H2310" t="str">
        <f t="shared" si="53"/>
        <v>SOCIAL SECURITY TAXES</v>
      </c>
    </row>
    <row r="2311" spans="5:8" x14ac:dyDescent="0.25">
      <c r="E2311" t="str">
        <f>""</f>
        <v/>
      </c>
      <c r="F2311" t="str">
        <f>""</f>
        <v/>
      </c>
      <c r="H2311" t="str">
        <f t="shared" si="53"/>
        <v>SOCIAL SECURITY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53"/>
        <v>SOCIAL SECURITY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53"/>
        <v>SOCIAL SECURITY TAXES</v>
      </c>
    </row>
    <row r="2314" spans="5:8" x14ac:dyDescent="0.25">
      <c r="E2314" t="str">
        <f>""</f>
        <v/>
      </c>
      <c r="F2314" t="str">
        <f>""</f>
        <v/>
      </c>
      <c r="H2314" t="str">
        <f t="shared" si="53"/>
        <v>SOCIAL SECURITY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53"/>
        <v>SOCIAL SECURITY TAXES</v>
      </c>
    </row>
    <row r="2316" spans="5:8" x14ac:dyDescent="0.25">
      <c r="E2316" t="str">
        <f>""</f>
        <v/>
      </c>
      <c r="F2316" t="str">
        <f>""</f>
        <v/>
      </c>
      <c r="H2316" t="str">
        <f t="shared" si="53"/>
        <v>SOCIAL SECURITY TAXES</v>
      </c>
    </row>
    <row r="2317" spans="5:8" x14ac:dyDescent="0.25">
      <c r="E2317" t="str">
        <f>""</f>
        <v/>
      </c>
      <c r="F2317" t="str">
        <f>""</f>
        <v/>
      </c>
      <c r="H2317" t="str">
        <f t="shared" si="53"/>
        <v>SOCIAL SECURITY TAXES</v>
      </c>
    </row>
    <row r="2318" spans="5:8" x14ac:dyDescent="0.25">
      <c r="E2318" t="str">
        <f>""</f>
        <v/>
      </c>
      <c r="F2318" t="str">
        <f>""</f>
        <v/>
      </c>
      <c r="H2318" t="str">
        <f t="shared" si="53"/>
        <v>SOCIAL SECURITY TAXES</v>
      </c>
    </row>
    <row r="2319" spans="5:8" x14ac:dyDescent="0.25">
      <c r="E2319" t="str">
        <f>""</f>
        <v/>
      </c>
      <c r="F2319" t="str">
        <f>""</f>
        <v/>
      </c>
      <c r="H2319" t="str">
        <f t="shared" si="53"/>
        <v>SOCIAL SECURITY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53"/>
        <v>SOCIAL SECURITY TAXES</v>
      </c>
    </row>
    <row r="2321" spans="5:8" x14ac:dyDescent="0.25">
      <c r="E2321" t="str">
        <f>""</f>
        <v/>
      </c>
      <c r="F2321" t="str">
        <f>""</f>
        <v/>
      </c>
      <c r="H2321" t="str">
        <f t="shared" si="53"/>
        <v>SOCIAL SECURITY TAXES</v>
      </c>
    </row>
    <row r="2322" spans="5:8" x14ac:dyDescent="0.25">
      <c r="E2322" t="str">
        <f>"T3 201906250103"</f>
        <v>T3 201906250103</v>
      </c>
      <c r="F2322" t="str">
        <f>"SOCIAL SECURITY TAXES"</f>
        <v>SOCIAL SECURITY TAXES</v>
      </c>
      <c r="G2322" s="2">
        <v>4041.04</v>
      </c>
      <c r="H2322" t="str">
        <f t="shared" si="53"/>
        <v>SOCIAL SECURITY TAXES</v>
      </c>
    </row>
    <row r="2323" spans="5:8" x14ac:dyDescent="0.25">
      <c r="E2323" t="str">
        <f>""</f>
        <v/>
      </c>
      <c r="F2323" t="str">
        <f>""</f>
        <v/>
      </c>
      <c r="H2323" t="str">
        <f t="shared" si="53"/>
        <v>SOCIAL SECURITY TAXES</v>
      </c>
    </row>
    <row r="2324" spans="5:8" x14ac:dyDescent="0.25">
      <c r="E2324" t="str">
        <f>"T3 201906250104"</f>
        <v>T3 201906250104</v>
      </c>
      <c r="F2324" t="str">
        <f>"SOCIAL SECURITY TAXES"</f>
        <v>SOCIAL SECURITY TAXES</v>
      </c>
      <c r="G2324" s="2">
        <v>5227.38</v>
      </c>
      <c r="H2324" t="str">
        <f t="shared" si="53"/>
        <v>SOCIAL SECURITY TAXES</v>
      </c>
    </row>
    <row r="2325" spans="5:8" x14ac:dyDescent="0.25">
      <c r="E2325" t="str">
        <f>""</f>
        <v/>
      </c>
      <c r="F2325" t="str">
        <f>""</f>
        <v/>
      </c>
      <c r="H2325" t="str">
        <f t="shared" si="53"/>
        <v>SOCIAL SECURITY TAXES</v>
      </c>
    </row>
    <row r="2326" spans="5:8" x14ac:dyDescent="0.25">
      <c r="E2326" t="str">
        <f>"T4 201906250102"</f>
        <v>T4 201906250102</v>
      </c>
      <c r="F2326" t="str">
        <f>"MEDICARE TAXES"</f>
        <v>MEDICARE TAXES</v>
      </c>
      <c r="G2326" s="2">
        <v>24918.1</v>
      </c>
      <c r="H2326" t="str">
        <f t="shared" ref="H2326:H2357" si="54">"MEDICARE TAXES"</f>
        <v>MEDICARE TAXES</v>
      </c>
    </row>
    <row r="2327" spans="5:8" x14ac:dyDescent="0.25">
      <c r="E2327" t="str">
        <f>""</f>
        <v/>
      </c>
      <c r="F2327" t="str">
        <f>""</f>
        <v/>
      </c>
      <c r="H2327" t="str">
        <f t="shared" si="54"/>
        <v>MEDICARE TAXES</v>
      </c>
    </row>
    <row r="2328" spans="5:8" x14ac:dyDescent="0.25">
      <c r="E2328" t="str">
        <f>""</f>
        <v/>
      </c>
      <c r="F2328" t="str">
        <f>""</f>
        <v/>
      </c>
      <c r="H2328" t="str">
        <f t="shared" si="54"/>
        <v>MEDICARE TAXES</v>
      </c>
    </row>
    <row r="2329" spans="5:8" x14ac:dyDescent="0.25">
      <c r="E2329" t="str">
        <f>""</f>
        <v/>
      </c>
      <c r="F2329" t="str">
        <f>""</f>
        <v/>
      </c>
      <c r="H2329" t="str">
        <f t="shared" si="54"/>
        <v>MEDICARE TAXES</v>
      </c>
    </row>
    <row r="2330" spans="5:8" x14ac:dyDescent="0.25">
      <c r="E2330" t="str">
        <f>""</f>
        <v/>
      </c>
      <c r="F2330" t="str">
        <f>""</f>
        <v/>
      </c>
      <c r="H2330" t="str">
        <f t="shared" si="54"/>
        <v>MEDICARE TAXES</v>
      </c>
    </row>
    <row r="2331" spans="5:8" x14ac:dyDescent="0.25">
      <c r="E2331" t="str">
        <f>""</f>
        <v/>
      </c>
      <c r="F2331" t="str">
        <f>""</f>
        <v/>
      </c>
      <c r="H2331" t="str">
        <f t="shared" si="54"/>
        <v>MEDICARE TAXES</v>
      </c>
    </row>
    <row r="2332" spans="5:8" x14ac:dyDescent="0.25">
      <c r="E2332" t="str">
        <f>""</f>
        <v/>
      </c>
      <c r="F2332" t="str">
        <f>""</f>
        <v/>
      </c>
      <c r="H2332" t="str">
        <f t="shared" si="54"/>
        <v>MEDICARE TAXES</v>
      </c>
    </row>
    <row r="2333" spans="5:8" x14ac:dyDescent="0.25">
      <c r="E2333" t="str">
        <f>""</f>
        <v/>
      </c>
      <c r="F2333" t="str">
        <f>""</f>
        <v/>
      </c>
      <c r="H2333" t="str">
        <f t="shared" si="54"/>
        <v>MEDICARE TAXES</v>
      </c>
    </row>
    <row r="2334" spans="5:8" x14ac:dyDescent="0.25">
      <c r="E2334" t="str">
        <f>""</f>
        <v/>
      </c>
      <c r="F2334" t="str">
        <f>""</f>
        <v/>
      </c>
      <c r="H2334" t="str">
        <f t="shared" si="54"/>
        <v>MEDICARE TAXES</v>
      </c>
    </row>
    <row r="2335" spans="5:8" x14ac:dyDescent="0.25">
      <c r="E2335" t="str">
        <f>""</f>
        <v/>
      </c>
      <c r="F2335" t="str">
        <f>""</f>
        <v/>
      </c>
      <c r="H2335" t="str">
        <f t="shared" si="54"/>
        <v>MEDICARE TAXES</v>
      </c>
    </row>
    <row r="2336" spans="5:8" x14ac:dyDescent="0.25">
      <c r="E2336" t="str">
        <f>""</f>
        <v/>
      </c>
      <c r="F2336" t="str">
        <f>""</f>
        <v/>
      </c>
      <c r="H2336" t="str">
        <f t="shared" si="54"/>
        <v>MEDICARE TAXES</v>
      </c>
    </row>
    <row r="2337" spans="5:8" x14ac:dyDescent="0.25">
      <c r="E2337" t="str">
        <f>""</f>
        <v/>
      </c>
      <c r="F2337" t="str">
        <f>""</f>
        <v/>
      </c>
      <c r="H2337" t="str">
        <f t="shared" si="54"/>
        <v>MEDICARE TAXES</v>
      </c>
    </row>
    <row r="2338" spans="5:8" x14ac:dyDescent="0.25">
      <c r="E2338" t="str">
        <f>""</f>
        <v/>
      </c>
      <c r="F2338" t="str">
        <f>""</f>
        <v/>
      </c>
      <c r="H2338" t="str">
        <f t="shared" si="54"/>
        <v>MEDICARE TAXES</v>
      </c>
    </row>
    <row r="2339" spans="5:8" x14ac:dyDescent="0.25">
      <c r="E2339" t="str">
        <f>""</f>
        <v/>
      </c>
      <c r="F2339" t="str">
        <f>""</f>
        <v/>
      </c>
      <c r="H2339" t="str">
        <f t="shared" si="54"/>
        <v>MEDICARE TAXES</v>
      </c>
    </row>
    <row r="2340" spans="5:8" x14ac:dyDescent="0.25">
      <c r="E2340" t="str">
        <f>""</f>
        <v/>
      </c>
      <c r="F2340" t="str">
        <f>""</f>
        <v/>
      </c>
      <c r="H2340" t="str">
        <f t="shared" si="54"/>
        <v>MEDICARE TAXES</v>
      </c>
    </row>
    <row r="2341" spans="5:8" x14ac:dyDescent="0.25">
      <c r="E2341" t="str">
        <f>""</f>
        <v/>
      </c>
      <c r="F2341" t="str">
        <f>""</f>
        <v/>
      </c>
      <c r="H2341" t="str">
        <f t="shared" si="54"/>
        <v>MEDICARE TAXES</v>
      </c>
    </row>
    <row r="2342" spans="5:8" x14ac:dyDescent="0.25">
      <c r="E2342" t="str">
        <f>""</f>
        <v/>
      </c>
      <c r="F2342" t="str">
        <f>""</f>
        <v/>
      </c>
      <c r="H2342" t="str">
        <f t="shared" si="54"/>
        <v>MEDICARE TAXES</v>
      </c>
    </row>
    <row r="2343" spans="5:8" x14ac:dyDescent="0.25">
      <c r="E2343" t="str">
        <f>""</f>
        <v/>
      </c>
      <c r="F2343" t="str">
        <f>""</f>
        <v/>
      </c>
      <c r="H2343" t="str">
        <f t="shared" si="54"/>
        <v>MEDICARE TAXES</v>
      </c>
    </row>
    <row r="2344" spans="5:8" x14ac:dyDescent="0.25">
      <c r="E2344" t="str">
        <f>""</f>
        <v/>
      </c>
      <c r="F2344" t="str">
        <f>""</f>
        <v/>
      </c>
      <c r="H2344" t="str">
        <f t="shared" si="54"/>
        <v>MEDICARE TAXES</v>
      </c>
    </row>
    <row r="2345" spans="5:8" x14ac:dyDescent="0.25">
      <c r="E2345" t="str">
        <f>""</f>
        <v/>
      </c>
      <c r="F2345" t="str">
        <f>""</f>
        <v/>
      </c>
      <c r="H2345" t="str">
        <f t="shared" si="54"/>
        <v>MEDICARE TAXES</v>
      </c>
    </row>
    <row r="2346" spans="5:8" x14ac:dyDescent="0.25">
      <c r="E2346" t="str">
        <f>""</f>
        <v/>
      </c>
      <c r="F2346" t="str">
        <f>""</f>
        <v/>
      </c>
      <c r="H2346" t="str">
        <f t="shared" si="54"/>
        <v>MEDICARE TAXES</v>
      </c>
    </row>
    <row r="2347" spans="5:8" x14ac:dyDescent="0.25">
      <c r="E2347" t="str">
        <f>""</f>
        <v/>
      </c>
      <c r="F2347" t="str">
        <f>""</f>
        <v/>
      </c>
      <c r="H2347" t="str">
        <f t="shared" si="54"/>
        <v>MEDICARE TAXES</v>
      </c>
    </row>
    <row r="2348" spans="5:8" x14ac:dyDescent="0.25">
      <c r="E2348" t="str">
        <f>""</f>
        <v/>
      </c>
      <c r="F2348" t="str">
        <f>""</f>
        <v/>
      </c>
      <c r="H2348" t="str">
        <f t="shared" si="54"/>
        <v>MEDICARE TAXES</v>
      </c>
    </row>
    <row r="2349" spans="5:8" x14ac:dyDescent="0.25">
      <c r="E2349" t="str">
        <f>""</f>
        <v/>
      </c>
      <c r="F2349" t="str">
        <f>""</f>
        <v/>
      </c>
      <c r="H2349" t="str">
        <f t="shared" si="54"/>
        <v>MEDICARE TAXES</v>
      </c>
    </row>
    <row r="2350" spans="5:8" x14ac:dyDescent="0.25">
      <c r="E2350" t="str">
        <f>""</f>
        <v/>
      </c>
      <c r="F2350" t="str">
        <f>""</f>
        <v/>
      </c>
      <c r="H2350" t="str">
        <f t="shared" si="54"/>
        <v>MEDICARE TAXES</v>
      </c>
    </row>
    <row r="2351" spans="5:8" x14ac:dyDescent="0.25">
      <c r="E2351" t="str">
        <f>""</f>
        <v/>
      </c>
      <c r="F2351" t="str">
        <f>""</f>
        <v/>
      </c>
      <c r="H2351" t="str">
        <f t="shared" si="54"/>
        <v>MEDICARE TAXES</v>
      </c>
    </row>
    <row r="2352" spans="5:8" x14ac:dyDescent="0.25">
      <c r="E2352" t="str">
        <f>""</f>
        <v/>
      </c>
      <c r="F2352" t="str">
        <f>""</f>
        <v/>
      </c>
      <c r="H2352" t="str">
        <f t="shared" si="54"/>
        <v>MEDICARE TAXES</v>
      </c>
    </row>
    <row r="2353" spans="5:8" x14ac:dyDescent="0.25">
      <c r="E2353" t="str">
        <f>""</f>
        <v/>
      </c>
      <c r="F2353" t="str">
        <f>""</f>
        <v/>
      </c>
      <c r="H2353" t="str">
        <f t="shared" si="54"/>
        <v>MEDICARE TAXES</v>
      </c>
    </row>
    <row r="2354" spans="5:8" x14ac:dyDescent="0.25">
      <c r="E2354" t="str">
        <f>""</f>
        <v/>
      </c>
      <c r="F2354" t="str">
        <f>""</f>
        <v/>
      </c>
      <c r="H2354" t="str">
        <f t="shared" si="54"/>
        <v>MEDICARE TAXES</v>
      </c>
    </row>
    <row r="2355" spans="5:8" x14ac:dyDescent="0.25">
      <c r="E2355" t="str">
        <f>""</f>
        <v/>
      </c>
      <c r="F2355" t="str">
        <f>""</f>
        <v/>
      </c>
      <c r="H2355" t="str">
        <f t="shared" si="54"/>
        <v>MEDICARE TAXES</v>
      </c>
    </row>
    <row r="2356" spans="5:8" x14ac:dyDescent="0.25">
      <c r="E2356" t="str">
        <f>""</f>
        <v/>
      </c>
      <c r="F2356" t="str">
        <f>""</f>
        <v/>
      </c>
      <c r="H2356" t="str">
        <f t="shared" si="54"/>
        <v>MEDICARE TAXES</v>
      </c>
    </row>
    <row r="2357" spans="5:8" x14ac:dyDescent="0.25">
      <c r="E2357" t="str">
        <f>""</f>
        <v/>
      </c>
      <c r="F2357" t="str">
        <f>""</f>
        <v/>
      </c>
      <c r="H2357" t="str">
        <f t="shared" si="54"/>
        <v>MEDICARE TAXES</v>
      </c>
    </row>
    <row r="2358" spans="5:8" x14ac:dyDescent="0.25">
      <c r="E2358" t="str">
        <f>""</f>
        <v/>
      </c>
      <c r="F2358" t="str">
        <f>""</f>
        <v/>
      </c>
      <c r="H2358" t="str">
        <f t="shared" ref="H2358:H2381" si="55">"MEDICARE TAXES"</f>
        <v>MEDICARE TAXES</v>
      </c>
    </row>
    <row r="2359" spans="5:8" x14ac:dyDescent="0.25">
      <c r="E2359" t="str">
        <f>""</f>
        <v/>
      </c>
      <c r="F2359" t="str">
        <f>""</f>
        <v/>
      </c>
      <c r="H2359" t="str">
        <f t="shared" si="55"/>
        <v>MEDICARE TAXES</v>
      </c>
    </row>
    <row r="2360" spans="5:8" x14ac:dyDescent="0.25">
      <c r="E2360" t="str">
        <f>""</f>
        <v/>
      </c>
      <c r="F2360" t="str">
        <f>""</f>
        <v/>
      </c>
      <c r="H2360" t="str">
        <f t="shared" si="55"/>
        <v>MEDICARE TAXES</v>
      </c>
    </row>
    <row r="2361" spans="5:8" x14ac:dyDescent="0.25">
      <c r="E2361" t="str">
        <f>""</f>
        <v/>
      </c>
      <c r="F2361" t="str">
        <f>""</f>
        <v/>
      </c>
      <c r="H2361" t="str">
        <f t="shared" si="55"/>
        <v>MEDICARE TAXES</v>
      </c>
    </row>
    <row r="2362" spans="5:8" x14ac:dyDescent="0.25">
      <c r="E2362" t="str">
        <f>""</f>
        <v/>
      </c>
      <c r="F2362" t="str">
        <f>""</f>
        <v/>
      </c>
      <c r="H2362" t="str">
        <f t="shared" si="55"/>
        <v>MEDICARE TAXES</v>
      </c>
    </row>
    <row r="2363" spans="5:8" x14ac:dyDescent="0.25">
      <c r="E2363" t="str">
        <f>""</f>
        <v/>
      </c>
      <c r="F2363" t="str">
        <f>""</f>
        <v/>
      </c>
      <c r="H2363" t="str">
        <f t="shared" si="55"/>
        <v>MEDICARE TAXES</v>
      </c>
    </row>
    <row r="2364" spans="5:8" x14ac:dyDescent="0.25">
      <c r="E2364" t="str">
        <f>""</f>
        <v/>
      </c>
      <c r="F2364" t="str">
        <f>""</f>
        <v/>
      </c>
      <c r="H2364" t="str">
        <f t="shared" si="55"/>
        <v>MEDICARE TAXES</v>
      </c>
    </row>
    <row r="2365" spans="5:8" x14ac:dyDescent="0.25">
      <c r="E2365" t="str">
        <f>""</f>
        <v/>
      </c>
      <c r="F2365" t="str">
        <f>""</f>
        <v/>
      </c>
      <c r="H2365" t="str">
        <f t="shared" si="55"/>
        <v>MEDICARE TAXES</v>
      </c>
    </row>
    <row r="2366" spans="5:8" x14ac:dyDescent="0.25">
      <c r="E2366" t="str">
        <f>""</f>
        <v/>
      </c>
      <c r="F2366" t="str">
        <f>""</f>
        <v/>
      </c>
      <c r="H2366" t="str">
        <f t="shared" si="55"/>
        <v>MEDICARE TAXES</v>
      </c>
    </row>
    <row r="2367" spans="5:8" x14ac:dyDescent="0.25">
      <c r="E2367" t="str">
        <f>""</f>
        <v/>
      </c>
      <c r="F2367" t="str">
        <f>""</f>
        <v/>
      </c>
      <c r="H2367" t="str">
        <f t="shared" si="55"/>
        <v>MEDICARE TAXES</v>
      </c>
    </row>
    <row r="2368" spans="5:8" x14ac:dyDescent="0.25">
      <c r="E2368" t="str">
        <f>""</f>
        <v/>
      </c>
      <c r="F2368" t="str">
        <f>""</f>
        <v/>
      </c>
      <c r="H2368" t="str">
        <f t="shared" si="55"/>
        <v>MEDICARE TAXES</v>
      </c>
    </row>
    <row r="2369" spans="1:8" x14ac:dyDescent="0.25">
      <c r="E2369" t="str">
        <f>""</f>
        <v/>
      </c>
      <c r="F2369" t="str">
        <f>""</f>
        <v/>
      </c>
      <c r="H2369" t="str">
        <f t="shared" si="55"/>
        <v>MEDICARE TAXES</v>
      </c>
    </row>
    <row r="2370" spans="1:8" x14ac:dyDescent="0.25">
      <c r="E2370" t="str">
        <f>""</f>
        <v/>
      </c>
      <c r="F2370" t="str">
        <f>""</f>
        <v/>
      </c>
      <c r="H2370" t="str">
        <f t="shared" si="55"/>
        <v>MEDICARE TAXES</v>
      </c>
    </row>
    <row r="2371" spans="1:8" x14ac:dyDescent="0.25">
      <c r="E2371" t="str">
        <f>""</f>
        <v/>
      </c>
      <c r="F2371" t="str">
        <f>""</f>
        <v/>
      </c>
      <c r="H2371" t="str">
        <f t="shared" si="55"/>
        <v>MEDICARE TAXES</v>
      </c>
    </row>
    <row r="2372" spans="1:8" x14ac:dyDescent="0.25">
      <c r="E2372" t="str">
        <f>""</f>
        <v/>
      </c>
      <c r="F2372" t="str">
        <f>""</f>
        <v/>
      </c>
      <c r="H2372" t="str">
        <f t="shared" si="55"/>
        <v>MEDICARE TAXES</v>
      </c>
    </row>
    <row r="2373" spans="1:8" x14ac:dyDescent="0.25">
      <c r="E2373" t="str">
        <f>""</f>
        <v/>
      </c>
      <c r="F2373" t="str">
        <f>""</f>
        <v/>
      </c>
      <c r="H2373" t="str">
        <f t="shared" si="55"/>
        <v>MEDICARE TAXES</v>
      </c>
    </row>
    <row r="2374" spans="1:8" x14ac:dyDescent="0.25">
      <c r="E2374" t="str">
        <f>""</f>
        <v/>
      </c>
      <c r="F2374" t="str">
        <f>""</f>
        <v/>
      </c>
      <c r="H2374" t="str">
        <f t="shared" si="55"/>
        <v>MEDICARE TAXES</v>
      </c>
    </row>
    <row r="2375" spans="1:8" x14ac:dyDescent="0.25">
      <c r="E2375" t="str">
        <f>""</f>
        <v/>
      </c>
      <c r="F2375" t="str">
        <f>""</f>
        <v/>
      </c>
      <c r="H2375" t="str">
        <f t="shared" si="55"/>
        <v>MEDICARE TAXES</v>
      </c>
    </row>
    <row r="2376" spans="1:8" x14ac:dyDescent="0.25">
      <c r="E2376" t="str">
        <f>""</f>
        <v/>
      </c>
      <c r="F2376" t="str">
        <f>""</f>
        <v/>
      </c>
      <c r="H2376" t="str">
        <f t="shared" si="55"/>
        <v>MEDICARE TAXES</v>
      </c>
    </row>
    <row r="2377" spans="1:8" x14ac:dyDescent="0.25">
      <c r="E2377" t="str">
        <f>""</f>
        <v/>
      </c>
      <c r="F2377" t="str">
        <f>""</f>
        <v/>
      </c>
      <c r="H2377" t="str">
        <f t="shared" si="55"/>
        <v>MEDICARE TAXES</v>
      </c>
    </row>
    <row r="2378" spans="1:8" x14ac:dyDescent="0.25">
      <c r="E2378" t="str">
        <f>"T4 201906250103"</f>
        <v>T4 201906250103</v>
      </c>
      <c r="F2378" t="str">
        <f>"MEDICARE TAXES"</f>
        <v>MEDICARE TAXES</v>
      </c>
      <c r="G2378" s="2">
        <v>945.1</v>
      </c>
      <c r="H2378" t="str">
        <f t="shared" si="55"/>
        <v>MEDICARE TAXES</v>
      </c>
    </row>
    <row r="2379" spans="1:8" x14ac:dyDescent="0.25">
      <c r="E2379" t="str">
        <f>""</f>
        <v/>
      </c>
      <c r="F2379" t="str">
        <f>""</f>
        <v/>
      </c>
      <c r="H2379" t="str">
        <f t="shared" si="55"/>
        <v>MEDICARE TAXES</v>
      </c>
    </row>
    <row r="2380" spans="1:8" x14ac:dyDescent="0.25">
      <c r="E2380" t="str">
        <f>"T4 201906250104"</f>
        <v>T4 201906250104</v>
      </c>
      <c r="F2380" t="str">
        <f>"MEDICARE TAXES"</f>
        <v>MEDICARE TAXES</v>
      </c>
      <c r="G2380" s="2">
        <v>1222.54</v>
      </c>
      <c r="H2380" t="str">
        <f t="shared" si="55"/>
        <v>MEDICARE TAXES</v>
      </c>
    </row>
    <row r="2381" spans="1:8" x14ac:dyDescent="0.25">
      <c r="E2381" t="str">
        <f>""</f>
        <v/>
      </c>
      <c r="F2381" t="str">
        <f>""</f>
        <v/>
      </c>
      <c r="H2381" t="str">
        <f t="shared" si="55"/>
        <v>MEDICARE TAXES</v>
      </c>
    </row>
    <row r="2382" spans="1:8" x14ac:dyDescent="0.25">
      <c r="A2382" t="s">
        <v>448</v>
      </c>
      <c r="B2382">
        <v>47508</v>
      </c>
      <c r="C2382" s="2">
        <v>222.76</v>
      </c>
      <c r="D2382" s="1">
        <v>43630</v>
      </c>
      <c r="E2382" t="str">
        <f>"C64201906119733"</f>
        <v>C64201906119733</v>
      </c>
      <c r="F2382" t="str">
        <f>"CASE #912745322"</f>
        <v>CASE #912745322</v>
      </c>
      <c r="G2382" s="2">
        <v>222.76</v>
      </c>
      <c r="H2382" t="str">
        <f>"CASE #912745322"</f>
        <v>CASE #912745322</v>
      </c>
    </row>
    <row r="2383" spans="1:8" x14ac:dyDescent="0.25">
      <c r="A2383" t="s">
        <v>448</v>
      </c>
      <c r="B2383">
        <v>47525</v>
      </c>
      <c r="C2383" s="2">
        <v>222.76</v>
      </c>
      <c r="D2383" s="1">
        <v>43644</v>
      </c>
      <c r="E2383" t="str">
        <f>"C64201906250102"</f>
        <v>C64201906250102</v>
      </c>
      <c r="F2383" t="str">
        <f>"CASE #912745322"</f>
        <v>CASE #912745322</v>
      </c>
      <c r="G2383" s="2">
        <v>222.76</v>
      </c>
      <c r="H2383" t="str">
        <f>"CASE #912745322"</f>
        <v>CASE #912745322</v>
      </c>
    </row>
    <row r="2384" spans="1:8" x14ac:dyDescent="0.25">
      <c r="A2384" t="s">
        <v>449</v>
      </c>
      <c r="B2384">
        <v>164</v>
      </c>
      <c r="C2384" s="2">
        <v>674.82</v>
      </c>
      <c r="D2384" s="1">
        <v>43644</v>
      </c>
      <c r="E2384" t="str">
        <f>"LIX201906119733"</f>
        <v>LIX201906119733</v>
      </c>
      <c r="F2384" t="str">
        <f>"TEXAS LIFE/OLIVO GROUP"</f>
        <v>TEXAS LIFE/OLIVO GROUP</v>
      </c>
      <c r="G2384" s="2">
        <v>337.41</v>
      </c>
      <c r="H2384" t="str">
        <f>"TEXAS LIFE/OLIVO GROUP"</f>
        <v>TEXAS LIFE/OLIVO GROUP</v>
      </c>
    </row>
    <row r="2385" spans="1:8" x14ac:dyDescent="0.25">
      <c r="E2385" t="str">
        <f>"LIX201906250102"</f>
        <v>LIX201906250102</v>
      </c>
      <c r="F2385" t="str">
        <f>"TEXAS LIFE/OLIVO GROUP"</f>
        <v>TEXAS LIFE/OLIVO GROUP</v>
      </c>
      <c r="G2385" s="2">
        <v>337.41</v>
      </c>
      <c r="H2385" t="str">
        <f>"TEXAS LIFE/OLIVO GROUP"</f>
        <v>TEXAS LIFE/OLIVO GROUP</v>
      </c>
    </row>
    <row r="2386" spans="1:8" x14ac:dyDescent="0.25">
      <c r="A2386" t="s">
        <v>450</v>
      </c>
      <c r="B2386">
        <v>163</v>
      </c>
      <c r="C2386" s="2">
        <v>15386.6</v>
      </c>
      <c r="D2386" s="1">
        <v>43644</v>
      </c>
      <c r="E2386" t="str">
        <f>"201906270124"</f>
        <v>201906270124</v>
      </c>
      <c r="F2386" t="str">
        <f>"RETIREE JUNE 2019"</f>
        <v>RETIREE JUNE 2019</v>
      </c>
      <c r="G2386" s="2">
        <v>15386.6</v>
      </c>
    </row>
    <row r="2387" spans="1:8" x14ac:dyDescent="0.25">
      <c r="A2387" t="s">
        <v>450</v>
      </c>
      <c r="B2387">
        <v>163</v>
      </c>
      <c r="C2387" s="2">
        <v>-15386.6</v>
      </c>
      <c r="D2387" s="1">
        <v>43644</v>
      </c>
      <c r="E2387" t="str">
        <f>"CHECK"</f>
        <v>CHECK</v>
      </c>
      <c r="F2387" t="str">
        <f>""</f>
        <v/>
      </c>
      <c r="G2387" s="2">
        <v>-15386.6</v>
      </c>
    </row>
    <row r="2388" spans="1:8" x14ac:dyDescent="0.25">
      <c r="A2388" t="s">
        <v>450</v>
      </c>
      <c r="B2388">
        <v>47530</v>
      </c>
      <c r="C2388" s="2">
        <v>316973.82</v>
      </c>
      <c r="D2388" s="1">
        <v>43644</v>
      </c>
      <c r="E2388" t="str">
        <f>"2EC201906119733"</f>
        <v>2EC201906119733</v>
      </c>
      <c r="F2388" t="str">
        <f>"BCBS PAYABLE"</f>
        <v>BCBS PAYABLE</v>
      </c>
      <c r="G2388" s="2">
        <v>45419.54</v>
      </c>
      <c r="H2388" t="str">
        <f t="shared" ref="H2388:H2419" si="56">"BCBS PAYABLE"</f>
        <v>BCBS PAYABLE</v>
      </c>
    </row>
    <row r="2389" spans="1:8" x14ac:dyDescent="0.25">
      <c r="E2389" t="str">
        <f>""</f>
        <v/>
      </c>
      <c r="F2389" t="str">
        <f>""</f>
        <v/>
      </c>
      <c r="H2389" t="str">
        <f t="shared" si="56"/>
        <v>BCBS PAYABLE</v>
      </c>
    </row>
    <row r="2390" spans="1:8" x14ac:dyDescent="0.25">
      <c r="E2390" t="str">
        <f>""</f>
        <v/>
      </c>
      <c r="F2390" t="str">
        <f>""</f>
        <v/>
      </c>
      <c r="H2390" t="str">
        <f t="shared" si="56"/>
        <v>BCBS PAYABLE</v>
      </c>
    </row>
    <row r="2391" spans="1:8" x14ac:dyDescent="0.25">
      <c r="E2391" t="str">
        <f>""</f>
        <v/>
      </c>
      <c r="F2391" t="str">
        <f>""</f>
        <v/>
      </c>
      <c r="H2391" t="str">
        <f t="shared" si="56"/>
        <v>BCBS PAYABLE</v>
      </c>
    </row>
    <row r="2392" spans="1:8" x14ac:dyDescent="0.25">
      <c r="E2392" t="str">
        <f>""</f>
        <v/>
      </c>
      <c r="F2392" t="str">
        <f>""</f>
        <v/>
      </c>
      <c r="H2392" t="str">
        <f t="shared" si="56"/>
        <v>BCBS PAYABLE</v>
      </c>
    </row>
    <row r="2393" spans="1:8" x14ac:dyDescent="0.25">
      <c r="E2393" t="str">
        <f>""</f>
        <v/>
      </c>
      <c r="F2393" t="str">
        <f>""</f>
        <v/>
      </c>
      <c r="H2393" t="str">
        <f t="shared" si="56"/>
        <v>BCBS PAYABLE</v>
      </c>
    </row>
    <row r="2394" spans="1:8" x14ac:dyDescent="0.25">
      <c r="E2394" t="str">
        <f>""</f>
        <v/>
      </c>
      <c r="F2394" t="str">
        <f>""</f>
        <v/>
      </c>
      <c r="H2394" t="str">
        <f t="shared" si="56"/>
        <v>BCBS PAYABLE</v>
      </c>
    </row>
    <row r="2395" spans="1:8" x14ac:dyDescent="0.25">
      <c r="E2395" t="str">
        <f>""</f>
        <v/>
      </c>
      <c r="F2395" t="str">
        <f>""</f>
        <v/>
      </c>
      <c r="H2395" t="str">
        <f t="shared" si="56"/>
        <v>BCBS PAYABLE</v>
      </c>
    </row>
    <row r="2396" spans="1:8" x14ac:dyDescent="0.25">
      <c r="E2396" t="str">
        <f>""</f>
        <v/>
      </c>
      <c r="F2396" t="str">
        <f>""</f>
        <v/>
      </c>
      <c r="H2396" t="str">
        <f t="shared" si="56"/>
        <v>BCBS PAYABLE</v>
      </c>
    </row>
    <row r="2397" spans="1:8" x14ac:dyDescent="0.25">
      <c r="E2397" t="str">
        <f>""</f>
        <v/>
      </c>
      <c r="F2397" t="str">
        <f>""</f>
        <v/>
      </c>
      <c r="H2397" t="str">
        <f t="shared" si="56"/>
        <v>BCBS PAYABLE</v>
      </c>
    </row>
    <row r="2398" spans="1:8" x14ac:dyDescent="0.25">
      <c r="E2398" t="str">
        <f>""</f>
        <v/>
      </c>
      <c r="F2398" t="str">
        <f>""</f>
        <v/>
      </c>
      <c r="H2398" t="str">
        <f t="shared" si="56"/>
        <v>BCBS PAYABLE</v>
      </c>
    </row>
    <row r="2399" spans="1:8" x14ac:dyDescent="0.25">
      <c r="E2399" t="str">
        <f>""</f>
        <v/>
      </c>
      <c r="F2399" t="str">
        <f>""</f>
        <v/>
      </c>
      <c r="H2399" t="str">
        <f t="shared" si="56"/>
        <v>BCBS PAYABLE</v>
      </c>
    </row>
    <row r="2400" spans="1:8" x14ac:dyDescent="0.25">
      <c r="E2400" t="str">
        <f>""</f>
        <v/>
      </c>
      <c r="F2400" t="str">
        <f>""</f>
        <v/>
      </c>
      <c r="H2400" t="str">
        <f t="shared" si="56"/>
        <v>BCBS PAYABLE</v>
      </c>
    </row>
    <row r="2401" spans="5:8" x14ac:dyDescent="0.25">
      <c r="E2401" t="str">
        <f>""</f>
        <v/>
      </c>
      <c r="F2401" t="str">
        <f>""</f>
        <v/>
      </c>
      <c r="H2401" t="str">
        <f t="shared" si="56"/>
        <v>BCBS PAYABLE</v>
      </c>
    </row>
    <row r="2402" spans="5:8" x14ac:dyDescent="0.25">
      <c r="E2402" t="str">
        <f>""</f>
        <v/>
      </c>
      <c r="F2402" t="str">
        <f>""</f>
        <v/>
      </c>
      <c r="H2402" t="str">
        <f t="shared" si="56"/>
        <v>BCBS PAYABLE</v>
      </c>
    </row>
    <row r="2403" spans="5:8" x14ac:dyDescent="0.25">
      <c r="E2403" t="str">
        <f>""</f>
        <v/>
      </c>
      <c r="F2403" t="str">
        <f>""</f>
        <v/>
      </c>
      <c r="H2403" t="str">
        <f t="shared" si="56"/>
        <v>BCBS PAYABLE</v>
      </c>
    </row>
    <row r="2404" spans="5:8" x14ac:dyDescent="0.25">
      <c r="E2404" t="str">
        <f>""</f>
        <v/>
      </c>
      <c r="F2404" t="str">
        <f>""</f>
        <v/>
      </c>
      <c r="H2404" t="str">
        <f t="shared" si="56"/>
        <v>BCBS PAYABLE</v>
      </c>
    </row>
    <row r="2405" spans="5:8" x14ac:dyDescent="0.25">
      <c r="E2405" t="str">
        <f>""</f>
        <v/>
      </c>
      <c r="F2405" t="str">
        <f>""</f>
        <v/>
      </c>
      <c r="H2405" t="str">
        <f t="shared" si="56"/>
        <v>BCBS PAYABLE</v>
      </c>
    </row>
    <row r="2406" spans="5:8" x14ac:dyDescent="0.25">
      <c r="E2406" t="str">
        <f>""</f>
        <v/>
      </c>
      <c r="F2406" t="str">
        <f>""</f>
        <v/>
      </c>
      <c r="H2406" t="str">
        <f t="shared" si="56"/>
        <v>BCBS PAYABLE</v>
      </c>
    </row>
    <row r="2407" spans="5:8" x14ac:dyDescent="0.25">
      <c r="E2407" t="str">
        <f>""</f>
        <v/>
      </c>
      <c r="F2407" t="str">
        <f>""</f>
        <v/>
      </c>
      <c r="H2407" t="str">
        <f t="shared" si="56"/>
        <v>BCBS PAYABLE</v>
      </c>
    </row>
    <row r="2408" spans="5:8" x14ac:dyDescent="0.25">
      <c r="E2408" t="str">
        <f>""</f>
        <v/>
      </c>
      <c r="F2408" t="str">
        <f>""</f>
        <v/>
      </c>
      <c r="H2408" t="str">
        <f t="shared" si="56"/>
        <v>BCBS PAYABLE</v>
      </c>
    </row>
    <row r="2409" spans="5:8" x14ac:dyDescent="0.25">
      <c r="E2409" t="str">
        <f>""</f>
        <v/>
      </c>
      <c r="F2409" t="str">
        <f>""</f>
        <v/>
      </c>
      <c r="H2409" t="str">
        <f t="shared" si="56"/>
        <v>BCBS PAYABLE</v>
      </c>
    </row>
    <row r="2410" spans="5:8" x14ac:dyDescent="0.25">
      <c r="E2410" t="str">
        <f>""</f>
        <v/>
      </c>
      <c r="F2410" t="str">
        <f>""</f>
        <v/>
      </c>
      <c r="H2410" t="str">
        <f t="shared" si="56"/>
        <v>BCBS PAYABLE</v>
      </c>
    </row>
    <row r="2411" spans="5:8" x14ac:dyDescent="0.25">
      <c r="E2411" t="str">
        <f>""</f>
        <v/>
      </c>
      <c r="F2411" t="str">
        <f>""</f>
        <v/>
      </c>
      <c r="H2411" t="str">
        <f t="shared" si="56"/>
        <v>BCBS PAYABLE</v>
      </c>
    </row>
    <row r="2412" spans="5:8" x14ac:dyDescent="0.25">
      <c r="E2412" t="str">
        <f>""</f>
        <v/>
      </c>
      <c r="F2412" t="str">
        <f>""</f>
        <v/>
      </c>
      <c r="H2412" t="str">
        <f t="shared" si="56"/>
        <v>BCBS PAYABLE</v>
      </c>
    </row>
    <row r="2413" spans="5:8" x14ac:dyDescent="0.25">
      <c r="E2413" t="str">
        <f>""</f>
        <v/>
      </c>
      <c r="F2413" t="str">
        <f>""</f>
        <v/>
      </c>
      <c r="H2413" t="str">
        <f t="shared" si="56"/>
        <v>BCBS PAYABLE</v>
      </c>
    </row>
    <row r="2414" spans="5:8" x14ac:dyDescent="0.25">
      <c r="E2414" t="str">
        <f>""</f>
        <v/>
      </c>
      <c r="F2414" t="str">
        <f>""</f>
        <v/>
      </c>
      <c r="H2414" t="str">
        <f t="shared" si="56"/>
        <v>BCBS PAYABLE</v>
      </c>
    </row>
    <row r="2415" spans="5:8" x14ac:dyDescent="0.25">
      <c r="E2415" t="str">
        <f>""</f>
        <v/>
      </c>
      <c r="F2415" t="str">
        <f>""</f>
        <v/>
      </c>
      <c r="H2415" t="str">
        <f t="shared" si="56"/>
        <v>BCBS PAYABLE</v>
      </c>
    </row>
    <row r="2416" spans="5:8" x14ac:dyDescent="0.25">
      <c r="E2416" t="str">
        <f>""</f>
        <v/>
      </c>
      <c r="F2416" t="str">
        <f>""</f>
        <v/>
      </c>
      <c r="H2416" t="str">
        <f t="shared" si="56"/>
        <v>BCBS PAYABLE</v>
      </c>
    </row>
    <row r="2417" spans="5:8" x14ac:dyDescent="0.25">
      <c r="E2417" t="str">
        <f>""</f>
        <v/>
      </c>
      <c r="F2417" t="str">
        <f>""</f>
        <v/>
      </c>
      <c r="H2417" t="str">
        <f t="shared" si="56"/>
        <v>BCBS PAYABLE</v>
      </c>
    </row>
    <row r="2418" spans="5:8" x14ac:dyDescent="0.25">
      <c r="E2418" t="str">
        <f>""</f>
        <v/>
      </c>
      <c r="F2418" t="str">
        <f>""</f>
        <v/>
      </c>
      <c r="H2418" t="str">
        <f t="shared" si="56"/>
        <v>BCBS PAYABLE</v>
      </c>
    </row>
    <row r="2419" spans="5:8" x14ac:dyDescent="0.25">
      <c r="E2419" t="str">
        <f>"2EC201906119734"</f>
        <v>2EC201906119734</v>
      </c>
      <c r="F2419" t="str">
        <f>"BCBS PAYABLE"</f>
        <v>BCBS PAYABLE</v>
      </c>
      <c r="G2419" s="2">
        <v>1737.8</v>
      </c>
      <c r="H2419" t="str">
        <f t="shared" si="56"/>
        <v>BCBS PAYABLE</v>
      </c>
    </row>
    <row r="2420" spans="5:8" x14ac:dyDescent="0.25">
      <c r="E2420" t="str">
        <f>""</f>
        <v/>
      </c>
      <c r="F2420" t="str">
        <f>""</f>
        <v/>
      </c>
      <c r="H2420" t="str">
        <f t="shared" ref="H2420:H2451" si="57">"BCBS PAYABLE"</f>
        <v>BCBS PAYABLE</v>
      </c>
    </row>
    <row r="2421" spans="5:8" x14ac:dyDescent="0.25">
      <c r="E2421" t="str">
        <f>"2EC201906250102"</f>
        <v>2EC201906250102</v>
      </c>
      <c r="F2421" t="str">
        <f>"BCBS PAYABLE"</f>
        <v>BCBS PAYABLE</v>
      </c>
      <c r="G2421" s="2">
        <v>45182.8</v>
      </c>
      <c r="H2421" t="str">
        <f t="shared" si="57"/>
        <v>BCBS PAYABLE</v>
      </c>
    </row>
    <row r="2422" spans="5:8" x14ac:dyDescent="0.25">
      <c r="E2422" t="str">
        <f>""</f>
        <v/>
      </c>
      <c r="F2422" t="str">
        <f>""</f>
        <v/>
      </c>
      <c r="H2422" t="str">
        <f t="shared" si="57"/>
        <v>BCBS PAYABLE</v>
      </c>
    </row>
    <row r="2423" spans="5:8" x14ac:dyDescent="0.25">
      <c r="E2423" t="str">
        <f>""</f>
        <v/>
      </c>
      <c r="F2423" t="str">
        <f>""</f>
        <v/>
      </c>
      <c r="H2423" t="str">
        <f t="shared" si="57"/>
        <v>BCBS PAYABLE</v>
      </c>
    </row>
    <row r="2424" spans="5:8" x14ac:dyDescent="0.25">
      <c r="E2424" t="str">
        <f>""</f>
        <v/>
      </c>
      <c r="F2424" t="str">
        <f>""</f>
        <v/>
      </c>
      <c r="H2424" t="str">
        <f t="shared" si="57"/>
        <v>BCBS PAYABLE</v>
      </c>
    </row>
    <row r="2425" spans="5:8" x14ac:dyDescent="0.25">
      <c r="E2425" t="str">
        <f>""</f>
        <v/>
      </c>
      <c r="F2425" t="str">
        <f>""</f>
        <v/>
      </c>
      <c r="H2425" t="str">
        <f t="shared" si="57"/>
        <v>BCBS PAYABLE</v>
      </c>
    </row>
    <row r="2426" spans="5:8" x14ac:dyDescent="0.25">
      <c r="E2426" t="str">
        <f>""</f>
        <v/>
      </c>
      <c r="F2426" t="str">
        <f>""</f>
        <v/>
      </c>
      <c r="H2426" t="str">
        <f t="shared" si="57"/>
        <v>BCBS PAYABLE</v>
      </c>
    </row>
    <row r="2427" spans="5:8" x14ac:dyDescent="0.25">
      <c r="E2427" t="str">
        <f>""</f>
        <v/>
      </c>
      <c r="F2427" t="str">
        <f>""</f>
        <v/>
      </c>
      <c r="H2427" t="str">
        <f t="shared" si="57"/>
        <v>BCBS PAYABLE</v>
      </c>
    </row>
    <row r="2428" spans="5:8" x14ac:dyDescent="0.25">
      <c r="E2428" t="str">
        <f>""</f>
        <v/>
      </c>
      <c r="F2428" t="str">
        <f>""</f>
        <v/>
      </c>
      <c r="H2428" t="str">
        <f t="shared" si="57"/>
        <v>BCBS PAYABLE</v>
      </c>
    </row>
    <row r="2429" spans="5:8" x14ac:dyDescent="0.25">
      <c r="E2429" t="str">
        <f>""</f>
        <v/>
      </c>
      <c r="F2429" t="str">
        <f>""</f>
        <v/>
      </c>
      <c r="H2429" t="str">
        <f t="shared" si="57"/>
        <v>BCBS PAYABLE</v>
      </c>
    </row>
    <row r="2430" spans="5:8" x14ac:dyDescent="0.25">
      <c r="E2430" t="str">
        <f>""</f>
        <v/>
      </c>
      <c r="F2430" t="str">
        <f>""</f>
        <v/>
      </c>
      <c r="H2430" t="str">
        <f t="shared" si="57"/>
        <v>BCBS PAYABLE</v>
      </c>
    </row>
    <row r="2431" spans="5:8" x14ac:dyDescent="0.25">
      <c r="E2431" t="str">
        <f>""</f>
        <v/>
      </c>
      <c r="F2431" t="str">
        <f>""</f>
        <v/>
      </c>
      <c r="H2431" t="str">
        <f t="shared" si="57"/>
        <v>BCBS PAYABLE</v>
      </c>
    </row>
    <row r="2432" spans="5:8" x14ac:dyDescent="0.25">
      <c r="E2432" t="str">
        <f>""</f>
        <v/>
      </c>
      <c r="F2432" t="str">
        <f>""</f>
        <v/>
      </c>
      <c r="H2432" t="str">
        <f t="shared" si="57"/>
        <v>BCBS PAYABLE</v>
      </c>
    </row>
    <row r="2433" spans="5:8" x14ac:dyDescent="0.25">
      <c r="E2433" t="str">
        <f>""</f>
        <v/>
      </c>
      <c r="F2433" t="str">
        <f>""</f>
        <v/>
      </c>
      <c r="H2433" t="str">
        <f t="shared" si="57"/>
        <v>BCBS PAYABLE</v>
      </c>
    </row>
    <row r="2434" spans="5:8" x14ac:dyDescent="0.25">
      <c r="E2434" t="str">
        <f>""</f>
        <v/>
      </c>
      <c r="F2434" t="str">
        <f>""</f>
        <v/>
      </c>
      <c r="H2434" t="str">
        <f t="shared" si="57"/>
        <v>BCBS PAYABLE</v>
      </c>
    </row>
    <row r="2435" spans="5:8" x14ac:dyDescent="0.25">
      <c r="E2435" t="str">
        <f>""</f>
        <v/>
      </c>
      <c r="F2435" t="str">
        <f>""</f>
        <v/>
      </c>
      <c r="H2435" t="str">
        <f t="shared" si="57"/>
        <v>BCBS PAYABLE</v>
      </c>
    </row>
    <row r="2436" spans="5:8" x14ac:dyDescent="0.25">
      <c r="E2436" t="str">
        <f>""</f>
        <v/>
      </c>
      <c r="F2436" t="str">
        <f>""</f>
        <v/>
      </c>
      <c r="H2436" t="str">
        <f t="shared" si="57"/>
        <v>BCBS PAYABLE</v>
      </c>
    </row>
    <row r="2437" spans="5:8" x14ac:dyDescent="0.25">
      <c r="E2437" t="str">
        <f>""</f>
        <v/>
      </c>
      <c r="F2437" t="str">
        <f>""</f>
        <v/>
      </c>
      <c r="H2437" t="str">
        <f t="shared" si="57"/>
        <v>BCBS PAYABLE</v>
      </c>
    </row>
    <row r="2438" spans="5:8" x14ac:dyDescent="0.25">
      <c r="E2438" t="str">
        <f>""</f>
        <v/>
      </c>
      <c r="F2438" t="str">
        <f>""</f>
        <v/>
      </c>
      <c r="H2438" t="str">
        <f t="shared" si="57"/>
        <v>BCBS PAYABLE</v>
      </c>
    </row>
    <row r="2439" spans="5:8" x14ac:dyDescent="0.25">
      <c r="E2439" t="str">
        <f>""</f>
        <v/>
      </c>
      <c r="F2439" t="str">
        <f>""</f>
        <v/>
      </c>
      <c r="H2439" t="str">
        <f t="shared" si="57"/>
        <v>BCBS PAYABLE</v>
      </c>
    </row>
    <row r="2440" spans="5:8" x14ac:dyDescent="0.25">
      <c r="E2440" t="str">
        <f>""</f>
        <v/>
      </c>
      <c r="F2440" t="str">
        <f>""</f>
        <v/>
      </c>
      <c r="H2440" t="str">
        <f t="shared" si="57"/>
        <v>BCBS PAYABLE</v>
      </c>
    </row>
    <row r="2441" spans="5:8" x14ac:dyDescent="0.25">
      <c r="E2441" t="str">
        <f>""</f>
        <v/>
      </c>
      <c r="F2441" t="str">
        <f>""</f>
        <v/>
      </c>
      <c r="H2441" t="str">
        <f t="shared" si="57"/>
        <v>BCBS PAYABLE</v>
      </c>
    </row>
    <row r="2442" spans="5:8" x14ac:dyDescent="0.25">
      <c r="E2442" t="str">
        <f>""</f>
        <v/>
      </c>
      <c r="F2442" t="str">
        <f>""</f>
        <v/>
      </c>
      <c r="H2442" t="str">
        <f t="shared" si="57"/>
        <v>BCBS PAYABLE</v>
      </c>
    </row>
    <row r="2443" spans="5:8" x14ac:dyDescent="0.25">
      <c r="E2443" t="str">
        <f>""</f>
        <v/>
      </c>
      <c r="F2443" t="str">
        <f>""</f>
        <v/>
      </c>
      <c r="H2443" t="str">
        <f t="shared" si="57"/>
        <v>BCBS PAYABLE</v>
      </c>
    </row>
    <row r="2444" spans="5:8" x14ac:dyDescent="0.25">
      <c r="E2444" t="str">
        <f>""</f>
        <v/>
      </c>
      <c r="F2444" t="str">
        <f>""</f>
        <v/>
      </c>
      <c r="H2444" t="str">
        <f t="shared" si="57"/>
        <v>BCBS PAYABLE</v>
      </c>
    </row>
    <row r="2445" spans="5:8" x14ac:dyDescent="0.25">
      <c r="E2445" t="str">
        <f>""</f>
        <v/>
      </c>
      <c r="F2445" t="str">
        <f>""</f>
        <v/>
      </c>
      <c r="H2445" t="str">
        <f t="shared" si="57"/>
        <v>BCBS PAYABLE</v>
      </c>
    </row>
    <row r="2446" spans="5:8" x14ac:dyDescent="0.25">
      <c r="E2446" t="str">
        <f>""</f>
        <v/>
      </c>
      <c r="F2446" t="str">
        <f>""</f>
        <v/>
      </c>
      <c r="H2446" t="str">
        <f t="shared" si="57"/>
        <v>BCBS PAYABLE</v>
      </c>
    </row>
    <row r="2447" spans="5:8" x14ac:dyDescent="0.25">
      <c r="E2447" t="str">
        <f>""</f>
        <v/>
      </c>
      <c r="F2447" t="str">
        <f>""</f>
        <v/>
      </c>
      <c r="H2447" t="str">
        <f t="shared" si="57"/>
        <v>BCBS PAYABLE</v>
      </c>
    </row>
    <row r="2448" spans="5:8" x14ac:dyDescent="0.25">
      <c r="E2448" t="str">
        <f>""</f>
        <v/>
      </c>
      <c r="F2448" t="str">
        <f>""</f>
        <v/>
      </c>
      <c r="H2448" t="str">
        <f t="shared" si="57"/>
        <v>BCBS PAYABLE</v>
      </c>
    </row>
    <row r="2449" spans="5:8" x14ac:dyDescent="0.25">
      <c r="E2449" t="str">
        <f>""</f>
        <v/>
      </c>
      <c r="F2449" t="str">
        <f>""</f>
        <v/>
      </c>
      <c r="H2449" t="str">
        <f t="shared" si="57"/>
        <v>BCBS PAYABLE</v>
      </c>
    </row>
    <row r="2450" spans="5:8" x14ac:dyDescent="0.25">
      <c r="E2450" t="str">
        <f>""</f>
        <v/>
      </c>
      <c r="F2450" t="str">
        <f>""</f>
        <v/>
      </c>
      <c r="H2450" t="str">
        <f t="shared" si="57"/>
        <v>BCBS PAYABLE</v>
      </c>
    </row>
    <row r="2451" spans="5:8" x14ac:dyDescent="0.25">
      <c r="E2451" t="str">
        <f>"2EC201906250103"</f>
        <v>2EC201906250103</v>
      </c>
      <c r="F2451" t="str">
        <f>"BCBS PAYABLE"</f>
        <v>BCBS PAYABLE</v>
      </c>
      <c r="G2451" s="2">
        <v>1737.8</v>
      </c>
      <c r="H2451" t="str">
        <f t="shared" si="57"/>
        <v>BCBS PAYABLE</v>
      </c>
    </row>
    <row r="2452" spans="5:8" x14ac:dyDescent="0.25">
      <c r="E2452" t="str">
        <f>""</f>
        <v/>
      </c>
      <c r="F2452" t="str">
        <f>""</f>
        <v/>
      </c>
      <c r="H2452" t="str">
        <f t="shared" ref="H2452:H2483" si="58">"BCBS PAYABLE"</f>
        <v>BCBS PAYABLE</v>
      </c>
    </row>
    <row r="2453" spans="5:8" x14ac:dyDescent="0.25">
      <c r="E2453" t="str">
        <f>"2EF201906119733"</f>
        <v>2EF201906119733</v>
      </c>
      <c r="F2453" t="str">
        <f>"BCBS PAYABLE"</f>
        <v>BCBS PAYABLE</v>
      </c>
      <c r="G2453" s="2">
        <v>1726.66</v>
      </c>
      <c r="H2453" t="str">
        <f t="shared" si="58"/>
        <v>BCBS PAYABLE</v>
      </c>
    </row>
    <row r="2454" spans="5:8" x14ac:dyDescent="0.25">
      <c r="E2454" t="str">
        <f>""</f>
        <v/>
      </c>
      <c r="F2454" t="str">
        <f>""</f>
        <v/>
      </c>
      <c r="H2454" t="str">
        <f t="shared" si="58"/>
        <v>BCBS PAYABLE</v>
      </c>
    </row>
    <row r="2455" spans="5:8" x14ac:dyDescent="0.25">
      <c r="E2455" t="str">
        <f>""</f>
        <v/>
      </c>
      <c r="F2455" t="str">
        <f>""</f>
        <v/>
      </c>
      <c r="H2455" t="str">
        <f t="shared" si="58"/>
        <v>BCBS PAYABLE</v>
      </c>
    </row>
    <row r="2456" spans="5:8" x14ac:dyDescent="0.25">
      <c r="E2456" t="str">
        <f>"2EF201906250102"</f>
        <v>2EF201906250102</v>
      </c>
      <c r="F2456" t="str">
        <f>"BCBS PAYABLE"</f>
        <v>BCBS PAYABLE</v>
      </c>
      <c r="G2456" s="2">
        <v>1726.66</v>
      </c>
      <c r="H2456" t="str">
        <f t="shared" si="58"/>
        <v>BCBS PAYABLE</v>
      </c>
    </row>
    <row r="2457" spans="5:8" x14ac:dyDescent="0.25">
      <c r="E2457" t="str">
        <f>""</f>
        <v/>
      </c>
      <c r="F2457" t="str">
        <f>""</f>
        <v/>
      </c>
      <c r="H2457" t="str">
        <f t="shared" si="58"/>
        <v>BCBS PAYABLE</v>
      </c>
    </row>
    <row r="2458" spans="5:8" x14ac:dyDescent="0.25">
      <c r="E2458" t="str">
        <f>""</f>
        <v/>
      </c>
      <c r="F2458" t="str">
        <f>""</f>
        <v/>
      </c>
      <c r="H2458" t="str">
        <f t="shared" si="58"/>
        <v>BCBS PAYABLE</v>
      </c>
    </row>
    <row r="2459" spans="5:8" x14ac:dyDescent="0.25">
      <c r="E2459" t="str">
        <f>"2EO201906119733"</f>
        <v>2EO201906119733</v>
      </c>
      <c r="F2459" t="str">
        <f>"BCBS PAYABLE"</f>
        <v>BCBS PAYABLE</v>
      </c>
      <c r="G2459" s="2">
        <v>91663.2</v>
      </c>
      <c r="H2459" t="str">
        <f t="shared" si="58"/>
        <v>BCBS PAYABLE</v>
      </c>
    </row>
    <row r="2460" spans="5:8" x14ac:dyDescent="0.25">
      <c r="E2460" t="str">
        <f>""</f>
        <v/>
      </c>
      <c r="F2460" t="str">
        <f>""</f>
        <v/>
      </c>
      <c r="H2460" t="str">
        <f t="shared" si="58"/>
        <v>BCBS PAYABLE</v>
      </c>
    </row>
    <row r="2461" spans="5:8" x14ac:dyDescent="0.25">
      <c r="E2461" t="str">
        <f>""</f>
        <v/>
      </c>
      <c r="F2461" t="str">
        <f>""</f>
        <v/>
      </c>
      <c r="H2461" t="str">
        <f t="shared" si="58"/>
        <v>BCBS PAYABLE</v>
      </c>
    </row>
    <row r="2462" spans="5:8" x14ac:dyDescent="0.25">
      <c r="E2462" t="str">
        <f>""</f>
        <v/>
      </c>
      <c r="F2462" t="str">
        <f>""</f>
        <v/>
      </c>
      <c r="H2462" t="str">
        <f t="shared" si="58"/>
        <v>BCBS PAYABLE</v>
      </c>
    </row>
    <row r="2463" spans="5:8" x14ac:dyDescent="0.25">
      <c r="E2463" t="str">
        <f>""</f>
        <v/>
      </c>
      <c r="F2463" t="str">
        <f>""</f>
        <v/>
      </c>
      <c r="H2463" t="str">
        <f t="shared" si="58"/>
        <v>BCBS PAYABLE</v>
      </c>
    </row>
    <row r="2464" spans="5:8" x14ac:dyDescent="0.25">
      <c r="E2464" t="str">
        <f>""</f>
        <v/>
      </c>
      <c r="F2464" t="str">
        <f>""</f>
        <v/>
      </c>
      <c r="H2464" t="str">
        <f t="shared" si="58"/>
        <v>BCBS PAYABLE</v>
      </c>
    </row>
    <row r="2465" spans="5:8" x14ac:dyDescent="0.25">
      <c r="E2465" t="str">
        <f>""</f>
        <v/>
      </c>
      <c r="F2465" t="str">
        <f>""</f>
        <v/>
      </c>
      <c r="H2465" t="str">
        <f t="shared" si="58"/>
        <v>BCBS PAYABLE</v>
      </c>
    </row>
    <row r="2466" spans="5:8" x14ac:dyDescent="0.25">
      <c r="E2466" t="str">
        <f>""</f>
        <v/>
      </c>
      <c r="F2466" t="str">
        <f>""</f>
        <v/>
      </c>
      <c r="H2466" t="str">
        <f t="shared" si="58"/>
        <v>BCBS PAYABLE</v>
      </c>
    </row>
    <row r="2467" spans="5:8" x14ac:dyDescent="0.25">
      <c r="E2467" t="str">
        <f>""</f>
        <v/>
      </c>
      <c r="F2467" t="str">
        <f>""</f>
        <v/>
      </c>
      <c r="H2467" t="str">
        <f t="shared" si="58"/>
        <v>BCBS PAYABLE</v>
      </c>
    </row>
    <row r="2468" spans="5:8" x14ac:dyDescent="0.25">
      <c r="E2468" t="str">
        <f>""</f>
        <v/>
      </c>
      <c r="F2468" t="str">
        <f>""</f>
        <v/>
      </c>
      <c r="H2468" t="str">
        <f t="shared" si="58"/>
        <v>BCBS PAYABLE</v>
      </c>
    </row>
    <row r="2469" spans="5:8" x14ac:dyDescent="0.25">
      <c r="E2469" t="str">
        <f>""</f>
        <v/>
      </c>
      <c r="F2469" t="str">
        <f>""</f>
        <v/>
      </c>
      <c r="H2469" t="str">
        <f t="shared" si="58"/>
        <v>BCBS PAYABLE</v>
      </c>
    </row>
    <row r="2470" spans="5:8" x14ac:dyDescent="0.25">
      <c r="E2470" t="str">
        <f>""</f>
        <v/>
      </c>
      <c r="F2470" t="str">
        <f>""</f>
        <v/>
      </c>
      <c r="H2470" t="str">
        <f t="shared" si="58"/>
        <v>BCBS PAYABLE</v>
      </c>
    </row>
    <row r="2471" spans="5:8" x14ac:dyDescent="0.25">
      <c r="E2471" t="str">
        <f>""</f>
        <v/>
      </c>
      <c r="F2471" t="str">
        <f>""</f>
        <v/>
      </c>
      <c r="H2471" t="str">
        <f t="shared" si="58"/>
        <v>BCBS PAYABLE</v>
      </c>
    </row>
    <row r="2472" spans="5:8" x14ac:dyDescent="0.25">
      <c r="E2472" t="str">
        <f>""</f>
        <v/>
      </c>
      <c r="F2472" t="str">
        <f>""</f>
        <v/>
      </c>
      <c r="H2472" t="str">
        <f t="shared" si="58"/>
        <v>BCBS PAYABLE</v>
      </c>
    </row>
    <row r="2473" spans="5:8" x14ac:dyDescent="0.25">
      <c r="E2473" t="str">
        <f>""</f>
        <v/>
      </c>
      <c r="F2473" t="str">
        <f>""</f>
        <v/>
      </c>
      <c r="H2473" t="str">
        <f t="shared" si="58"/>
        <v>BCBS PAYABLE</v>
      </c>
    </row>
    <row r="2474" spans="5:8" x14ac:dyDescent="0.25">
      <c r="E2474" t="str">
        <f>""</f>
        <v/>
      </c>
      <c r="F2474" t="str">
        <f>""</f>
        <v/>
      </c>
      <c r="H2474" t="str">
        <f t="shared" si="58"/>
        <v>BCBS PAYABLE</v>
      </c>
    </row>
    <row r="2475" spans="5:8" x14ac:dyDescent="0.25">
      <c r="E2475" t="str">
        <f>""</f>
        <v/>
      </c>
      <c r="F2475" t="str">
        <f>""</f>
        <v/>
      </c>
      <c r="H2475" t="str">
        <f t="shared" si="58"/>
        <v>BCBS PAYABLE</v>
      </c>
    </row>
    <row r="2476" spans="5:8" x14ac:dyDescent="0.25">
      <c r="E2476" t="str">
        <f>""</f>
        <v/>
      </c>
      <c r="F2476" t="str">
        <f>""</f>
        <v/>
      </c>
      <c r="H2476" t="str">
        <f t="shared" si="58"/>
        <v>BCBS PAYABLE</v>
      </c>
    </row>
    <row r="2477" spans="5:8" x14ac:dyDescent="0.25">
      <c r="E2477" t="str">
        <f>""</f>
        <v/>
      </c>
      <c r="F2477" t="str">
        <f>""</f>
        <v/>
      </c>
      <c r="H2477" t="str">
        <f t="shared" si="58"/>
        <v>BCBS PAYABLE</v>
      </c>
    </row>
    <row r="2478" spans="5:8" x14ac:dyDescent="0.25">
      <c r="E2478" t="str">
        <f>""</f>
        <v/>
      </c>
      <c r="F2478" t="str">
        <f>""</f>
        <v/>
      </c>
      <c r="H2478" t="str">
        <f t="shared" si="58"/>
        <v>BCBS PAYABLE</v>
      </c>
    </row>
    <row r="2479" spans="5:8" x14ac:dyDescent="0.25">
      <c r="E2479" t="str">
        <f>""</f>
        <v/>
      </c>
      <c r="F2479" t="str">
        <f>""</f>
        <v/>
      </c>
      <c r="H2479" t="str">
        <f t="shared" si="58"/>
        <v>BCBS PAYABLE</v>
      </c>
    </row>
    <row r="2480" spans="5:8" x14ac:dyDescent="0.25">
      <c r="E2480" t="str">
        <f>""</f>
        <v/>
      </c>
      <c r="F2480" t="str">
        <f>""</f>
        <v/>
      </c>
      <c r="H2480" t="str">
        <f t="shared" si="58"/>
        <v>BCBS PAYABLE</v>
      </c>
    </row>
    <row r="2481" spans="5:8" x14ac:dyDescent="0.25">
      <c r="E2481" t="str">
        <f>""</f>
        <v/>
      </c>
      <c r="F2481" t="str">
        <f>""</f>
        <v/>
      </c>
      <c r="H2481" t="str">
        <f t="shared" si="58"/>
        <v>BCBS PAYABLE</v>
      </c>
    </row>
    <row r="2482" spans="5:8" x14ac:dyDescent="0.25">
      <c r="E2482" t="str">
        <f>""</f>
        <v/>
      </c>
      <c r="F2482" t="str">
        <f>""</f>
        <v/>
      </c>
      <c r="H2482" t="str">
        <f t="shared" si="58"/>
        <v>BCBS PAYABLE</v>
      </c>
    </row>
    <row r="2483" spans="5:8" x14ac:dyDescent="0.25">
      <c r="E2483" t="str">
        <f>""</f>
        <v/>
      </c>
      <c r="F2483" t="str">
        <f>""</f>
        <v/>
      </c>
      <c r="H2483" t="str">
        <f t="shared" si="58"/>
        <v>BCBS PAYABLE</v>
      </c>
    </row>
    <row r="2484" spans="5:8" x14ac:dyDescent="0.25">
      <c r="E2484" t="str">
        <f>""</f>
        <v/>
      </c>
      <c r="F2484" t="str">
        <f>""</f>
        <v/>
      </c>
      <c r="H2484" t="str">
        <f t="shared" ref="H2484:H2515" si="59">"BCBS PAYABLE"</f>
        <v>BCBS PAYABLE</v>
      </c>
    </row>
    <row r="2485" spans="5:8" x14ac:dyDescent="0.25">
      <c r="E2485" t="str">
        <f>""</f>
        <v/>
      </c>
      <c r="F2485" t="str">
        <f>""</f>
        <v/>
      </c>
      <c r="H2485" t="str">
        <f t="shared" si="59"/>
        <v>BCBS PAYABLE</v>
      </c>
    </row>
    <row r="2486" spans="5:8" x14ac:dyDescent="0.25">
      <c r="E2486" t="str">
        <f>""</f>
        <v/>
      </c>
      <c r="F2486" t="str">
        <f>""</f>
        <v/>
      </c>
      <c r="H2486" t="str">
        <f t="shared" si="59"/>
        <v>BCBS PAYABLE</v>
      </c>
    </row>
    <row r="2487" spans="5:8" x14ac:dyDescent="0.25">
      <c r="E2487" t="str">
        <f>""</f>
        <v/>
      </c>
      <c r="F2487" t="str">
        <f>""</f>
        <v/>
      </c>
      <c r="H2487" t="str">
        <f t="shared" si="59"/>
        <v>BCBS PAYABLE</v>
      </c>
    </row>
    <row r="2488" spans="5:8" x14ac:dyDescent="0.25">
      <c r="E2488" t="str">
        <f>""</f>
        <v/>
      </c>
      <c r="F2488" t="str">
        <f>""</f>
        <v/>
      </c>
      <c r="H2488" t="str">
        <f t="shared" si="59"/>
        <v>BCBS PAYABLE</v>
      </c>
    </row>
    <row r="2489" spans="5:8" x14ac:dyDescent="0.25">
      <c r="E2489" t="str">
        <f>""</f>
        <v/>
      </c>
      <c r="F2489" t="str">
        <f>""</f>
        <v/>
      </c>
      <c r="H2489" t="str">
        <f t="shared" si="59"/>
        <v>BCBS PAYABLE</v>
      </c>
    </row>
    <row r="2490" spans="5:8" x14ac:dyDescent="0.25">
      <c r="E2490" t="str">
        <f>""</f>
        <v/>
      </c>
      <c r="F2490" t="str">
        <f>""</f>
        <v/>
      </c>
      <c r="H2490" t="str">
        <f t="shared" si="59"/>
        <v>BCBS PAYABLE</v>
      </c>
    </row>
    <row r="2491" spans="5:8" x14ac:dyDescent="0.25">
      <c r="E2491" t="str">
        <f>""</f>
        <v/>
      </c>
      <c r="F2491" t="str">
        <f>""</f>
        <v/>
      </c>
      <c r="H2491" t="str">
        <f t="shared" si="59"/>
        <v>BCBS PAYABLE</v>
      </c>
    </row>
    <row r="2492" spans="5:8" x14ac:dyDescent="0.25">
      <c r="E2492" t="str">
        <f>""</f>
        <v/>
      </c>
      <c r="F2492" t="str">
        <f>""</f>
        <v/>
      </c>
      <c r="H2492" t="str">
        <f t="shared" si="59"/>
        <v>BCBS PAYABLE</v>
      </c>
    </row>
    <row r="2493" spans="5:8" x14ac:dyDescent="0.25">
      <c r="E2493" t="str">
        <f>""</f>
        <v/>
      </c>
      <c r="F2493" t="str">
        <f>""</f>
        <v/>
      </c>
      <c r="H2493" t="str">
        <f t="shared" si="59"/>
        <v>BCBS PAYABLE</v>
      </c>
    </row>
    <row r="2494" spans="5:8" x14ac:dyDescent="0.25">
      <c r="E2494" t="str">
        <f>""</f>
        <v/>
      </c>
      <c r="F2494" t="str">
        <f>""</f>
        <v/>
      </c>
      <c r="H2494" t="str">
        <f t="shared" si="59"/>
        <v>BCBS PAYABLE</v>
      </c>
    </row>
    <row r="2495" spans="5:8" x14ac:dyDescent="0.25">
      <c r="E2495" t="str">
        <f>""</f>
        <v/>
      </c>
      <c r="F2495" t="str">
        <f>""</f>
        <v/>
      </c>
      <c r="H2495" t="str">
        <f t="shared" si="59"/>
        <v>BCBS PAYABLE</v>
      </c>
    </row>
    <row r="2496" spans="5:8" x14ac:dyDescent="0.25">
      <c r="E2496" t="str">
        <f>""</f>
        <v/>
      </c>
      <c r="F2496" t="str">
        <f>""</f>
        <v/>
      </c>
      <c r="H2496" t="str">
        <f t="shared" si="59"/>
        <v>BCBS PAYABLE</v>
      </c>
    </row>
    <row r="2497" spans="5:8" x14ac:dyDescent="0.25">
      <c r="E2497" t="str">
        <f>""</f>
        <v/>
      </c>
      <c r="F2497" t="str">
        <f>""</f>
        <v/>
      </c>
      <c r="H2497" t="str">
        <f t="shared" si="59"/>
        <v>BCBS PAYABLE</v>
      </c>
    </row>
    <row r="2498" spans="5:8" x14ac:dyDescent="0.25">
      <c r="E2498" t="str">
        <f>""</f>
        <v/>
      </c>
      <c r="F2498" t="str">
        <f>""</f>
        <v/>
      </c>
      <c r="H2498" t="str">
        <f t="shared" si="59"/>
        <v>BCBS PAYABLE</v>
      </c>
    </row>
    <row r="2499" spans="5:8" x14ac:dyDescent="0.25">
      <c r="E2499" t="str">
        <f>""</f>
        <v/>
      </c>
      <c r="F2499" t="str">
        <f>""</f>
        <v/>
      </c>
      <c r="H2499" t="str">
        <f t="shared" si="59"/>
        <v>BCBS PAYABLE</v>
      </c>
    </row>
    <row r="2500" spans="5:8" x14ac:dyDescent="0.25">
      <c r="E2500" t="str">
        <f>""</f>
        <v/>
      </c>
      <c r="F2500" t="str">
        <f>""</f>
        <v/>
      </c>
      <c r="H2500" t="str">
        <f t="shared" si="59"/>
        <v>BCBS PAYABLE</v>
      </c>
    </row>
    <row r="2501" spans="5:8" x14ac:dyDescent="0.25">
      <c r="E2501" t="str">
        <f>""</f>
        <v/>
      </c>
      <c r="F2501" t="str">
        <f>""</f>
        <v/>
      </c>
      <c r="H2501" t="str">
        <f t="shared" si="59"/>
        <v>BCBS PAYABLE</v>
      </c>
    </row>
    <row r="2502" spans="5:8" x14ac:dyDescent="0.25">
      <c r="E2502" t="str">
        <f>""</f>
        <v/>
      </c>
      <c r="F2502" t="str">
        <f>""</f>
        <v/>
      </c>
      <c r="H2502" t="str">
        <f t="shared" si="59"/>
        <v>BCBS PAYABLE</v>
      </c>
    </row>
    <row r="2503" spans="5:8" x14ac:dyDescent="0.25">
      <c r="E2503" t="str">
        <f>""</f>
        <v/>
      </c>
      <c r="F2503" t="str">
        <f>""</f>
        <v/>
      </c>
      <c r="H2503" t="str">
        <f t="shared" si="59"/>
        <v>BCBS PAYABLE</v>
      </c>
    </row>
    <row r="2504" spans="5:8" x14ac:dyDescent="0.25">
      <c r="E2504" t="str">
        <f>"2EO201906119734"</f>
        <v>2EO201906119734</v>
      </c>
      <c r="F2504" t="str">
        <f>"BCBS PAYABLE"</f>
        <v>BCBS PAYABLE</v>
      </c>
      <c r="G2504" s="2">
        <v>3792.96</v>
      </c>
      <c r="H2504" t="str">
        <f t="shared" si="59"/>
        <v>BCBS PAYABLE</v>
      </c>
    </row>
    <row r="2505" spans="5:8" x14ac:dyDescent="0.25">
      <c r="E2505" t="str">
        <f>"2EO201906250102"</f>
        <v>2EO201906250102</v>
      </c>
      <c r="F2505" t="str">
        <f>"BCBS PAYABLE"</f>
        <v>BCBS PAYABLE</v>
      </c>
      <c r="G2505" s="2">
        <v>91031.039999999994</v>
      </c>
      <c r="H2505" t="str">
        <f t="shared" si="59"/>
        <v>BCBS PAYABLE</v>
      </c>
    </row>
    <row r="2506" spans="5:8" x14ac:dyDescent="0.25">
      <c r="E2506" t="str">
        <f>""</f>
        <v/>
      </c>
      <c r="F2506" t="str">
        <f>""</f>
        <v/>
      </c>
      <c r="H2506" t="str">
        <f t="shared" si="59"/>
        <v>BCBS PAYABLE</v>
      </c>
    </row>
    <row r="2507" spans="5:8" x14ac:dyDescent="0.25">
      <c r="E2507" t="str">
        <f>""</f>
        <v/>
      </c>
      <c r="F2507" t="str">
        <f>""</f>
        <v/>
      </c>
      <c r="H2507" t="str">
        <f t="shared" si="59"/>
        <v>BCBS PAYABLE</v>
      </c>
    </row>
    <row r="2508" spans="5:8" x14ac:dyDescent="0.25">
      <c r="E2508" t="str">
        <f>""</f>
        <v/>
      </c>
      <c r="F2508" t="str">
        <f>""</f>
        <v/>
      </c>
      <c r="H2508" t="str">
        <f t="shared" si="59"/>
        <v>BCBS PAYABLE</v>
      </c>
    </row>
    <row r="2509" spans="5:8" x14ac:dyDescent="0.25">
      <c r="E2509" t="str">
        <f>""</f>
        <v/>
      </c>
      <c r="F2509" t="str">
        <f>""</f>
        <v/>
      </c>
      <c r="H2509" t="str">
        <f t="shared" si="59"/>
        <v>BCBS PAYABLE</v>
      </c>
    </row>
    <row r="2510" spans="5:8" x14ac:dyDescent="0.25">
      <c r="E2510" t="str">
        <f>""</f>
        <v/>
      </c>
      <c r="F2510" t="str">
        <f>""</f>
        <v/>
      </c>
      <c r="H2510" t="str">
        <f t="shared" si="59"/>
        <v>BCBS PAYABLE</v>
      </c>
    </row>
    <row r="2511" spans="5:8" x14ac:dyDescent="0.25">
      <c r="E2511" t="str">
        <f>""</f>
        <v/>
      </c>
      <c r="F2511" t="str">
        <f>""</f>
        <v/>
      </c>
      <c r="H2511" t="str">
        <f t="shared" si="59"/>
        <v>BCBS PAYABLE</v>
      </c>
    </row>
    <row r="2512" spans="5:8" x14ac:dyDescent="0.25">
      <c r="E2512" t="str">
        <f>""</f>
        <v/>
      </c>
      <c r="F2512" t="str">
        <f>""</f>
        <v/>
      </c>
      <c r="H2512" t="str">
        <f t="shared" si="59"/>
        <v>BCBS PAYABLE</v>
      </c>
    </row>
    <row r="2513" spans="5:8" x14ac:dyDescent="0.25">
      <c r="E2513" t="str">
        <f>""</f>
        <v/>
      </c>
      <c r="F2513" t="str">
        <f>""</f>
        <v/>
      </c>
      <c r="H2513" t="str">
        <f t="shared" si="59"/>
        <v>BCBS PAYABLE</v>
      </c>
    </row>
    <row r="2514" spans="5:8" x14ac:dyDescent="0.25">
      <c r="E2514" t="str">
        <f>""</f>
        <v/>
      </c>
      <c r="F2514" t="str">
        <f>""</f>
        <v/>
      </c>
      <c r="H2514" t="str">
        <f t="shared" si="59"/>
        <v>BCBS PAYABLE</v>
      </c>
    </row>
    <row r="2515" spans="5:8" x14ac:dyDescent="0.25">
      <c r="E2515" t="str">
        <f>""</f>
        <v/>
      </c>
      <c r="F2515" t="str">
        <f>""</f>
        <v/>
      </c>
      <c r="H2515" t="str">
        <f t="shared" si="59"/>
        <v>BCBS PAYABLE</v>
      </c>
    </row>
    <row r="2516" spans="5:8" x14ac:dyDescent="0.25">
      <c r="E2516" t="str">
        <f>""</f>
        <v/>
      </c>
      <c r="F2516" t="str">
        <f>""</f>
        <v/>
      </c>
      <c r="H2516" t="str">
        <f t="shared" ref="H2516:H2547" si="60">"BCBS PAYABLE"</f>
        <v>BCBS PAYABLE</v>
      </c>
    </row>
    <row r="2517" spans="5:8" x14ac:dyDescent="0.25">
      <c r="E2517" t="str">
        <f>""</f>
        <v/>
      </c>
      <c r="F2517" t="str">
        <f>""</f>
        <v/>
      </c>
      <c r="H2517" t="str">
        <f t="shared" si="60"/>
        <v>BCBS PAYABLE</v>
      </c>
    </row>
    <row r="2518" spans="5:8" x14ac:dyDescent="0.25">
      <c r="E2518" t="str">
        <f>""</f>
        <v/>
      </c>
      <c r="F2518" t="str">
        <f>""</f>
        <v/>
      </c>
      <c r="H2518" t="str">
        <f t="shared" si="60"/>
        <v>BCBS PAYABLE</v>
      </c>
    </row>
    <row r="2519" spans="5:8" x14ac:dyDescent="0.25">
      <c r="E2519" t="str">
        <f>""</f>
        <v/>
      </c>
      <c r="F2519" t="str">
        <f>""</f>
        <v/>
      </c>
      <c r="H2519" t="str">
        <f t="shared" si="60"/>
        <v>BCBS PAYABLE</v>
      </c>
    </row>
    <row r="2520" spans="5:8" x14ac:dyDescent="0.25">
      <c r="E2520" t="str">
        <f>""</f>
        <v/>
      </c>
      <c r="F2520" t="str">
        <f>""</f>
        <v/>
      </c>
      <c r="H2520" t="str">
        <f t="shared" si="60"/>
        <v>BCBS PAYABLE</v>
      </c>
    </row>
    <row r="2521" spans="5:8" x14ac:dyDescent="0.25">
      <c r="E2521" t="str">
        <f>""</f>
        <v/>
      </c>
      <c r="F2521" t="str">
        <f>""</f>
        <v/>
      </c>
      <c r="H2521" t="str">
        <f t="shared" si="60"/>
        <v>BCBS PAYABLE</v>
      </c>
    </row>
    <row r="2522" spans="5:8" x14ac:dyDescent="0.25">
      <c r="E2522" t="str">
        <f>""</f>
        <v/>
      </c>
      <c r="F2522" t="str">
        <f>""</f>
        <v/>
      </c>
      <c r="H2522" t="str">
        <f t="shared" si="60"/>
        <v>BCBS PAYABLE</v>
      </c>
    </row>
    <row r="2523" spans="5:8" x14ac:dyDescent="0.25">
      <c r="E2523" t="str">
        <f>""</f>
        <v/>
      </c>
      <c r="F2523" t="str">
        <f>""</f>
        <v/>
      </c>
      <c r="H2523" t="str">
        <f t="shared" si="60"/>
        <v>BCBS PAYABLE</v>
      </c>
    </row>
    <row r="2524" spans="5:8" x14ac:dyDescent="0.25">
      <c r="E2524" t="str">
        <f>""</f>
        <v/>
      </c>
      <c r="F2524" t="str">
        <f>""</f>
        <v/>
      </c>
      <c r="H2524" t="str">
        <f t="shared" si="60"/>
        <v>BCBS PAYABLE</v>
      </c>
    </row>
    <row r="2525" spans="5:8" x14ac:dyDescent="0.25">
      <c r="E2525" t="str">
        <f>""</f>
        <v/>
      </c>
      <c r="F2525" t="str">
        <f>""</f>
        <v/>
      </c>
      <c r="H2525" t="str">
        <f t="shared" si="60"/>
        <v>BCBS PAYABLE</v>
      </c>
    </row>
    <row r="2526" spans="5:8" x14ac:dyDescent="0.25">
      <c r="E2526" t="str">
        <f>""</f>
        <v/>
      </c>
      <c r="F2526" t="str">
        <f>""</f>
        <v/>
      </c>
      <c r="H2526" t="str">
        <f t="shared" si="60"/>
        <v>BCBS PAYABLE</v>
      </c>
    </row>
    <row r="2527" spans="5:8" x14ac:dyDescent="0.25">
      <c r="E2527" t="str">
        <f>""</f>
        <v/>
      </c>
      <c r="F2527" t="str">
        <f>""</f>
        <v/>
      </c>
      <c r="H2527" t="str">
        <f t="shared" si="60"/>
        <v>BCBS PAYABLE</v>
      </c>
    </row>
    <row r="2528" spans="5:8" x14ac:dyDescent="0.25">
      <c r="E2528" t="str">
        <f>""</f>
        <v/>
      </c>
      <c r="F2528" t="str">
        <f>""</f>
        <v/>
      </c>
      <c r="H2528" t="str">
        <f t="shared" si="60"/>
        <v>BCBS PAYABLE</v>
      </c>
    </row>
    <row r="2529" spans="5:8" x14ac:dyDescent="0.25">
      <c r="E2529" t="str">
        <f>""</f>
        <v/>
      </c>
      <c r="F2529" t="str">
        <f>""</f>
        <v/>
      </c>
      <c r="H2529" t="str">
        <f t="shared" si="60"/>
        <v>BCBS PAYABLE</v>
      </c>
    </row>
    <row r="2530" spans="5:8" x14ac:dyDescent="0.25">
      <c r="E2530" t="str">
        <f>""</f>
        <v/>
      </c>
      <c r="F2530" t="str">
        <f>""</f>
        <v/>
      </c>
      <c r="H2530" t="str">
        <f t="shared" si="60"/>
        <v>BCBS PAYABLE</v>
      </c>
    </row>
    <row r="2531" spans="5:8" x14ac:dyDescent="0.25">
      <c r="E2531" t="str">
        <f>""</f>
        <v/>
      </c>
      <c r="F2531" t="str">
        <f>""</f>
        <v/>
      </c>
      <c r="H2531" t="str">
        <f t="shared" si="60"/>
        <v>BCBS PAYABLE</v>
      </c>
    </row>
    <row r="2532" spans="5:8" x14ac:dyDescent="0.25">
      <c r="E2532" t="str">
        <f>""</f>
        <v/>
      </c>
      <c r="F2532" t="str">
        <f>""</f>
        <v/>
      </c>
      <c r="H2532" t="str">
        <f t="shared" si="60"/>
        <v>BCBS PAYABLE</v>
      </c>
    </row>
    <row r="2533" spans="5:8" x14ac:dyDescent="0.25">
      <c r="E2533" t="str">
        <f>""</f>
        <v/>
      </c>
      <c r="F2533" t="str">
        <f>""</f>
        <v/>
      </c>
      <c r="H2533" t="str">
        <f t="shared" si="60"/>
        <v>BCBS PAYABLE</v>
      </c>
    </row>
    <row r="2534" spans="5:8" x14ac:dyDescent="0.25">
      <c r="E2534" t="str">
        <f>""</f>
        <v/>
      </c>
      <c r="F2534" t="str">
        <f>""</f>
        <v/>
      </c>
      <c r="H2534" t="str">
        <f t="shared" si="60"/>
        <v>BCBS PAYABLE</v>
      </c>
    </row>
    <row r="2535" spans="5:8" x14ac:dyDescent="0.25">
      <c r="E2535" t="str">
        <f>""</f>
        <v/>
      </c>
      <c r="F2535" t="str">
        <f>""</f>
        <v/>
      </c>
      <c r="H2535" t="str">
        <f t="shared" si="60"/>
        <v>BCBS PAYABLE</v>
      </c>
    </row>
    <row r="2536" spans="5:8" x14ac:dyDescent="0.25">
      <c r="E2536" t="str">
        <f>""</f>
        <v/>
      </c>
      <c r="F2536" t="str">
        <f>""</f>
        <v/>
      </c>
      <c r="H2536" t="str">
        <f t="shared" si="60"/>
        <v>BCBS PAYABLE</v>
      </c>
    </row>
    <row r="2537" spans="5:8" x14ac:dyDescent="0.25">
      <c r="E2537" t="str">
        <f>""</f>
        <v/>
      </c>
      <c r="F2537" t="str">
        <f>""</f>
        <v/>
      </c>
      <c r="H2537" t="str">
        <f t="shared" si="60"/>
        <v>BCBS PAYABLE</v>
      </c>
    </row>
    <row r="2538" spans="5:8" x14ac:dyDescent="0.25">
      <c r="E2538" t="str">
        <f>""</f>
        <v/>
      </c>
      <c r="F2538" t="str">
        <f>""</f>
        <v/>
      </c>
      <c r="H2538" t="str">
        <f t="shared" si="60"/>
        <v>BCBS PAYABLE</v>
      </c>
    </row>
    <row r="2539" spans="5:8" x14ac:dyDescent="0.25">
      <c r="E2539" t="str">
        <f>""</f>
        <v/>
      </c>
      <c r="F2539" t="str">
        <f>""</f>
        <v/>
      </c>
      <c r="H2539" t="str">
        <f t="shared" si="60"/>
        <v>BCBS PAYABLE</v>
      </c>
    </row>
    <row r="2540" spans="5:8" x14ac:dyDescent="0.25">
      <c r="E2540" t="str">
        <f>""</f>
        <v/>
      </c>
      <c r="F2540" t="str">
        <f>""</f>
        <v/>
      </c>
      <c r="H2540" t="str">
        <f t="shared" si="60"/>
        <v>BCBS PAYABLE</v>
      </c>
    </row>
    <row r="2541" spans="5:8" x14ac:dyDescent="0.25">
      <c r="E2541" t="str">
        <f>""</f>
        <v/>
      </c>
      <c r="F2541" t="str">
        <f>""</f>
        <v/>
      </c>
      <c r="H2541" t="str">
        <f t="shared" si="60"/>
        <v>BCBS PAYABLE</v>
      </c>
    </row>
    <row r="2542" spans="5:8" x14ac:dyDescent="0.25">
      <c r="E2542" t="str">
        <f>""</f>
        <v/>
      </c>
      <c r="F2542" t="str">
        <f>""</f>
        <v/>
      </c>
      <c r="H2542" t="str">
        <f t="shared" si="60"/>
        <v>BCBS PAYABLE</v>
      </c>
    </row>
    <row r="2543" spans="5:8" x14ac:dyDescent="0.25">
      <c r="E2543" t="str">
        <f>""</f>
        <v/>
      </c>
      <c r="F2543" t="str">
        <f>""</f>
        <v/>
      </c>
      <c r="H2543" t="str">
        <f t="shared" si="60"/>
        <v>BCBS PAYABLE</v>
      </c>
    </row>
    <row r="2544" spans="5:8" x14ac:dyDescent="0.25">
      <c r="E2544" t="str">
        <f>""</f>
        <v/>
      </c>
      <c r="F2544" t="str">
        <f>""</f>
        <v/>
      </c>
      <c r="H2544" t="str">
        <f t="shared" si="60"/>
        <v>BCBS PAYABLE</v>
      </c>
    </row>
    <row r="2545" spans="5:8" x14ac:dyDescent="0.25">
      <c r="E2545" t="str">
        <f>""</f>
        <v/>
      </c>
      <c r="F2545" t="str">
        <f>""</f>
        <v/>
      </c>
      <c r="H2545" t="str">
        <f t="shared" si="60"/>
        <v>BCBS PAYABLE</v>
      </c>
    </row>
    <row r="2546" spans="5:8" x14ac:dyDescent="0.25">
      <c r="E2546" t="str">
        <f>""</f>
        <v/>
      </c>
      <c r="F2546" t="str">
        <f>""</f>
        <v/>
      </c>
      <c r="H2546" t="str">
        <f t="shared" si="60"/>
        <v>BCBS PAYABLE</v>
      </c>
    </row>
    <row r="2547" spans="5:8" x14ac:dyDescent="0.25">
      <c r="E2547" t="str">
        <f>""</f>
        <v/>
      </c>
      <c r="F2547" t="str">
        <f>""</f>
        <v/>
      </c>
      <c r="H2547" t="str">
        <f t="shared" si="60"/>
        <v>BCBS PAYABLE</v>
      </c>
    </row>
    <row r="2548" spans="5:8" x14ac:dyDescent="0.25">
      <c r="E2548" t="str">
        <f>""</f>
        <v/>
      </c>
      <c r="F2548" t="str">
        <f>""</f>
        <v/>
      </c>
      <c r="H2548" t="str">
        <f t="shared" ref="H2548:H2580" si="61">"BCBS PAYABLE"</f>
        <v>BCBS PAYABLE</v>
      </c>
    </row>
    <row r="2549" spans="5:8" x14ac:dyDescent="0.25">
      <c r="E2549" t="str">
        <f>""</f>
        <v/>
      </c>
      <c r="F2549" t="str">
        <f>""</f>
        <v/>
      </c>
      <c r="H2549" t="str">
        <f t="shared" si="61"/>
        <v>BCBS PAYABLE</v>
      </c>
    </row>
    <row r="2550" spans="5:8" x14ac:dyDescent="0.25">
      <c r="E2550" t="str">
        <f>"2EO201906250103"</f>
        <v>2EO201906250103</v>
      </c>
      <c r="F2550" t="str">
        <f>"BCBS PAYABLE"</f>
        <v>BCBS PAYABLE</v>
      </c>
      <c r="G2550" s="2">
        <v>3792.96</v>
      </c>
      <c r="H2550" t="str">
        <f t="shared" si="61"/>
        <v>BCBS PAYABLE</v>
      </c>
    </row>
    <row r="2551" spans="5:8" x14ac:dyDescent="0.25">
      <c r="E2551" t="str">
        <f>"2ES201906119733"</f>
        <v>2ES201906119733</v>
      </c>
      <c r="F2551" t="str">
        <f>"BCBS PAYABLE"</f>
        <v>BCBS PAYABLE</v>
      </c>
      <c r="G2551" s="2">
        <v>14581.2</v>
      </c>
      <c r="H2551" t="str">
        <f t="shared" si="61"/>
        <v>BCBS PAYABLE</v>
      </c>
    </row>
    <row r="2552" spans="5:8" x14ac:dyDescent="0.25">
      <c r="E2552" t="str">
        <f>""</f>
        <v/>
      </c>
      <c r="F2552" t="str">
        <f>""</f>
        <v/>
      </c>
      <c r="H2552" t="str">
        <f t="shared" si="61"/>
        <v>BCBS PAYABLE</v>
      </c>
    </row>
    <row r="2553" spans="5:8" x14ac:dyDescent="0.25">
      <c r="E2553" t="str">
        <f>""</f>
        <v/>
      </c>
      <c r="F2553" t="str">
        <f>""</f>
        <v/>
      </c>
      <c r="H2553" t="str">
        <f t="shared" si="61"/>
        <v>BCBS PAYABLE</v>
      </c>
    </row>
    <row r="2554" spans="5:8" x14ac:dyDescent="0.25">
      <c r="E2554" t="str">
        <f>""</f>
        <v/>
      </c>
      <c r="F2554" t="str">
        <f>""</f>
        <v/>
      </c>
      <c r="H2554" t="str">
        <f t="shared" si="61"/>
        <v>BCBS PAYABLE</v>
      </c>
    </row>
    <row r="2555" spans="5:8" x14ac:dyDescent="0.25">
      <c r="E2555" t="str">
        <f>""</f>
        <v/>
      </c>
      <c r="F2555" t="str">
        <f>""</f>
        <v/>
      </c>
      <c r="H2555" t="str">
        <f t="shared" si="61"/>
        <v>BCBS PAYABLE</v>
      </c>
    </row>
    <row r="2556" spans="5:8" x14ac:dyDescent="0.25">
      <c r="E2556" t="str">
        <f>""</f>
        <v/>
      </c>
      <c r="F2556" t="str">
        <f>""</f>
        <v/>
      </c>
      <c r="H2556" t="str">
        <f t="shared" si="61"/>
        <v>BCBS PAYABLE</v>
      </c>
    </row>
    <row r="2557" spans="5:8" x14ac:dyDescent="0.25">
      <c r="E2557" t="str">
        <f>""</f>
        <v/>
      </c>
      <c r="F2557" t="str">
        <f>""</f>
        <v/>
      </c>
      <c r="H2557" t="str">
        <f t="shared" si="61"/>
        <v>BCBS PAYABLE</v>
      </c>
    </row>
    <row r="2558" spans="5:8" x14ac:dyDescent="0.25">
      <c r="E2558" t="str">
        <f>""</f>
        <v/>
      </c>
      <c r="F2558" t="str">
        <f>""</f>
        <v/>
      </c>
      <c r="H2558" t="str">
        <f t="shared" si="61"/>
        <v>BCBS PAYABLE</v>
      </c>
    </row>
    <row r="2559" spans="5:8" x14ac:dyDescent="0.25">
      <c r="E2559" t="str">
        <f>""</f>
        <v/>
      </c>
      <c r="F2559" t="str">
        <f>""</f>
        <v/>
      </c>
      <c r="H2559" t="str">
        <f t="shared" si="61"/>
        <v>BCBS PAYABLE</v>
      </c>
    </row>
    <row r="2560" spans="5:8" x14ac:dyDescent="0.25">
      <c r="E2560" t="str">
        <f>""</f>
        <v/>
      </c>
      <c r="F2560" t="str">
        <f>""</f>
        <v/>
      </c>
      <c r="H2560" t="str">
        <f t="shared" si="61"/>
        <v>BCBS PAYABLE</v>
      </c>
    </row>
    <row r="2561" spans="5:8" x14ac:dyDescent="0.25">
      <c r="E2561" t="str">
        <f>""</f>
        <v/>
      </c>
      <c r="F2561" t="str">
        <f>""</f>
        <v/>
      </c>
      <c r="H2561" t="str">
        <f t="shared" si="61"/>
        <v>BCBS PAYABLE</v>
      </c>
    </row>
    <row r="2562" spans="5:8" x14ac:dyDescent="0.25">
      <c r="E2562" t="str">
        <f>""</f>
        <v/>
      </c>
      <c r="F2562" t="str">
        <f>""</f>
        <v/>
      </c>
      <c r="H2562" t="str">
        <f t="shared" si="61"/>
        <v>BCBS PAYABLE</v>
      </c>
    </row>
    <row r="2563" spans="5:8" x14ac:dyDescent="0.25">
      <c r="E2563" t="str">
        <f>""</f>
        <v/>
      </c>
      <c r="F2563" t="str">
        <f>""</f>
        <v/>
      </c>
      <c r="H2563" t="str">
        <f t="shared" si="61"/>
        <v>BCBS PAYABLE</v>
      </c>
    </row>
    <row r="2564" spans="5:8" x14ac:dyDescent="0.25">
      <c r="E2564" t="str">
        <f>""</f>
        <v/>
      </c>
      <c r="F2564" t="str">
        <f>""</f>
        <v/>
      </c>
      <c r="H2564" t="str">
        <f t="shared" si="61"/>
        <v>BCBS PAYABLE</v>
      </c>
    </row>
    <row r="2565" spans="5:8" x14ac:dyDescent="0.25">
      <c r="E2565" t="str">
        <f>""</f>
        <v/>
      </c>
      <c r="F2565" t="str">
        <f>""</f>
        <v/>
      </c>
      <c r="H2565" t="str">
        <f t="shared" si="61"/>
        <v>BCBS PAYABLE</v>
      </c>
    </row>
    <row r="2566" spans="5:8" x14ac:dyDescent="0.25">
      <c r="E2566" t="str">
        <f>"2ES201906250102"</f>
        <v>2ES201906250102</v>
      </c>
      <c r="F2566" t="str">
        <f>"BCBS PAYABLE"</f>
        <v>BCBS PAYABLE</v>
      </c>
      <c r="G2566" s="2">
        <v>14581.2</v>
      </c>
      <c r="H2566" t="str">
        <f t="shared" si="61"/>
        <v>BCBS PAYABLE</v>
      </c>
    </row>
    <row r="2567" spans="5:8" x14ac:dyDescent="0.25">
      <c r="E2567" t="str">
        <f>""</f>
        <v/>
      </c>
      <c r="F2567" t="str">
        <f>""</f>
        <v/>
      </c>
      <c r="H2567" t="str">
        <f t="shared" si="61"/>
        <v>BCBS PAYABLE</v>
      </c>
    </row>
    <row r="2568" spans="5:8" x14ac:dyDescent="0.25">
      <c r="E2568" t="str">
        <f>""</f>
        <v/>
      </c>
      <c r="F2568" t="str">
        <f>""</f>
        <v/>
      </c>
      <c r="H2568" t="str">
        <f t="shared" si="61"/>
        <v>BCBS PAYABLE</v>
      </c>
    </row>
    <row r="2569" spans="5:8" x14ac:dyDescent="0.25">
      <c r="E2569" t="str">
        <f>""</f>
        <v/>
      </c>
      <c r="F2569" t="str">
        <f>""</f>
        <v/>
      </c>
      <c r="H2569" t="str">
        <f t="shared" si="61"/>
        <v>BCBS PAYABLE</v>
      </c>
    </row>
    <row r="2570" spans="5:8" x14ac:dyDescent="0.25">
      <c r="E2570" t="str">
        <f>""</f>
        <v/>
      </c>
      <c r="F2570" t="str">
        <f>""</f>
        <v/>
      </c>
      <c r="H2570" t="str">
        <f t="shared" si="61"/>
        <v>BCBS PAYABLE</v>
      </c>
    </row>
    <row r="2571" spans="5:8" x14ac:dyDescent="0.25">
      <c r="E2571" t="str">
        <f>""</f>
        <v/>
      </c>
      <c r="F2571" t="str">
        <f>""</f>
        <v/>
      </c>
      <c r="H2571" t="str">
        <f t="shared" si="61"/>
        <v>BCBS PAYABLE</v>
      </c>
    </row>
    <row r="2572" spans="5:8" x14ac:dyDescent="0.25">
      <c r="E2572" t="str">
        <f>""</f>
        <v/>
      </c>
      <c r="F2572" t="str">
        <f>""</f>
        <v/>
      </c>
      <c r="H2572" t="str">
        <f t="shared" si="61"/>
        <v>BCBS PAYABLE</v>
      </c>
    </row>
    <row r="2573" spans="5:8" x14ac:dyDescent="0.25">
      <c r="E2573" t="str">
        <f>""</f>
        <v/>
      </c>
      <c r="F2573" t="str">
        <f>""</f>
        <v/>
      </c>
      <c r="H2573" t="str">
        <f t="shared" si="61"/>
        <v>BCBS PAYABLE</v>
      </c>
    </row>
    <row r="2574" spans="5:8" x14ac:dyDescent="0.25">
      <c r="E2574" t="str">
        <f>""</f>
        <v/>
      </c>
      <c r="F2574" t="str">
        <f>""</f>
        <v/>
      </c>
      <c r="H2574" t="str">
        <f t="shared" si="61"/>
        <v>BCBS PAYABLE</v>
      </c>
    </row>
    <row r="2575" spans="5:8" x14ac:dyDescent="0.25">
      <c r="E2575" t="str">
        <f>""</f>
        <v/>
      </c>
      <c r="F2575" t="str">
        <f>""</f>
        <v/>
      </c>
      <c r="H2575" t="str">
        <f t="shared" si="61"/>
        <v>BCBS PAYABLE</v>
      </c>
    </row>
    <row r="2576" spans="5:8" x14ac:dyDescent="0.25">
      <c r="E2576" t="str">
        <f>""</f>
        <v/>
      </c>
      <c r="F2576" t="str">
        <f>""</f>
        <v/>
      </c>
      <c r="H2576" t="str">
        <f t="shared" si="61"/>
        <v>BCBS PAYABLE</v>
      </c>
    </row>
    <row r="2577" spans="1:8" x14ac:dyDescent="0.25">
      <c r="E2577" t="str">
        <f>""</f>
        <v/>
      </c>
      <c r="F2577" t="str">
        <f>""</f>
        <v/>
      </c>
      <c r="H2577" t="str">
        <f t="shared" si="61"/>
        <v>BCBS PAYABLE</v>
      </c>
    </row>
    <row r="2578" spans="1:8" x14ac:dyDescent="0.25">
      <c r="E2578" t="str">
        <f>""</f>
        <v/>
      </c>
      <c r="F2578" t="str">
        <f>""</f>
        <v/>
      </c>
      <c r="H2578" t="str">
        <f t="shared" si="61"/>
        <v>BCBS PAYABLE</v>
      </c>
    </row>
    <row r="2579" spans="1:8" x14ac:dyDescent="0.25">
      <c r="E2579" t="str">
        <f>""</f>
        <v/>
      </c>
      <c r="F2579" t="str">
        <f>""</f>
        <v/>
      </c>
      <c r="H2579" t="str">
        <f t="shared" si="61"/>
        <v>BCBS PAYABLE</v>
      </c>
    </row>
    <row r="2580" spans="1:8" x14ac:dyDescent="0.25">
      <c r="E2580" t="str">
        <f>""</f>
        <v/>
      </c>
      <c r="F2580" t="str">
        <f>""</f>
        <v/>
      </c>
      <c r="H2580" t="str">
        <f t="shared" si="61"/>
        <v>BCBS PAYABLE</v>
      </c>
    </row>
    <row r="2581" spans="1:8" x14ac:dyDescent="0.25">
      <c r="A2581" t="s">
        <v>450</v>
      </c>
      <c r="B2581">
        <v>47531</v>
      </c>
      <c r="C2581" s="2">
        <v>15386.6</v>
      </c>
      <c r="D2581" s="1">
        <v>43644</v>
      </c>
      <c r="E2581" t="str">
        <f>"201906270125"</f>
        <v>201906270125</v>
      </c>
      <c r="F2581" t="str">
        <f>"RETIREE JUNE 2019"</f>
        <v>RETIREE JUNE 2019</v>
      </c>
      <c r="G2581" s="2">
        <v>15386.6</v>
      </c>
      <c r="H2581" t="str">
        <f>"TAC HEALTH BENEFITS POOL"</f>
        <v>TAC HEALTH BENEFITS POOL</v>
      </c>
    </row>
    <row r="2582" spans="1:8" x14ac:dyDescent="0.25">
      <c r="A2582" t="s">
        <v>451</v>
      </c>
      <c r="B2582">
        <v>150</v>
      </c>
      <c r="C2582" s="2">
        <v>10347.379999999999</v>
      </c>
      <c r="D2582" s="1">
        <v>43630</v>
      </c>
      <c r="E2582" t="str">
        <f>"FSA201906119733"</f>
        <v>FSA201906119733</v>
      </c>
      <c r="F2582" t="str">
        <f>"TASC FSA"</f>
        <v>TASC FSA</v>
      </c>
      <c r="G2582" s="2">
        <v>7289.85</v>
      </c>
      <c r="H2582" t="str">
        <f>"TASC FSA"</f>
        <v>TASC FSA</v>
      </c>
    </row>
    <row r="2583" spans="1:8" x14ac:dyDescent="0.25">
      <c r="E2583" t="str">
        <f>"FSA201906119734"</f>
        <v>FSA201906119734</v>
      </c>
      <c r="F2583" t="str">
        <f>"TASC FSA"</f>
        <v>TASC FSA</v>
      </c>
      <c r="G2583" s="2">
        <v>550.05999999999995</v>
      </c>
      <c r="H2583" t="str">
        <f>"TASC FSA"</f>
        <v>TASC FSA</v>
      </c>
    </row>
    <row r="2584" spans="1:8" x14ac:dyDescent="0.25">
      <c r="E2584" t="str">
        <f>"FSC201906119733"</f>
        <v>FSC201906119733</v>
      </c>
      <c r="F2584" t="str">
        <f>"TASC DEPENDENT CARE"</f>
        <v>TASC DEPENDENT CARE</v>
      </c>
      <c r="G2584" s="2">
        <v>513.96</v>
      </c>
      <c r="H2584" t="str">
        <f>"TASC DEPENDENT CARE"</f>
        <v>TASC DEPENDENT CARE</v>
      </c>
    </row>
    <row r="2585" spans="1:8" x14ac:dyDescent="0.25">
      <c r="E2585" t="str">
        <f>"FSF201906119733"</f>
        <v>FSF201906119733</v>
      </c>
      <c r="F2585" t="str">
        <f>"TASC - FSA  FEES"</f>
        <v>TASC - FSA  FEES</v>
      </c>
      <c r="G2585" s="2">
        <v>253.8</v>
      </c>
      <c r="H2585" t="str">
        <f t="shared" ref="H2585:H2623" si="62">"TASC - FSA  FEES"</f>
        <v>TASC - FSA  FEES</v>
      </c>
    </row>
    <row r="2586" spans="1:8" x14ac:dyDescent="0.25">
      <c r="E2586" t="str">
        <f>""</f>
        <v/>
      </c>
      <c r="F2586" t="str">
        <f>""</f>
        <v/>
      </c>
      <c r="H2586" t="str">
        <f t="shared" si="62"/>
        <v>TASC - FSA  FEES</v>
      </c>
    </row>
    <row r="2587" spans="1:8" x14ac:dyDescent="0.25">
      <c r="E2587" t="str">
        <f>""</f>
        <v/>
      </c>
      <c r="F2587" t="str">
        <f>""</f>
        <v/>
      </c>
      <c r="H2587" t="str">
        <f t="shared" si="62"/>
        <v>TASC - FSA  FEES</v>
      </c>
    </row>
    <row r="2588" spans="1:8" x14ac:dyDescent="0.25">
      <c r="E2588" t="str">
        <f>""</f>
        <v/>
      </c>
      <c r="F2588" t="str">
        <f>""</f>
        <v/>
      </c>
      <c r="H2588" t="str">
        <f t="shared" si="62"/>
        <v>TASC - FSA  FEES</v>
      </c>
    </row>
    <row r="2589" spans="1:8" x14ac:dyDescent="0.25">
      <c r="E2589" t="str">
        <f>""</f>
        <v/>
      </c>
      <c r="F2589" t="str">
        <f>""</f>
        <v/>
      </c>
      <c r="H2589" t="str">
        <f t="shared" si="62"/>
        <v>TASC - FSA  FEES</v>
      </c>
    </row>
    <row r="2590" spans="1:8" x14ac:dyDescent="0.25">
      <c r="E2590" t="str">
        <f>""</f>
        <v/>
      </c>
      <c r="F2590" t="str">
        <f>""</f>
        <v/>
      </c>
      <c r="H2590" t="str">
        <f t="shared" si="62"/>
        <v>TASC - FSA  FEES</v>
      </c>
    </row>
    <row r="2591" spans="1:8" x14ac:dyDescent="0.25">
      <c r="E2591" t="str">
        <f>""</f>
        <v/>
      </c>
      <c r="F2591" t="str">
        <f>""</f>
        <v/>
      </c>
      <c r="H2591" t="str">
        <f t="shared" si="62"/>
        <v>TASC - FSA  FEES</v>
      </c>
    </row>
    <row r="2592" spans="1:8" x14ac:dyDescent="0.25">
      <c r="E2592" t="str">
        <f>""</f>
        <v/>
      </c>
      <c r="F2592" t="str">
        <f>""</f>
        <v/>
      </c>
      <c r="H2592" t="str">
        <f t="shared" si="62"/>
        <v>TASC - FSA  FEES</v>
      </c>
    </row>
    <row r="2593" spans="5:8" x14ac:dyDescent="0.25">
      <c r="E2593" t="str">
        <f>""</f>
        <v/>
      </c>
      <c r="F2593" t="str">
        <f>""</f>
        <v/>
      </c>
      <c r="H2593" t="str">
        <f t="shared" si="62"/>
        <v>TASC - FSA  FEES</v>
      </c>
    </row>
    <row r="2594" spans="5:8" x14ac:dyDescent="0.25">
      <c r="E2594" t="str">
        <f>""</f>
        <v/>
      </c>
      <c r="F2594" t="str">
        <f>""</f>
        <v/>
      </c>
      <c r="H2594" t="str">
        <f t="shared" si="62"/>
        <v>TASC - FSA  FEES</v>
      </c>
    </row>
    <row r="2595" spans="5:8" x14ac:dyDescent="0.25">
      <c r="E2595" t="str">
        <f>""</f>
        <v/>
      </c>
      <c r="F2595" t="str">
        <f>""</f>
        <v/>
      </c>
      <c r="H2595" t="str">
        <f t="shared" si="62"/>
        <v>TASC - FSA  FEES</v>
      </c>
    </row>
    <row r="2596" spans="5:8" x14ac:dyDescent="0.25">
      <c r="E2596" t="str">
        <f>""</f>
        <v/>
      </c>
      <c r="F2596" t="str">
        <f>""</f>
        <v/>
      </c>
      <c r="H2596" t="str">
        <f t="shared" si="62"/>
        <v>TASC - FSA  FEES</v>
      </c>
    </row>
    <row r="2597" spans="5:8" x14ac:dyDescent="0.25">
      <c r="E2597" t="str">
        <f>""</f>
        <v/>
      </c>
      <c r="F2597" t="str">
        <f>""</f>
        <v/>
      </c>
      <c r="H2597" t="str">
        <f t="shared" si="62"/>
        <v>TASC - FSA  FEES</v>
      </c>
    </row>
    <row r="2598" spans="5:8" x14ac:dyDescent="0.25">
      <c r="E2598" t="str">
        <f>""</f>
        <v/>
      </c>
      <c r="F2598" t="str">
        <f>""</f>
        <v/>
      </c>
      <c r="H2598" t="str">
        <f t="shared" si="62"/>
        <v>TASC - FSA  FEES</v>
      </c>
    </row>
    <row r="2599" spans="5:8" x14ac:dyDescent="0.25">
      <c r="E2599" t="str">
        <f>""</f>
        <v/>
      </c>
      <c r="F2599" t="str">
        <f>""</f>
        <v/>
      </c>
      <c r="H2599" t="str">
        <f t="shared" si="62"/>
        <v>TASC - FSA  FEES</v>
      </c>
    </row>
    <row r="2600" spans="5:8" x14ac:dyDescent="0.25">
      <c r="E2600" t="str">
        <f>""</f>
        <v/>
      </c>
      <c r="F2600" t="str">
        <f>""</f>
        <v/>
      </c>
      <c r="H2600" t="str">
        <f t="shared" si="62"/>
        <v>TASC - FSA  FEES</v>
      </c>
    </row>
    <row r="2601" spans="5:8" x14ac:dyDescent="0.25">
      <c r="E2601" t="str">
        <f>""</f>
        <v/>
      </c>
      <c r="F2601" t="str">
        <f>""</f>
        <v/>
      </c>
      <c r="H2601" t="str">
        <f t="shared" si="62"/>
        <v>TASC - FSA  FEES</v>
      </c>
    </row>
    <row r="2602" spans="5:8" x14ac:dyDescent="0.25">
      <c r="E2602" t="str">
        <f>""</f>
        <v/>
      </c>
      <c r="F2602" t="str">
        <f>""</f>
        <v/>
      </c>
      <c r="H2602" t="str">
        <f t="shared" si="62"/>
        <v>TASC - FSA  FEES</v>
      </c>
    </row>
    <row r="2603" spans="5:8" x14ac:dyDescent="0.25">
      <c r="E2603" t="str">
        <f>""</f>
        <v/>
      </c>
      <c r="F2603" t="str">
        <f>""</f>
        <v/>
      </c>
      <c r="H2603" t="str">
        <f t="shared" si="62"/>
        <v>TASC - FSA  FEES</v>
      </c>
    </row>
    <row r="2604" spans="5:8" x14ac:dyDescent="0.25">
      <c r="E2604" t="str">
        <f>""</f>
        <v/>
      </c>
      <c r="F2604" t="str">
        <f>""</f>
        <v/>
      </c>
      <c r="H2604" t="str">
        <f t="shared" si="62"/>
        <v>TASC - FSA  FEES</v>
      </c>
    </row>
    <row r="2605" spans="5:8" x14ac:dyDescent="0.25">
      <c r="E2605" t="str">
        <f>""</f>
        <v/>
      </c>
      <c r="F2605" t="str">
        <f>""</f>
        <v/>
      </c>
      <c r="H2605" t="str">
        <f t="shared" si="62"/>
        <v>TASC - FSA  FEES</v>
      </c>
    </row>
    <row r="2606" spans="5:8" x14ac:dyDescent="0.25">
      <c r="E2606" t="str">
        <f>""</f>
        <v/>
      </c>
      <c r="F2606" t="str">
        <f>""</f>
        <v/>
      </c>
      <c r="H2606" t="str">
        <f t="shared" si="62"/>
        <v>TASC - FSA  FEES</v>
      </c>
    </row>
    <row r="2607" spans="5:8" x14ac:dyDescent="0.25">
      <c r="E2607" t="str">
        <f>""</f>
        <v/>
      </c>
      <c r="F2607" t="str">
        <f>""</f>
        <v/>
      </c>
      <c r="H2607" t="str">
        <f t="shared" si="62"/>
        <v>TASC - FSA  FEES</v>
      </c>
    </row>
    <row r="2608" spans="5:8" x14ac:dyDescent="0.25">
      <c r="E2608" t="str">
        <f>""</f>
        <v/>
      </c>
      <c r="F2608" t="str">
        <f>""</f>
        <v/>
      </c>
      <c r="H2608" t="str">
        <f t="shared" si="62"/>
        <v>TASC - FSA  FEES</v>
      </c>
    </row>
    <row r="2609" spans="5:8" x14ac:dyDescent="0.25">
      <c r="E2609" t="str">
        <f>""</f>
        <v/>
      </c>
      <c r="F2609" t="str">
        <f>""</f>
        <v/>
      </c>
      <c r="H2609" t="str">
        <f t="shared" si="62"/>
        <v>TASC - FSA  FEES</v>
      </c>
    </row>
    <row r="2610" spans="5:8" x14ac:dyDescent="0.25">
      <c r="E2610" t="str">
        <f>""</f>
        <v/>
      </c>
      <c r="F2610" t="str">
        <f>""</f>
        <v/>
      </c>
      <c r="H2610" t="str">
        <f t="shared" si="62"/>
        <v>TASC - FSA  FEES</v>
      </c>
    </row>
    <row r="2611" spans="5:8" x14ac:dyDescent="0.25">
      <c r="E2611" t="str">
        <f>""</f>
        <v/>
      </c>
      <c r="F2611" t="str">
        <f>""</f>
        <v/>
      </c>
      <c r="H2611" t="str">
        <f t="shared" si="62"/>
        <v>TASC - FSA  FEES</v>
      </c>
    </row>
    <row r="2612" spans="5:8" x14ac:dyDescent="0.25">
      <c r="E2612" t="str">
        <f>""</f>
        <v/>
      </c>
      <c r="F2612" t="str">
        <f>""</f>
        <v/>
      </c>
      <c r="H2612" t="str">
        <f t="shared" si="62"/>
        <v>TASC - FSA  FEES</v>
      </c>
    </row>
    <row r="2613" spans="5:8" x14ac:dyDescent="0.25">
      <c r="E2613" t="str">
        <f>""</f>
        <v/>
      </c>
      <c r="F2613" t="str">
        <f>""</f>
        <v/>
      </c>
      <c r="H2613" t="str">
        <f t="shared" si="62"/>
        <v>TASC - FSA  FEES</v>
      </c>
    </row>
    <row r="2614" spans="5:8" x14ac:dyDescent="0.25">
      <c r="E2614" t="str">
        <f>""</f>
        <v/>
      </c>
      <c r="F2614" t="str">
        <f>""</f>
        <v/>
      </c>
      <c r="H2614" t="str">
        <f t="shared" si="62"/>
        <v>TASC - FSA  FEES</v>
      </c>
    </row>
    <row r="2615" spans="5:8" x14ac:dyDescent="0.25">
      <c r="E2615" t="str">
        <f>""</f>
        <v/>
      </c>
      <c r="F2615" t="str">
        <f>""</f>
        <v/>
      </c>
      <c r="H2615" t="str">
        <f t="shared" si="62"/>
        <v>TASC - FSA  FEES</v>
      </c>
    </row>
    <row r="2616" spans="5:8" x14ac:dyDescent="0.25">
      <c r="E2616" t="str">
        <f>""</f>
        <v/>
      </c>
      <c r="F2616" t="str">
        <f>""</f>
        <v/>
      </c>
      <c r="H2616" t="str">
        <f t="shared" si="62"/>
        <v>TASC - FSA  FEES</v>
      </c>
    </row>
    <row r="2617" spans="5:8" x14ac:dyDescent="0.25">
      <c r="E2617" t="str">
        <f>""</f>
        <v/>
      </c>
      <c r="F2617" t="str">
        <f>""</f>
        <v/>
      </c>
      <c r="H2617" t="str">
        <f t="shared" si="62"/>
        <v>TASC - FSA  FEES</v>
      </c>
    </row>
    <row r="2618" spans="5:8" x14ac:dyDescent="0.25">
      <c r="E2618" t="str">
        <f>""</f>
        <v/>
      </c>
      <c r="F2618" t="str">
        <f>""</f>
        <v/>
      </c>
      <c r="H2618" t="str">
        <f t="shared" si="62"/>
        <v>TASC - FSA  FEES</v>
      </c>
    </row>
    <row r="2619" spans="5:8" x14ac:dyDescent="0.25">
      <c r="E2619" t="str">
        <f>""</f>
        <v/>
      </c>
      <c r="F2619" t="str">
        <f>""</f>
        <v/>
      </c>
      <c r="H2619" t="str">
        <f t="shared" si="62"/>
        <v>TASC - FSA  FEES</v>
      </c>
    </row>
    <row r="2620" spans="5:8" x14ac:dyDescent="0.25">
      <c r="E2620" t="str">
        <f>""</f>
        <v/>
      </c>
      <c r="F2620" t="str">
        <f>""</f>
        <v/>
      </c>
      <c r="H2620" t="str">
        <f t="shared" si="62"/>
        <v>TASC - FSA  FEES</v>
      </c>
    </row>
    <row r="2621" spans="5:8" x14ac:dyDescent="0.25">
      <c r="E2621" t="str">
        <f>""</f>
        <v/>
      </c>
      <c r="F2621" t="str">
        <f>""</f>
        <v/>
      </c>
      <c r="H2621" t="str">
        <f t="shared" si="62"/>
        <v>TASC - FSA  FEES</v>
      </c>
    </row>
    <row r="2622" spans="5:8" x14ac:dyDescent="0.25">
      <c r="E2622" t="str">
        <f>""</f>
        <v/>
      </c>
      <c r="F2622" t="str">
        <f>""</f>
        <v/>
      </c>
      <c r="H2622" t="str">
        <f t="shared" si="62"/>
        <v>TASC - FSA  FEES</v>
      </c>
    </row>
    <row r="2623" spans="5:8" x14ac:dyDescent="0.25">
      <c r="E2623" t="str">
        <f>"FSF201906119734"</f>
        <v>FSF201906119734</v>
      </c>
      <c r="F2623" t="str">
        <f>"TASC - FSA  FEES"</f>
        <v>TASC - FSA  FEES</v>
      </c>
      <c r="G2623" s="2">
        <v>12.6</v>
      </c>
      <c r="H2623" t="str">
        <f t="shared" si="62"/>
        <v>TASC - FSA  FEES</v>
      </c>
    </row>
    <row r="2624" spans="5:8" x14ac:dyDescent="0.25">
      <c r="E2624" t="str">
        <f>"HRA201906119733"</f>
        <v>HRA201906119733</v>
      </c>
      <c r="F2624" t="str">
        <f>"TASC HRA"</f>
        <v>TASC HRA</v>
      </c>
      <c r="G2624" s="2">
        <v>933.31</v>
      </c>
      <c r="H2624" t="str">
        <f t="shared" ref="H2624:H2630" si="63">"TASC HRA"</f>
        <v>TASC HRA</v>
      </c>
    </row>
    <row r="2625" spans="5:8" x14ac:dyDescent="0.25">
      <c r="E2625" t="str">
        <f>""</f>
        <v/>
      </c>
      <c r="F2625" t="str">
        <f>""</f>
        <v/>
      </c>
      <c r="H2625" t="str">
        <f t="shared" si="63"/>
        <v>TASC HRA</v>
      </c>
    </row>
    <row r="2626" spans="5:8" x14ac:dyDescent="0.25">
      <c r="E2626" t="str">
        <f>""</f>
        <v/>
      </c>
      <c r="F2626" t="str">
        <f>""</f>
        <v/>
      </c>
      <c r="H2626" t="str">
        <f t="shared" si="63"/>
        <v>TASC HRA</v>
      </c>
    </row>
    <row r="2627" spans="5:8" x14ac:dyDescent="0.25">
      <c r="E2627" t="str">
        <f>""</f>
        <v/>
      </c>
      <c r="F2627" t="str">
        <f>""</f>
        <v/>
      </c>
      <c r="H2627" t="str">
        <f t="shared" si="63"/>
        <v>TASC HRA</v>
      </c>
    </row>
    <row r="2628" spans="5:8" x14ac:dyDescent="0.25">
      <c r="E2628" t="str">
        <f>""</f>
        <v/>
      </c>
      <c r="F2628" t="str">
        <f>""</f>
        <v/>
      </c>
      <c r="H2628" t="str">
        <f t="shared" si="63"/>
        <v>TASC HRA</v>
      </c>
    </row>
    <row r="2629" spans="5:8" x14ac:dyDescent="0.25">
      <c r="E2629" t="str">
        <f>""</f>
        <v/>
      </c>
      <c r="F2629" t="str">
        <f>""</f>
        <v/>
      </c>
      <c r="H2629" t="str">
        <f t="shared" si="63"/>
        <v>TASC HRA</v>
      </c>
    </row>
    <row r="2630" spans="5:8" x14ac:dyDescent="0.25">
      <c r="E2630" t="str">
        <f>""</f>
        <v/>
      </c>
      <c r="F2630" t="str">
        <f>""</f>
        <v/>
      </c>
      <c r="H2630" t="str">
        <f t="shared" si="63"/>
        <v>TASC HRA</v>
      </c>
    </row>
    <row r="2631" spans="5:8" x14ac:dyDescent="0.25">
      <c r="E2631" t="str">
        <f>"HRF201906119733"</f>
        <v>HRF201906119733</v>
      </c>
      <c r="F2631" t="str">
        <f>"TASC - HRA FEES"</f>
        <v>TASC - HRA FEES</v>
      </c>
      <c r="G2631" s="2">
        <v>765</v>
      </c>
      <c r="H2631" t="str">
        <f t="shared" ref="H2631:H2662" si="64">"TASC - HRA FEES"</f>
        <v>TASC - HRA FEES</v>
      </c>
    </row>
    <row r="2632" spans="5:8" x14ac:dyDescent="0.25">
      <c r="E2632" t="str">
        <f>""</f>
        <v/>
      </c>
      <c r="F2632" t="str">
        <f>""</f>
        <v/>
      </c>
      <c r="H2632" t="str">
        <f t="shared" si="64"/>
        <v>TASC - HRA FEES</v>
      </c>
    </row>
    <row r="2633" spans="5:8" x14ac:dyDescent="0.25">
      <c r="E2633" t="str">
        <f>""</f>
        <v/>
      </c>
      <c r="F2633" t="str">
        <f>""</f>
        <v/>
      </c>
      <c r="H2633" t="str">
        <f t="shared" si="64"/>
        <v>TASC - HRA FEES</v>
      </c>
    </row>
    <row r="2634" spans="5:8" x14ac:dyDescent="0.25">
      <c r="E2634" t="str">
        <f>""</f>
        <v/>
      </c>
      <c r="F2634" t="str">
        <f>""</f>
        <v/>
      </c>
      <c r="H2634" t="str">
        <f t="shared" si="64"/>
        <v>TASC - HRA FEES</v>
      </c>
    </row>
    <row r="2635" spans="5:8" x14ac:dyDescent="0.25">
      <c r="E2635" t="str">
        <f>""</f>
        <v/>
      </c>
      <c r="F2635" t="str">
        <f>""</f>
        <v/>
      </c>
      <c r="H2635" t="str">
        <f t="shared" si="64"/>
        <v>TASC - HRA FEES</v>
      </c>
    </row>
    <row r="2636" spans="5:8" x14ac:dyDescent="0.25">
      <c r="E2636" t="str">
        <f>""</f>
        <v/>
      </c>
      <c r="F2636" t="str">
        <f>""</f>
        <v/>
      </c>
      <c r="H2636" t="str">
        <f t="shared" si="64"/>
        <v>TASC - HRA FEES</v>
      </c>
    </row>
    <row r="2637" spans="5:8" x14ac:dyDescent="0.25">
      <c r="E2637" t="str">
        <f>""</f>
        <v/>
      </c>
      <c r="F2637" t="str">
        <f>""</f>
        <v/>
      </c>
      <c r="H2637" t="str">
        <f t="shared" si="64"/>
        <v>TASC - HRA FEES</v>
      </c>
    </row>
    <row r="2638" spans="5:8" x14ac:dyDescent="0.25">
      <c r="E2638" t="str">
        <f>""</f>
        <v/>
      </c>
      <c r="F2638" t="str">
        <f>""</f>
        <v/>
      </c>
      <c r="H2638" t="str">
        <f t="shared" si="64"/>
        <v>TASC - HRA FEES</v>
      </c>
    </row>
    <row r="2639" spans="5:8" x14ac:dyDescent="0.25">
      <c r="E2639" t="str">
        <f>""</f>
        <v/>
      </c>
      <c r="F2639" t="str">
        <f>""</f>
        <v/>
      </c>
      <c r="H2639" t="str">
        <f t="shared" si="64"/>
        <v>TASC - HRA FEES</v>
      </c>
    </row>
    <row r="2640" spans="5:8" x14ac:dyDescent="0.25">
      <c r="E2640" t="str">
        <f>""</f>
        <v/>
      </c>
      <c r="F2640" t="str">
        <f>""</f>
        <v/>
      </c>
      <c r="H2640" t="str">
        <f t="shared" si="64"/>
        <v>TASC - HRA FEES</v>
      </c>
    </row>
    <row r="2641" spans="5:8" x14ac:dyDescent="0.25">
      <c r="E2641" t="str">
        <f>""</f>
        <v/>
      </c>
      <c r="F2641" t="str">
        <f>""</f>
        <v/>
      </c>
      <c r="H2641" t="str">
        <f t="shared" si="64"/>
        <v>TASC - HRA FEES</v>
      </c>
    </row>
    <row r="2642" spans="5:8" x14ac:dyDescent="0.25">
      <c r="E2642" t="str">
        <f>""</f>
        <v/>
      </c>
      <c r="F2642" t="str">
        <f>""</f>
        <v/>
      </c>
      <c r="H2642" t="str">
        <f t="shared" si="64"/>
        <v>TASC - HRA FEES</v>
      </c>
    </row>
    <row r="2643" spans="5:8" x14ac:dyDescent="0.25">
      <c r="E2643" t="str">
        <f>""</f>
        <v/>
      </c>
      <c r="F2643" t="str">
        <f>""</f>
        <v/>
      </c>
      <c r="H2643" t="str">
        <f t="shared" si="64"/>
        <v>TASC - HRA FEES</v>
      </c>
    </row>
    <row r="2644" spans="5:8" x14ac:dyDescent="0.25">
      <c r="E2644" t="str">
        <f>""</f>
        <v/>
      </c>
      <c r="F2644" t="str">
        <f>""</f>
        <v/>
      </c>
      <c r="H2644" t="str">
        <f t="shared" si="64"/>
        <v>TASC - HRA FEES</v>
      </c>
    </row>
    <row r="2645" spans="5:8" x14ac:dyDescent="0.25">
      <c r="E2645" t="str">
        <f>""</f>
        <v/>
      </c>
      <c r="F2645" t="str">
        <f>""</f>
        <v/>
      </c>
      <c r="H2645" t="str">
        <f t="shared" si="64"/>
        <v>TASC - HRA FEES</v>
      </c>
    </row>
    <row r="2646" spans="5:8" x14ac:dyDescent="0.25">
      <c r="E2646" t="str">
        <f>""</f>
        <v/>
      </c>
      <c r="F2646" t="str">
        <f>""</f>
        <v/>
      </c>
      <c r="H2646" t="str">
        <f t="shared" si="64"/>
        <v>TASC - HRA FEES</v>
      </c>
    </row>
    <row r="2647" spans="5:8" x14ac:dyDescent="0.25">
      <c r="E2647" t="str">
        <f>""</f>
        <v/>
      </c>
      <c r="F2647" t="str">
        <f>""</f>
        <v/>
      </c>
      <c r="H2647" t="str">
        <f t="shared" si="64"/>
        <v>TASC - HRA FEES</v>
      </c>
    </row>
    <row r="2648" spans="5:8" x14ac:dyDescent="0.25">
      <c r="E2648" t="str">
        <f>""</f>
        <v/>
      </c>
      <c r="F2648" t="str">
        <f>""</f>
        <v/>
      </c>
      <c r="H2648" t="str">
        <f t="shared" si="64"/>
        <v>TASC - HRA FEES</v>
      </c>
    </row>
    <row r="2649" spans="5:8" x14ac:dyDescent="0.25">
      <c r="E2649" t="str">
        <f>""</f>
        <v/>
      </c>
      <c r="F2649" t="str">
        <f>""</f>
        <v/>
      </c>
      <c r="H2649" t="str">
        <f t="shared" si="64"/>
        <v>TASC - HRA FEES</v>
      </c>
    </row>
    <row r="2650" spans="5:8" x14ac:dyDescent="0.25">
      <c r="E2650" t="str">
        <f>""</f>
        <v/>
      </c>
      <c r="F2650" t="str">
        <f>""</f>
        <v/>
      </c>
      <c r="H2650" t="str">
        <f t="shared" si="64"/>
        <v>TASC - HRA FEES</v>
      </c>
    </row>
    <row r="2651" spans="5:8" x14ac:dyDescent="0.25">
      <c r="E2651" t="str">
        <f>""</f>
        <v/>
      </c>
      <c r="F2651" t="str">
        <f>""</f>
        <v/>
      </c>
      <c r="H2651" t="str">
        <f t="shared" si="64"/>
        <v>TASC - HRA FEES</v>
      </c>
    </row>
    <row r="2652" spans="5:8" x14ac:dyDescent="0.25">
      <c r="E2652" t="str">
        <f>""</f>
        <v/>
      </c>
      <c r="F2652" t="str">
        <f>""</f>
        <v/>
      </c>
      <c r="H2652" t="str">
        <f t="shared" si="64"/>
        <v>TASC - HRA FEES</v>
      </c>
    </row>
    <row r="2653" spans="5:8" x14ac:dyDescent="0.25">
      <c r="E2653" t="str">
        <f>""</f>
        <v/>
      </c>
      <c r="F2653" t="str">
        <f>""</f>
        <v/>
      </c>
      <c r="H2653" t="str">
        <f t="shared" si="64"/>
        <v>TASC - HRA FEES</v>
      </c>
    </row>
    <row r="2654" spans="5:8" x14ac:dyDescent="0.25">
      <c r="E2654" t="str">
        <f>""</f>
        <v/>
      </c>
      <c r="F2654" t="str">
        <f>""</f>
        <v/>
      </c>
      <c r="H2654" t="str">
        <f t="shared" si="64"/>
        <v>TASC - HRA FEES</v>
      </c>
    </row>
    <row r="2655" spans="5:8" x14ac:dyDescent="0.25">
      <c r="E2655" t="str">
        <f>""</f>
        <v/>
      </c>
      <c r="F2655" t="str">
        <f>""</f>
        <v/>
      </c>
      <c r="H2655" t="str">
        <f t="shared" si="64"/>
        <v>TASC - HRA FEES</v>
      </c>
    </row>
    <row r="2656" spans="5:8" x14ac:dyDescent="0.25">
      <c r="E2656" t="str">
        <f>""</f>
        <v/>
      </c>
      <c r="F2656" t="str">
        <f>""</f>
        <v/>
      </c>
      <c r="H2656" t="str">
        <f t="shared" si="64"/>
        <v>TASC - HRA FEES</v>
      </c>
    </row>
    <row r="2657" spans="5:8" x14ac:dyDescent="0.25">
      <c r="E2657" t="str">
        <f>""</f>
        <v/>
      </c>
      <c r="F2657" t="str">
        <f>""</f>
        <v/>
      </c>
      <c r="H2657" t="str">
        <f t="shared" si="64"/>
        <v>TASC - HRA FEES</v>
      </c>
    </row>
    <row r="2658" spans="5:8" x14ac:dyDescent="0.25">
      <c r="E2658" t="str">
        <f>""</f>
        <v/>
      </c>
      <c r="F2658" t="str">
        <f>""</f>
        <v/>
      </c>
      <c r="H2658" t="str">
        <f t="shared" si="64"/>
        <v>TASC - HRA FEES</v>
      </c>
    </row>
    <row r="2659" spans="5:8" x14ac:dyDescent="0.25">
      <c r="E2659" t="str">
        <f>""</f>
        <v/>
      </c>
      <c r="F2659" t="str">
        <f>""</f>
        <v/>
      </c>
      <c r="H2659" t="str">
        <f t="shared" si="64"/>
        <v>TASC - HRA FEES</v>
      </c>
    </row>
    <row r="2660" spans="5:8" x14ac:dyDescent="0.25">
      <c r="E2660" t="str">
        <f>""</f>
        <v/>
      </c>
      <c r="F2660" t="str">
        <f>""</f>
        <v/>
      </c>
      <c r="H2660" t="str">
        <f t="shared" si="64"/>
        <v>TASC - HRA FEES</v>
      </c>
    </row>
    <row r="2661" spans="5:8" x14ac:dyDescent="0.25">
      <c r="E2661" t="str">
        <f>""</f>
        <v/>
      </c>
      <c r="F2661" t="str">
        <f>""</f>
        <v/>
      </c>
      <c r="H2661" t="str">
        <f t="shared" si="64"/>
        <v>TASC - HRA FEES</v>
      </c>
    </row>
    <row r="2662" spans="5:8" x14ac:dyDescent="0.25">
      <c r="E2662" t="str">
        <f>""</f>
        <v/>
      </c>
      <c r="F2662" t="str">
        <f>""</f>
        <v/>
      </c>
      <c r="H2662" t="str">
        <f t="shared" si="64"/>
        <v>TASC - HRA FEES</v>
      </c>
    </row>
    <row r="2663" spans="5:8" x14ac:dyDescent="0.25">
      <c r="E2663" t="str">
        <f>""</f>
        <v/>
      </c>
      <c r="F2663" t="str">
        <f>""</f>
        <v/>
      </c>
      <c r="H2663" t="str">
        <f t="shared" ref="H2663:H2680" si="65">"TASC - HRA FEES"</f>
        <v>TASC - HRA FEES</v>
      </c>
    </row>
    <row r="2664" spans="5:8" x14ac:dyDescent="0.25">
      <c r="E2664" t="str">
        <f>""</f>
        <v/>
      </c>
      <c r="F2664" t="str">
        <f>""</f>
        <v/>
      </c>
      <c r="H2664" t="str">
        <f t="shared" si="65"/>
        <v>TASC - HRA FEES</v>
      </c>
    </row>
    <row r="2665" spans="5:8" x14ac:dyDescent="0.25">
      <c r="E2665" t="str">
        <f>""</f>
        <v/>
      </c>
      <c r="F2665" t="str">
        <f>""</f>
        <v/>
      </c>
      <c r="H2665" t="str">
        <f t="shared" si="65"/>
        <v>TASC - HRA FEES</v>
      </c>
    </row>
    <row r="2666" spans="5:8" x14ac:dyDescent="0.25">
      <c r="E2666" t="str">
        <f>""</f>
        <v/>
      </c>
      <c r="F2666" t="str">
        <f>""</f>
        <v/>
      </c>
      <c r="H2666" t="str">
        <f t="shared" si="65"/>
        <v>TASC - HRA FEES</v>
      </c>
    </row>
    <row r="2667" spans="5:8" x14ac:dyDescent="0.25">
      <c r="E2667" t="str">
        <f>""</f>
        <v/>
      </c>
      <c r="F2667" t="str">
        <f>""</f>
        <v/>
      </c>
      <c r="H2667" t="str">
        <f t="shared" si="65"/>
        <v>TASC - HRA FEES</v>
      </c>
    </row>
    <row r="2668" spans="5:8" x14ac:dyDescent="0.25">
      <c r="E2668" t="str">
        <f>""</f>
        <v/>
      </c>
      <c r="F2668" t="str">
        <f>""</f>
        <v/>
      </c>
      <c r="H2668" t="str">
        <f t="shared" si="65"/>
        <v>TASC - HRA FEES</v>
      </c>
    </row>
    <row r="2669" spans="5:8" x14ac:dyDescent="0.25">
      <c r="E2669" t="str">
        <f>""</f>
        <v/>
      </c>
      <c r="F2669" t="str">
        <f>""</f>
        <v/>
      </c>
      <c r="H2669" t="str">
        <f t="shared" si="65"/>
        <v>TASC - HRA FEES</v>
      </c>
    </row>
    <row r="2670" spans="5:8" x14ac:dyDescent="0.25">
      <c r="E2670" t="str">
        <f>""</f>
        <v/>
      </c>
      <c r="F2670" t="str">
        <f>""</f>
        <v/>
      </c>
      <c r="H2670" t="str">
        <f t="shared" si="65"/>
        <v>TASC - HRA FEES</v>
      </c>
    </row>
    <row r="2671" spans="5:8" x14ac:dyDescent="0.25">
      <c r="E2671" t="str">
        <f>""</f>
        <v/>
      </c>
      <c r="F2671" t="str">
        <f>""</f>
        <v/>
      </c>
      <c r="H2671" t="str">
        <f t="shared" si="65"/>
        <v>TASC - HRA FEES</v>
      </c>
    </row>
    <row r="2672" spans="5:8" x14ac:dyDescent="0.25">
      <c r="E2672" t="str">
        <f>""</f>
        <v/>
      </c>
      <c r="F2672" t="str">
        <f>""</f>
        <v/>
      </c>
      <c r="H2672" t="str">
        <f t="shared" si="65"/>
        <v>TASC - HRA FEES</v>
      </c>
    </row>
    <row r="2673" spans="1:8" x14ac:dyDescent="0.25">
      <c r="E2673" t="str">
        <f>""</f>
        <v/>
      </c>
      <c r="F2673" t="str">
        <f>""</f>
        <v/>
      </c>
      <c r="H2673" t="str">
        <f t="shared" si="65"/>
        <v>TASC - HRA FEES</v>
      </c>
    </row>
    <row r="2674" spans="1:8" x14ac:dyDescent="0.25">
      <c r="E2674" t="str">
        <f>""</f>
        <v/>
      </c>
      <c r="F2674" t="str">
        <f>""</f>
        <v/>
      </c>
      <c r="H2674" t="str">
        <f t="shared" si="65"/>
        <v>TASC - HRA FEES</v>
      </c>
    </row>
    <row r="2675" spans="1:8" x14ac:dyDescent="0.25">
      <c r="E2675" t="str">
        <f>""</f>
        <v/>
      </c>
      <c r="F2675" t="str">
        <f>""</f>
        <v/>
      </c>
      <c r="H2675" t="str">
        <f t="shared" si="65"/>
        <v>TASC - HRA FEES</v>
      </c>
    </row>
    <row r="2676" spans="1:8" x14ac:dyDescent="0.25">
      <c r="E2676" t="str">
        <f>""</f>
        <v/>
      </c>
      <c r="F2676" t="str">
        <f>""</f>
        <v/>
      </c>
      <c r="H2676" t="str">
        <f t="shared" si="65"/>
        <v>TASC - HRA FEES</v>
      </c>
    </row>
    <row r="2677" spans="1:8" x14ac:dyDescent="0.25">
      <c r="E2677" t="str">
        <f>""</f>
        <v/>
      </c>
      <c r="F2677" t="str">
        <f>""</f>
        <v/>
      </c>
      <c r="H2677" t="str">
        <f t="shared" si="65"/>
        <v>TASC - HRA FEES</v>
      </c>
    </row>
    <row r="2678" spans="1:8" x14ac:dyDescent="0.25">
      <c r="E2678" t="str">
        <f>""</f>
        <v/>
      </c>
      <c r="F2678" t="str">
        <f>""</f>
        <v/>
      </c>
      <c r="H2678" t="str">
        <f t="shared" si="65"/>
        <v>TASC - HRA FEES</v>
      </c>
    </row>
    <row r="2679" spans="1:8" x14ac:dyDescent="0.25">
      <c r="E2679" t="str">
        <f>""</f>
        <v/>
      </c>
      <c r="F2679" t="str">
        <f>""</f>
        <v/>
      </c>
      <c r="H2679" t="str">
        <f t="shared" si="65"/>
        <v>TASC - HRA FEES</v>
      </c>
    </row>
    <row r="2680" spans="1:8" x14ac:dyDescent="0.25">
      <c r="E2680" t="str">
        <f>"HRF201906119734"</f>
        <v>HRF201906119734</v>
      </c>
      <c r="F2680" t="str">
        <f>"TASC - HRA FEES"</f>
        <v>TASC - HRA FEES</v>
      </c>
      <c r="G2680" s="2">
        <v>28.8</v>
      </c>
      <c r="H2680" t="str">
        <f t="shared" si="65"/>
        <v>TASC - HRA FEES</v>
      </c>
    </row>
    <row r="2681" spans="1:8" x14ac:dyDescent="0.25">
      <c r="A2681" t="s">
        <v>451</v>
      </c>
      <c r="B2681">
        <v>159</v>
      </c>
      <c r="C2681" s="2">
        <v>9432.07</v>
      </c>
      <c r="D2681" s="1">
        <v>43644</v>
      </c>
      <c r="E2681" t="str">
        <f>"FSA201906250102"</f>
        <v>FSA201906250102</v>
      </c>
      <c r="F2681" t="str">
        <f>"TASC FSA"</f>
        <v>TASC FSA</v>
      </c>
      <c r="G2681" s="2">
        <v>7289.85</v>
      </c>
      <c r="H2681" t="str">
        <f>"TASC FSA"</f>
        <v>TASC FSA</v>
      </c>
    </row>
    <row r="2682" spans="1:8" x14ac:dyDescent="0.25">
      <c r="E2682" t="str">
        <f>"FSA201906250103"</f>
        <v>FSA201906250103</v>
      </c>
      <c r="F2682" t="str">
        <f>"TASC FSA"</f>
        <v>TASC FSA</v>
      </c>
      <c r="G2682" s="2">
        <v>550.05999999999995</v>
      </c>
      <c r="H2682" t="str">
        <f>"TASC FSA"</f>
        <v>TASC FSA</v>
      </c>
    </row>
    <row r="2683" spans="1:8" x14ac:dyDescent="0.25">
      <c r="E2683" t="str">
        <f>"FSC201906250102"</f>
        <v>FSC201906250102</v>
      </c>
      <c r="F2683" t="str">
        <f>"TASC DEPENDENT CARE"</f>
        <v>TASC DEPENDENT CARE</v>
      </c>
      <c r="G2683" s="2">
        <v>513.96</v>
      </c>
      <c r="H2683" t="str">
        <f>"TASC DEPENDENT CARE"</f>
        <v>TASC DEPENDENT CARE</v>
      </c>
    </row>
    <row r="2684" spans="1:8" x14ac:dyDescent="0.25">
      <c r="E2684" t="str">
        <f>"FSF201906250102"</f>
        <v>FSF201906250102</v>
      </c>
      <c r="F2684" t="str">
        <f>"TASC - FSA  FEES"</f>
        <v>TASC - FSA  FEES</v>
      </c>
      <c r="G2684" s="2">
        <v>275.39999999999998</v>
      </c>
      <c r="H2684" t="str">
        <f t="shared" ref="H2684:H2721" si="66">"TASC - FSA  FEES"</f>
        <v>TASC - FSA  FEES</v>
      </c>
    </row>
    <row r="2685" spans="1:8" x14ac:dyDescent="0.25">
      <c r="E2685" t="str">
        <f>""</f>
        <v/>
      </c>
      <c r="F2685" t="str">
        <f>""</f>
        <v/>
      </c>
      <c r="H2685" t="str">
        <f t="shared" si="66"/>
        <v>TASC - FSA  FEES</v>
      </c>
    </row>
    <row r="2686" spans="1:8" x14ac:dyDescent="0.25">
      <c r="E2686" t="str">
        <f>""</f>
        <v/>
      </c>
      <c r="F2686" t="str">
        <f>""</f>
        <v/>
      </c>
      <c r="H2686" t="str">
        <f t="shared" si="66"/>
        <v>TASC - FSA  FEES</v>
      </c>
    </row>
    <row r="2687" spans="1:8" x14ac:dyDescent="0.25">
      <c r="E2687" t="str">
        <f>""</f>
        <v/>
      </c>
      <c r="F2687" t="str">
        <f>""</f>
        <v/>
      </c>
      <c r="H2687" t="str">
        <f t="shared" si="66"/>
        <v>TASC - FSA  FEES</v>
      </c>
    </row>
    <row r="2688" spans="1:8" x14ac:dyDescent="0.25">
      <c r="E2688" t="str">
        <f>""</f>
        <v/>
      </c>
      <c r="F2688" t="str">
        <f>""</f>
        <v/>
      </c>
      <c r="H2688" t="str">
        <f t="shared" si="66"/>
        <v>TASC - FSA  FEES</v>
      </c>
    </row>
    <row r="2689" spans="5:8" x14ac:dyDescent="0.25">
      <c r="E2689" t="str">
        <f>""</f>
        <v/>
      </c>
      <c r="F2689" t="str">
        <f>""</f>
        <v/>
      </c>
      <c r="H2689" t="str">
        <f t="shared" si="66"/>
        <v>TASC - FSA  FEES</v>
      </c>
    </row>
    <row r="2690" spans="5:8" x14ac:dyDescent="0.25">
      <c r="E2690" t="str">
        <f>""</f>
        <v/>
      </c>
      <c r="F2690" t="str">
        <f>""</f>
        <v/>
      </c>
      <c r="H2690" t="str">
        <f t="shared" si="66"/>
        <v>TASC - FSA  FEES</v>
      </c>
    </row>
    <row r="2691" spans="5:8" x14ac:dyDescent="0.25">
      <c r="E2691" t="str">
        <f>""</f>
        <v/>
      </c>
      <c r="F2691" t="str">
        <f>""</f>
        <v/>
      </c>
      <c r="H2691" t="str">
        <f t="shared" si="66"/>
        <v>TASC - FSA  FEES</v>
      </c>
    </row>
    <row r="2692" spans="5:8" x14ac:dyDescent="0.25">
      <c r="E2692" t="str">
        <f>""</f>
        <v/>
      </c>
      <c r="F2692" t="str">
        <f>""</f>
        <v/>
      </c>
      <c r="H2692" t="str">
        <f t="shared" si="66"/>
        <v>TASC - FSA  FEES</v>
      </c>
    </row>
    <row r="2693" spans="5:8" x14ac:dyDescent="0.25">
      <c r="E2693" t="str">
        <f>""</f>
        <v/>
      </c>
      <c r="F2693" t="str">
        <f>""</f>
        <v/>
      </c>
      <c r="H2693" t="str">
        <f t="shared" si="66"/>
        <v>TASC - FSA  FEES</v>
      </c>
    </row>
    <row r="2694" spans="5:8" x14ac:dyDescent="0.25">
      <c r="E2694" t="str">
        <f>""</f>
        <v/>
      </c>
      <c r="F2694" t="str">
        <f>""</f>
        <v/>
      </c>
      <c r="H2694" t="str">
        <f t="shared" si="66"/>
        <v>TASC - FSA  FEES</v>
      </c>
    </row>
    <row r="2695" spans="5:8" x14ac:dyDescent="0.25">
      <c r="E2695" t="str">
        <f>""</f>
        <v/>
      </c>
      <c r="F2695" t="str">
        <f>""</f>
        <v/>
      </c>
      <c r="H2695" t="str">
        <f t="shared" si="66"/>
        <v>TASC - FSA  FEES</v>
      </c>
    </row>
    <row r="2696" spans="5:8" x14ac:dyDescent="0.25">
      <c r="E2696" t="str">
        <f>""</f>
        <v/>
      </c>
      <c r="F2696" t="str">
        <f>""</f>
        <v/>
      </c>
      <c r="H2696" t="str">
        <f t="shared" si="66"/>
        <v>TASC - FSA  FEES</v>
      </c>
    </row>
    <row r="2697" spans="5:8" x14ac:dyDescent="0.25">
      <c r="E2697" t="str">
        <f>""</f>
        <v/>
      </c>
      <c r="F2697" t="str">
        <f>""</f>
        <v/>
      </c>
      <c r="H2697" t="str">
        <f t="shared" si="66"/>
        <v>TASC - FSA  FEES</v>
      </c>
    </row>
    <row r="2698" spans="5:8" x14ac:dyDescent="0.25">
      <c r="E2698" t="str">
        <f>""</f>
        <v/>
      </c>
      <c r="F2698" t="str">
        <f>""</f>
        <v/>
      </c>
      <c r="H2698" t="str">
        <f t="shared" si="66"/>
        <v>TASC - FSA  FEES</v>
      </c>
    </row>
    <row r="2699" spans="5:8" x14ac:dyDescent="0.25">
      <c r="E2699" t="str">
        <f>""</f>
        <v/>
      </c>
      <c r="F2699" t="str">
        <f>""</f>
        <v/>
      </c>
      <c r="H2699" t="str">
        <f t="shared" si="66"/>
        <v>TASC - FSA  FEES</v>
      </c>
    </row>
    <row r="2700" spans="5:8" x14ac:dyDescent="0.25">
      <c r="E2700" t="str">
        <f>""</f>
        <v/>
      </c>
      <c r="F2700" t="str">
        <f>""</f>
        <v/>
      </c>
      <c r="H2700" t="str">
        <f t="shared" si="66"/>
        <v>TASC - FSA  FEES</v>
      </c>
    </row>
    <row r="2701" spans="5:8" x14ac:dyDescent="0.25">
      <c r="E2701" t="str">
        <f>""</f>
        <v/>
      </c>
      <c r="F2701" t="str">
        <f>""</f>
        <v/>
      </c>
      <c r="H2701" t="str">
        <f t="shared" si="66"/>
        <v>TASC - FSA  FEES</v>
      </c>
    </row>
    <row r="2702" spans="5:8" x14ac:dyDescent="0.25">
      <c r="E2702" t="str">
        <f>""</f>
        <v/>
      </c>
      <c r="F2702" t="str">
        <f>""</f>
        <v/>
      </c>
      <c r="H2702" t="str">
        <f t="shared" si="66"/>
        <v>TASC - FSA  FEES</v>
      </c>
    </row>
    <row r="2703" spans="5:8" x14ac:dyDescent="0.25">
      <c r="E2703" t="str">
        <f>""</f>
        <v/>
      </c>
      <c r="F2703" t="str">
        <f>""</f>
        <v/>
      </c>
      <c r="H2703" t="str">
        <f t="shared" si="66"/>
        <v>TASC - FSA  FEES</v>
      </c>
    </row>
    <row r="2704" spans="5:8" x14ac:dyDescent="0.25">
      <c r="E2704" t="str">
        <f>""</f>
        <v/>
      </c>
      <c r="F2704" t="str">
        <f>""</f>
        <v/>
      </c>
      <c r="H2704" t="str">
        <f t="shared" si="66"/>
        <v>TASC - FSA  FEES</v>
      </c>
    </row>
    <row r="2705" spans="5:8" x14ac:dyDescent="0.25">
      <c r="E2705" t="str">
        <f>""</f>
        <v/>
      </c>
      <c r="F2705" t="str">
        <f>""</f>
        <v/>
      </c>
      <c r="H2705" t="str">
        <f t="shared" si="66"/>
        <v>TASC - FSA  FEES</v>
      </c>
    </row>
    <row r="2706" spans="5:8" x14ac:dyDescent="0.25">
      <c r="E2706" t="str">
        <f>""</f>
        <v/>
      </c>
      <c r="F2706" t="str">
        <f>""</f>
        <v/>
      </c>
      <c r="H2706" t="str">
        <f t="shared" si="66"/>
        <v>TASC - FSA  FEES</v>
      </c>
    </row>
    <row r="2707" spans="5:8" x14ac:dyDescent="0.25">
      <c r="E2707" t="str">
        <f>""</f>
        <v/>
      </c>
      <c r="F2707" t="str">
        <f>""</f>
        <v/>
      </c>
      <c r="H2707" t="str">
        <f t="shared" si="66"/>
        <v>TASC - FSA  FEES</v>
      </c>
    </row>
    <row r="2708" spans="5:8" x14ac:dyDescent="0.25">
      <c r="E2708" t="str">
        <f>""</f>
        <v/>
      </c>
      <c r="F2708" t="str">
        <f>""</f>
        <v/>
      </c>
      <c r="H2708" t="str">
        <f t="shared" si="66"/>
        <v>TASC - FSA  FEES</v>
      </c>
    </row>
    <row r="2709" spans="5:8" x14ac:dyDescent="0.25">
      <c r="E2709" t="str">
        <f>""</f>
        <v/>
      </c>
      <c r="F2709" t="str">
        <f>""</f>
        <v/>
      </c>
      <c r="H2709" t="str">
        <f t="shared" si="66"/>
        <v>TASC - FSA  FEES</v>
      </c>
    </row>
    <row r="2710" spans="5:8" x14ac:dyDescent="0.25">
      <c r="E2710" t="str">
        <f>""</f>
        <v/>
      </c>
      <c r="F2710" t="str">
        <f>""</f>
        <v/>
      </c>
      <c r="H2710" t="str">
        <f t="shared" si="66"/>
        <v>TASC - FSA  FEES</v>
      </c>
    </row>
    <row r="2711" spans="5:8" x14ac:dyDescent="0.25">
      <c r="E2711" t="str">
        <f>""</f>
        <v/>
      </c>
      <c r="F2711" t="str">
        <f>""</f>
        <v/>
      </c>
      <c r="H2711" t="str">
        <f t="shared" si="66"/>
        <v>TASC - FSA  FEES</v>
      </c>
    </row>
    <row r="2712" spans="5:8" x14ac:dyDescent="0.25">
      <c r="E2712" t="str">
        <f>""</f>
        <v/>
      </c>
      <c r="F2712" t="str">
        <f>""</f>
        <v/>
      </c>
      <c r="H2712" t="str">
        <f t="shared" si="66"/>
        <v>TASC - FSA  FEES</v>
      </c>
    </row>
    <row r="2713" spans="5:8" x14ac:dyDescent="0.25">
      <c r="E2713" t="str">
        <f>""</f>
        <v/>
      </c>
      <c r="F2713" t="str">
        <f>""</f>
        <v/>
      </c>
      <c r="H2713" t="str">
        <f t="shared" si="66"/>
        <v>TASC - FSA  FEES</v>
      </c>
    </row>
    <row r="2714" spans="5:8" x14ac:dyDescent="0.25">
      <c r="E2714" t="str">
        <f>""</f>
        <v/>
      </c>
      <c r="F2714" t="str">
        <f>""</f>
        <v/>
      </c>
      <c r="H2714" t="str">
        <f t="shared" si="66"/>
        <v>TASC - FSA  FEES</v>
      </c>
    </row>
    <row r="2715" spans="5:8" x14ac:dyDescent="0.25">
      <c r="E2715" t="str">
        <f>""</f>
        <v/>
      </c>
      <c r="F2715" t="str">
        <f>""</f>
        <v/>
      </c>
      <c r="H2715" t="str">
        <f t="shared" si="66"/>
        <v>TASC - FSA  FEES</v>
      </c>
    </row>
    <row r="2716" spans="5:8" x14ac:dyDescent="0.25">
      <c r="E2716" t="str">
        <f>""</f>
        <v/>
      </c>
      <c r="F2716" t="str">
        <f>""</f>
        <v/>
      </c>
      <c r="H2716" t="str">
        <f t="shared" si="66"/>
        <v>TASC - FSA  FEES</v>
      </c>
    </row>
    <row r="2717" spans="5:8" x14ac:dyDescent="0.25">
      <c r="E2717" t="str">
        <f>""</f>
        <v/>
      </c>
      <c r="F2717" t="str">
        <f>""</f>
        <v/>
      </c>
      <c r="H2717" t="str">
        <f t="shared" si="66"/>
        <v>TASC - FSA  FEES</v>
      </c>
    </row>
    <row r="2718" spans="5:8" x14ac:dyDescent="0.25">
      <c r="E2718" t="str">
        <f>""</f>
        <v/>
      </c>
      <c r="F2718" t="str">
        <f>""</f>
        <v/>
      </c>
      <c r="H2718" t="str">
        <f t="shared" si="66"/>
        <v>TASC - FSA  FEES</v>
      </c>
    </row>
    <row r="2719" spans="5:8" x14ac:dyDescent="0.25">
      <c r="E2719" t="str">
        <f>""</f>
        <v/>
      </c>
      <c r="F2719" t="str">
        <f>""</f>
        <v/>
      </c>
      <c r="H2719" t="str">
        <f t="shared" si="66"/>
        <v>TASC - FSA  FEES</v>
      </c>
    </row>
    <row r="2720" spans="5:8" x14ac:dyDescent="0.25">
      <c r="E2720" t="str">
        <f>""</f>
        <v/>
      </c>
      <c r="F2720" t="str">
        <f>""</f>
        <v/>
      </c>
      <c r="H2720" t="str">
        <f t="shared" si="66"/>
        <v>TASC - FSA  FEES</v>
      </c>
    </row>
    <row r="2721" spans="5:8" x14ac:dyDescent="0.25">
      <c r="E2721" t="str">
        <f>"FSF201906250103"</f>
        <v>FSF201906250103</v>
      </c>
      <c r="F2721" t="str">
        <f>"TASC - FSA  FEES"</f>
        <v>TASC - FSA  FEES</v>
      </c>
      <c r="G2721" s="2">
        <v>12.6</v>
      </c>
      <c r="H2721" t="str">
        <f t="shared" si="66"/>
        <v>TASC - FSA  FEES</v>
      </c>
    </row>
    <row r="2722" spans="5:8" x14ac:dyDescent="0.25">
      <c r="E2722" t="str">
        <f>"HRF201906250102"</f>
        <v>HRF201906250102</v>
      </c>
      <c r="F2722" t="str">
        <f>"TASC - HRA FEES"</f>
        <v>TASC - HRA FEES</v>
      </c>
      <c r="G2722" s="2">
        <v>761.4</v>
      </c>
      <c r="H2722" t="str">
        <f t="shared" ref="H2722:H2753" si="67">"TASC - HRA FEES"</f>
        <v>TASC - HRA FEES</v>
      </c>
    </row>
    <row r="2723" spans="5:8" x14ac:dyDescent="0.25">
      <c r="E2723" t="str">
        <f>""</f>
        <v/>
      </c>
      <c r="F2723" t="str">
        <f>""</f>
        <v/>
      </c>
      <c r="H2723" t="str">
        <f t="shared" si="67"/>
        <v>TASC - HRA FEES</v>
      </c>
    </row>
    <row r="2724" spans="5:8" x14ac:dyDescent="0.25">
      <c r="E2724" t="str">
        <f>""</f>
        <v/>
      </c>
      <c r="F2724" t="str">
        <f>""</f>
        <v/>
      </c>
      <c r="H2724" t="str">
        <f t="shared" si="67"/>
        <v>TASC - HRA FEES</v>
      </c>
    </row>
    <row r="2725" spans="5:8" x14ac:dyDescent="0.25">
      <c r="E2725" t="str">
        <f>""</f>
        <v/>
      </c>
      <c r="F2725" t="str">
        <f>""</f>
        <v/>
      </c>
      <c r="H2725" t="str">
        <f t="shared" si="67"/>
        <v>TASC - HRA FEES</v>
      </c>
    </row>
    <row r="2726" spans="5:8" x14ac:dyDescent="0.25">
      <c r="E2726" t="str">
        <f>""</f>
        <v/>
      </c>
      <c r="F2726" t="str">
        <f>""</f>
        <v/>
      </c>
      <c r="H2726" t="str">
        <f t="shared" si="67"/>
        <v>TASC - HRA FEES</v>
      </c>
    </row>
    <row r="2727" spans="5:8" x14ac:dyDescent="0.25">
      <c r="E2727" t="str">
        <f>""</f>
        <v/>
      </c>
      <c r="F2727" t="str">
        <f>""</f>
        <v/>
      </c>
      <c r="H2727" t="str">
        <f t="shared" si="67"/>
        <v>TASC - HRA FEES</v>
      </c>
    </row>
    <row r="2728" spans="5:8" x14ac:dyDescent="0.25">
      <c r="E2728" t="str">
        <f>""</f>
        <v/>
      </c>
      <c r="F2728" t="str">
        <f>""</f>
        <v/>
      </c>
      <c r="H2728" t="str">
        <f t="shared" si="67"/>
        <v>TASC - HRA FEES</v>
      </c>
    </row>
    <row r="2729" spans="5:8" x14ac:dyDescent="0.25">
      <c r="E2729" t="str">
        <f>""</f>
        <v/>
      </c>
      <c r="F2729" t="str">
        <f>""</f>
        <v/>
      </c>
      <c r="H2729" t="str">
        <f t="shared" si="67"/>
        <v>TASC - HRA FEES</v>
      </c>
    </row>
    <row r="2730" spans="5:8" x14ac:dyDescent="0.25">
      <c r="E2730" t="str">
        <f>""</f>
        <v/>
      </c>
      <c r="F2730" t="str">
        <f>""</f>
        <v/>
      </c>
      <c r="H2730" t="str">
        <f t="shared" si="67"/>
        <v>TASC - HRA FEES</v>
      </c>
    </row>
    <row r="2731" spans="5:8" x14ac:dyDescent="0.25">
      <c r="E2731" t="str">
        <f>""</f>
        <v/>
      </c>
      <c r="F2731" t="str">
        <f>""</f>
        <v/>
      </c>
      <c r="H2731" t="str">
        <f t="shared" si="67"/>
        <v>TASC - HRA FEES</v>
      </c>
    </row>
    <row r="2732" spans="5:8" x14ac:dyDescent="0.25">
      <c r="E2732" t="str">
        <f>""</f>
        <v/>
      </c>
      <c r="F2732" t="str">
        <f>""</f>
        <v/>
      </c>
      <c r="H2732" t="str">
        <f t="shared" si="67"/>
        <v>TASC - HRA FEES</v>
      </c>
    </row>
    <row r="2733" spans="5:8" x14ac:dyDescent="0.25">
      <c r="E2733" t="str">
        <f>""</f>
        <v/>
      </c>
      <c r="F2733" t="str">
        <f>""</f>
        <v/>
      </c>
      <c r="H2733" t="str">
        <f t="shared" si="67"/>
        <v>TASC - HRA FEES</v>
      </c>
    </row>
    <row r="2734" spans="5:8" x14ac:dyDescent="0.25">
      <c r="E2734" t="str">
        <f>""</f>
        <v/>
      </c>
      <c r="F2734" t="str">
        <f>""</f>
        <v/>
      </c>
      <c r="H2734" t="str">
        <f t="shared" si="67"/>
        <v>TASC - HRA FEES</v>
      </c>
    </row>
    <row r="2735" spans="5:8" x14ac:dyDescent="0.25">
      <c r="E2735" t="str">
        <f>""</f>
        <v/>
      </c>
      <c r="F2735" t="str">
        <f>""</f>
        <v/>
      </c>
      <c r="H2735" t="str">
        <f t="shared" si="67"/>
        <v>TASC - HRA FEES</v>
      </c>
    </row>
    <row r="2736" spans="5:8" x14ac:dyDescent="0.25">
      <c r="E2736" t="str">
        <f>""</f>
        <v/>
      </c>
      <c r="F2736" t="str">
        <f>""</f>
        <v/>
      </c>
      <c r="H2736" t="str">
        <f t="shared" si="67"/>
        <v>TASC - HRA FEES</v>
      </c>
    </row>
    <row r="2737" spans="5:8" x14ac:dyDescent="0.25">
      <c r="E2737" t="str">
        <f>""</f>
        <v/>
      </c>
      <c r="F2737" t="str">
        <f>""</f>
        <v/>
      </c>
      <c r="H2737" t="str">
        <f t="shared" si="67"/>
        <v>TASC - HRA FEES</v>
      </c>
    </row>
    <row r="2738" spans="5:8" x14ac:dyDescent="0.25">
      <c r="E2738" t="str">
        <f>""</f>
        <v/>
      </c>
      <c r="F2738" t="str">
        <f>""</f>
        <v/>
      </c>
      <c r="H2738" t="str">
        <f t="shared" si="67"/>
        <v>TASC - HRA FEES</v>
      </c>
    </row>
    <row r="2739" spans="5:8" x14ac:dyDescent="0.25">
      <c r="E2739" t="str">
        <f>""</f>
        <v/>
      </c>
      <c r="F2739" t="str">
        <f>""</f>
        <v/>
      </c>
      <c r="H2739" t="str">
        <f t="shared" si="67"/>
        <v>TASC - HRA FEES</v>
      </c>
    </row>
    <row r="2740" spans="5:8" x14ac:dyDescent="0.25">
      <c r="E2740" t="str">
        <f>""</f>
        <v/>
      </c>
      <c r="F2740" t="str">
        <f>""</f>
        <v/>
      </c>
      <c r="H2740" t="str">
        <f t="shared" si="67"/>
        <v>TASC - HRA FEES</v>
      </c>
    </row>
    <row r="2741" spans="5:8" x14ac:dyDescent="0.25">
      <c r="E2741" t="str">
        <f>""</f>
        <v/>
      </c>
      <c r="F2741" t="str">
        <f>""</f>
        <v/>
      </c>
      <c r="H2741" t="str">
        <f t="shared" si="67"/>
        <v>TASC - HRA FEES</v>
      </c>
    </row>
    <row r="2742" spans="5:8" x14ac:dyDescent="0.25">
      <c r="E2742" t="str">
        <f>""</f>
        <v/>
      </c>
      <c r="F2742" t="str">
        <f>""</f>
        <v/>
      </c>
      <c r="H2742" t="str">
        <f t="shared" si="67"/>
        <v>TASC - HRA FEES</v>
      </c>
    </row>
    <row r="2743" spans="5:8" x14ac:dyDescent="0.25">
      <c r="E2743" t="str">
        <f>""</f>
        <v/>
      </c>
      <c r="F2743" t="str">
        <f>""</f>
        <v/>
      </c>
      <c r="H2743" t="str">
        <f t="shared" si="67"/>
        <v>TASC - HRA FEES</v>
      </c>
    </row>
    <row r="2744" spans="5:8" x14ac:dyDescent="0.25">
      <c r="E2744" t="str">
        <f>""</f>
        <v/>
      </c>
      <c r="F2744" t="str">
        <f>""</f>
        <v/>
      </c>
      <c r="H2744" t="str">
        <f t="shared" si="67"/>
        <v>TASC - HRA FEES</v>
      </c>
    </row>
    <row r="2745" spans="5:8" x14ac:dyDescent="0.25">
      <c r="E2745" t="str">
        <f>""</f>
        <v/>
      </c>
      <c r="F2745" t="str">
        <f>""</f>
        <v/>
      </c>
      <c r="H2745" t="str">
        <f t="shared" si="67"/>
        <v>TASC - HRA FEES</v>
      </c>
    </row>
    <row r="2746" spans="5:8" x14ac:dyDescent="0.25">
      <c r="E2746" t="str">
        <f>""</f>
        <v/>
      </c>
      <c r="F2746" t="str">
        <f>""</f>
        <v/>
      </c>
      <c r="H2746" t="str">
        <f t="shared" si="67"/>
        <v>TASC - HRA FEES</v>
      </c>
    </row>
    <row r="2747" spans="5:8" x14ac:dyDescent="0.25">
      <c r="E2747" t="str">
        <f>""</f>
        <v/>
      </c>
      <c r="F2747" t="str">
        <f>""</f>
        <v/>
      </c>
      <c r="H2747" t="str">
        <f t="shared" si="67"/>
        <v>TASC - HRA FEES</v>
      </c>
    </row>
    <row r="2748" spans="5:8" x14ac:dyDescent="0.25">
      <c r="E2748" t="str">
        <f>""</f>
        <v/>
      </c>
      <c r="F2748" t="str">
        <f>""</f>
        <v/>
      </c>
      <c r="H2748" t="str">
        <f t="shared" si="67"/>
        <v>TASC - HRA FEES</v>
      </c>
    </row>
    <row r="2749" spans="5:8" x14ac:dyDescent="0.25">
      <c r="E2749" t="str">
        <f>""</f>
        <v/>
      </c>
      <c r="F2749" t="str">
        <f>""</f>
        <v/>
      </c>
      <c r="H2749" t="str">
        <f t="shared" si="67"/>
        <v>TASC - HRA FEES</v>
      </c>
    </row>
    <row r="2750" spans="5:8" x14ac:dyDescent="0.25">
      <c r="E2750" t="str">
        <f>""</f>
        <v/>
      </c>
      <c r="F2750" t="str">
        <f>""</f>
        <v/>
      </c>
      <c r="H2750" t="str">
        <f t="shared" si="67"/>
        <v>TASC - HRA FEES</v>
      </c>
    </row>
    <row r="2751" spans="5:8" x14ac:dyDescent="0.25">
      <c r="E2751" t="str">
        <f>""</f>
        <v/>
      </c>
      <c r="F2751" t="str">
        <f>""</f>
        <v/>
      </c>
      <c r="H2751" t="str">
        <f t="shared" si="67"/>
        <v>TASC - HRA FEES</v>
      </c>
    </row>
    <row r="2752" spans="5:8" x14ac:dyDescent="0.25">
      <c r="E2752" t="str">
        <f>""</f>
        <v/>
      </c>
      <c r="F2752" t="str">
        <f>""</f>
        <v/>
      </c>
      <c r="H2752" t="str">
        <f t="shared" si="67"/>
        <v>TASC - HRA FEES</v>
      </c>
    </row>
    <row r="2753" spans="5:8" x14ac:dyDescent="0.25">
      <c r="E2753" t="str">
        <f>""</f>
        <v/>
      </c>
      <c r="F2753" t="str">
        <f>""</f>
        <v/>
      </c>
      <c r="H2753" t="str">
        <f t="shared" si="67"/>
        <v>TASC - HRA FEES</v>
      </c>
    </row>
    <row r="2754" spans="5:8" x14ac:dyDescent="0.25">
      <c r="E2754" t="str">
        <f>""</f>
        <v/>
      </c>
      <c r="F2754" t="str">
        <f>""</f>
        <v/>
      </c>
      <c r="H2754" t="str">
        <f t="shared" ref="H2754:H2771" si="68">"TASC - HRA FEES"</f>
        <v>TASC - HRA FEES</v>
      </c>
    </row>
    <row r="2755" spans="5:8" x14ac:dyDescent="0.25">
      <c r="E2755" t="str">
        <f>""</f>
        <v/>
      </c>
      <c r="F2755" t="str">
        <f>""</f>
        <v/>
      </c>
      <c r="H2755" t="str">
        <f t="shared" si="68"/>
        <v>TASC - HRA FEES</v>
      </c>
    </row>
    <row r="2756" spans="5:8" x14ac:dyDescent="0.25">
      <c r="E2756" t="str">
        <f>""</f>
        <v/>
      </c>
      <c r="F2756" t="str">
        <f>""</f>
        <v/>
      </c>
      <c r="H2756" t="str">
        <f t="shared" si="68"/>
        <v>TASC - HRA FEES</v>
      </c>
    </row>
    <row r="2757" spans="5:8" x14ac:dyDescent="0.25">
      <c r="E2757" t="str">
        <f>""</f>
        <v/>
      </c>
      <c r="F2757" t="str">
        <f>""</f>
        <v/>
      </c>
      <c r="H2757" t="str">
        <f t="shared" si="68"/>
        <v>TASC - HRA FEES</v>
      </c>
    </row>
    <row r="2758" spans="5:8" x14ac:dyDescent="0.25">
      <c r="E2758" t="str">
        <f>""</f>
        <v/>
      </c>
      <c r="F2758" t="str">
        <f>""</f>
        <v/>
      </c>
      <c r="H2758" t="str">
        <f t="shared" si="68"/>
        <v>TASC - HRA FEES</v>
      </c>
    </row>
    <row r="2759" spans="5:8" x14ac:dyDescent="0.25">
      <c r="E2759" t="str">
        <f>""</f>
        <v/>
      </c>
      <c r="F2759" t="str">
        <f>""</f>
        <v/>
      </c>
      <c r="H2759" t="str">
        <f t="shared" si="68"/>
        <v>TASC - HRA FEES</v>
      </c>
    </row>
    <row r="2760" spans="5:8" x14ac:dyDescent="0.25">
      <c r="E2760" t="str">
        <f>""</f>
        <v/>
      </c>
      <c r="F2760" t="str">
        <f>""</f>
        <v/>
      </c>
      <c r="H2760" t="str">
        <f t="shared" si="68"/>
        <v>TASC - HRA FEES</v>
      </c>
    </row>
    <row r="2761" spans="5:8" x14ac:dyDescent="0.25">
      <c r="E2761" t="str">
        <f>""</f>
        <v/>
      </c>
      <c r="F2761" t="str">
        <f>""</f>
        <v/>
      </c>
      <c r="H2761" t="str">
        <f t="shared" si="68"/>
        <v>TASC - HRA FEES</v>
      </c>
    </row>
    <row r="2762" spans="5:8" x14ac:dyDescent="0.25">
      <c r="E2762" t="str">
        <f>""</f>
        <v/>
      </c>
      <c r="F2762" t="str">
        <f>""</f>
        <v/>
      </c>
      <c r="H2762" t="str">
        <f t="shared" si="68"/>
        <v>TASC - HRA FEES</v>
      </c>
    </row>
    <row r="2763" spans="5:8" x14ac:dyDescent="0.25">
      <c r="E2763" t="str">
        <f>""</f>
        <v/>
      </c>
      <c r="F2763" t="str">
        <f>""</f>
        <v/>
      </c>
      <c r="H2763" t="str">
        <f t="shared" si="68"/>
        <v>TASC - HRA FEES</v>
      </c>
    </row>
    <row r="2764" spans="5:8" x14ac:dyDescent="0.25">
      <c r="E2764" t="str">
        <f>""</f>
        <v/>
      </c>
      <c r="F2764" t="str">
        <f>""</f>
        <v/>
      </c>
      <c r="H2764" t="str">
        <f t="shared" si="68"/>
        <v>TASC - HRA FEES</v>
      </c>
    </row>
    <row r="2765" spans="5:8" x14ac:dyDescent="0.25">
      <c r="E2765" t="str">
        <f>""</f>
        <v/>
      </c>
      <c r="F2765" t="str">
        <f>""</f>
        <v/>
      </c>
      <c r="H2765" t="str">
        <f t="shared" si="68"/>
        <v>TASC - HRA FEES</v>
      </c>
    </row>
    <row r="2766" spans="5:8" x14ac:dyDescent="0.25">
      <c r="E2766" t="str">
        <f>""</f>
        <v/>
      </c>
      <c r="F2766" t="str">
        <f>""</f>
        <v/>
      </c>
      <c r="H2766" t="str">
        <f t="shared" si="68"/>
        <v>TASC - HRA FEES</v>
      </c>
    </row>
    <row r="2767" spans="5:8" x14ac:dyDescent="0.25">
      <c r="E2767" t="str">
        <f>""</f>
        <v/>
      </c>
      <c r="F2767" t="str">
        <f>""</f>
        <v/>
      </c>
      <c r="H2767" t="str">
        <f t="shared" si="68"/>
        <v>TASC - HRA FEES</v>
      </c>
    </row>
    <row r="2768" spans="5:8" x14ac:dyDescent="0.25">
      <c r="E2768" t="str">
        <f>""</f>
        <v/>
      </c>
      <c r="F2768" t="str">
        <f>""</f>
        <v/>
      </c>
      <c r="H2768" t="str">
        <f t="shared" si="68"/>
        <v>TASC - HRA FEES</v>
      </c>
    </row>
    <row r="2769" spans="1:8" x14ac:dyDescent="0.25">
      <c r="E2769" t="str">
        <f>""</f>
        <v/>
      </c>
      <c r="F2769" t="str">
        <f>""</f>
        <v/>
      </c>
      <c r="H2769" t="str">
        <f t="shared" si="68"/>
        <v>TASC - HRA FEES</v>
      </c>
    </row>
    <row r="2770" spans="1:8" x14ac:dyDescent="0.25">
      <c r="E2770" t="str">
        <f>""</f>
        <v/>
      </c>
      <c r="F2770" t="str">
        <f>""</f>
        <v/>
      </c>
      <c r="H2770" t="str">
        <f t="shared" si="68"/>
        <v>TASC - HRA FEES</v>
      </c>
    </row>
    <row r="2771" spans="1:8" x14ac:dyDescent="0.25">
      <c r="E2771" t="str">
        <f>"HRF201906250103"</f>
        <v>HRF201906250103</v>
      </c>
      <c r="F2771" t="str">
        <f>"TASC - HRA FEES"</f>
        <v>TASC - HRA FEES</v>
      </c>
      <c r="G2771" s="2">
        <v>28.8</v>
      </c>
      <c r="H2771" t="str">
        <f t="shared" si="68"/>
        <v>TASC - HRA FEES</v>
      </c>
    </row>
    <row r="2772" spans="1:8" x14ac:dyDescent="0.25">
      <c r="A2772" t="s">
        <v>452</v>
      </c>
      <c r="B2772">
        <v>149</v>
      </c>
      <c r="C2772" s="2">
        <v>4268.08</v>
      </c>
      <c r="D2772" s="1">
        <v>43630</v>
      </c>
      <c r="E2772" t="str">
        <f>"C18201906119734"</f>
        <v>C18201906119734</v>
      </c>
      <c r="F2772" t="str">
        <f>"CAUSE# 0011635329"</f>
        <v>CAUSE# 0011635329</v>
      </c>
      <c r="G2772" s="2">
        <v>603.23</v>
      </c>
      <c r="H2772" t="str">
        <f>"CAUSE# 0011635329"</f>
        <v>CAUSE# 0011635329</v>
      </c>
    </row>
    <row r="2773" spans="1:8" x14ac:dyDescent="0.25">
      <c r="E2773" t="str">
        <f>"C2 201906119734"</f>
        <v>C2 201906119734</v>
      </c>
      <c r="F2773" t="str">
        <f>"0012982132CCL7445"</f>
        <v>0012982132CCL7445</v>
      </c>
      <c r="G2773" s="2">
        <v>692.31</v>
      </c>
      <c r="H2773" t="str">
        <f>"0012982132CCL7445"</f>
        <v>0012982132CCL7445</v>
      </c>
    </row>
    <row r="2774" spans="1:8" x14ac:dyDescent="0.25">
      <c r="E2774" t="str">
        <f>"C20201906119733"</f>
        <v>C20201906119733</v>
      </c>
      <c r="F2774" t="str">
        <f>"001003981107-12252"</f>
        <v>001003981107-12252</v>
      </c>
      <c r="G2774" s="2">
        <v>115.39</v>
      </c>
      <c r="H2774" t="str">
        <f>"001003981107-12252"</f>
        <v>001003981107-12252</v>
      </c>
    </row>
    <row r="2775" spans="1:8" x14ac:dyDescent="0.25">
      <c r="E2775" t="str">
        <f>"C42201906119733"</f>
        <v>C42201906119733</v>
      </c>
      <c r="F2775" t="str">
        <f>"001236769211-14410"</f>
        <v>001236769211-14410</v>
      </c>
      <c r="G2775" s="2">
        <v>230.31</v>
      </c>
      <c r="H2775" t="str">
        <f>"001236769211-14410"</f>
        <v>001236769211-14410</v>
      </c>
    </row>
    <row r="2776" spans="1:8" x14ac:dyDescent="0.25">
      <c r="E2776" t="str">
        <f>"C46201906119733"</f>
        <v>C46201906119733</v>
      </c>
      <c r="F2776" t="str">
        <f>"CAUSE# 11-14911"</f>
        <v>CAUSE# 11-14911</v>
      </c>
      <c r="G2776" s="2">
        <v>238.62</v>
      </c>
      <c r="H2776" t="str">
        <f>"CAUSE# 11-14911"</f>
        <v>CAUSE# 11-14911</v>
      </c>
    </row>
    <row r="2777" spans="1:8" x14ac:dyDescent="0.25">
      <c r="E2777" t="str">
        <f>"C53201906119733"</f>
        <v>C53201906119733</v>
      </c>
      <c r="F2777" t="str">
        <f>"0012453366"</f>
        <v>0012453366</v>
      </c>
      <c r="G2777" s="2">
        <v>138.46</v>
      </c>
      <c r="H2777" t="str">
        <f>"0012453366"</f>
        <v>0012453366</v>
      </c>
    </row>
    <row r="2778" spans="1:8" x14ac:dyDescent="0.25">
      <c r="E2778" t="str">
        <f>"C60201906119733"</f>
        <v>C60201906119733</v>
      </c>
      <c r="F2778" t="str">
        <f>"00130730762012V300"</f>
        <v>00130730762012V300</v>
      </c>
      <c r="G2778" s="2">
        <v>399.32</v>
      </c>
      <c r="H2778" t="str">
        <f>"00130730762012V300"</f>
        <v>00130730762012V300</v>
      </c>
    </row>
    <row r="2779" spans="1:8" x14ac:dyDescent="0.25">
      <c r="E2779" t="str">
        <f>"C62201906119733"</f>
        <v>C62201906119733</v>
      </c>
      <c r="F2779" t="str">
        <f>"# 0012128865"</f>
        <v># 0012128865</v>
      </c>
      <c r="G2779" s="2">
        <v>243.23</v>
      </c>
      <c r="H2779" t="str">
        <f>"# 0012128865"</f>
        <v># 0012128865</v>
      </c>
    </row>
    <row r="2780" spans="1:8" x14ac:dyDescent="0.25">
      <c r="E2780" t="str">
        <f>"C66201906119733"</f>
        <v>C66201906119733</v>
      </c>
      <c r="F2780" t="str">
        <f>"# 0012871801"</f>
        <v># 0012871801</v>
      </c>
      <c r="G2780" s="2">
        <v>90</v>
      </c>
      <c r="H2780" t="str">
        <f>"# 0012871801"</f>
        <v># 0012871801</v>
      </c>
    </row>
    <row r="2781" spans="1:8" x14ac:dyDescent="0.25">
      <c r="E2781" t="str">
        <f>"C67201906119733"</f>
        <v>C67201906119733</v>
      </c>
      <c r="F2781" t="str">
        <f>"13154657"</f>
        <v>13154657</v>
      </c>
      <c r="G2781" s="2">
        <v>101.99</v>
      </c>
      <c r="H2781" t="str">
        <f>"13154657"</f>
        <v>13154657</v>
      </c>
    </row>
    <row r="2782" spans="1:8" x14ac:dyDescent="0.25">
      <c r="E2782" t="str">
        <f>"C69201906119733"</f>
        <v>C69201906119733</v>
      </c>
      <c r="F2782" t="str">
        <f>"0012046911423672"</f>
        <v>0012046911423672</v>
      </c>
      <c r="G2782" s="2">
        <v>187.38</v>
      </c>
      <c r="H2782" t="str">
        <f>"0012046911423672"</f>
        <v>0012046911423672</v>
      </c>
    </row>
    <row r="2783" spans="1:8" x14ac:dyDescent="0.25">
      <c r="E2783" t="str">
        <f>"C70201906119733"</f>
        <v>C70201906119733</v>
      </c>
      <c r="F2783" t="str">
        <f>"00136881334235026"</f>
        <v>00136881334235026</v>
      </c>
      <c r="G2783" s="2">
        <v>257.45999999999998</v>
      </c>
      <c r="H2783" t="str">
        <f>"00136881334235026"</f>
        <v>00136881334235026</v>
      </c>
    </row>
    <row r="2784" spans="1:8" x14ac:dyDescent="0.25">
      <c r="E2784" t="str">
        <f>"C71201906119733"</f>
        <v>C71201906119733</v>
      </c>
      <c r="F2784" t="str">
        <f>"00137390532018V215"</f>
        <v>00137390532018V215</v>
      </c>
      <c r="G2784" s="2">
        <v>276.92</v>
      </c>
      <c r="H2784" t="str">
        <f>"00137390532018V215"</f>
        <v>00137390532018V215</v>
      </c>
    </row>
    <row r="2785" spans="1:8" x14ac:dyDescent="0.25">
      <c r="E2785" t="str">
        <f>"C72201906119733"</f>
        <v>C72201906119733</v>
      </c>
      <c r="F2785" t="str">
        <f>"0012797601C20130529B"</f>
        <v>0012797601C20130529B</v>
      </c>
      <c r="G2785" s="2">
        <v>241.85</v>
      </c>
      <c r="H2785" t="str">
        <f>"0012797601C20130529B"</f>
        <v>0012797601C20130529B</v>
      </c>
    </row>
    <row r="2786" spans="1:8" x14ac:dyDescent="0.25">
      <c r="E2786" t="str">
        <f>"C78201906119733"</f>
        <v>C78201906119733</v>
      </c>
      <c r="F2786" t="str">
        <f>"00105115972005106221"</f>
        <v>00105115972005106221</v>
      </c>
      <c r="G2786" s="2">
        <v>144.68</v>
      </c>
      <c r="H2786" t="str">
        <f>"00105115972005106221"</f>
        <v>00105115972005106221</v>
      </c>
    </row>
    <row r="2787" spans="1:8" x14ac:dyDescent="0.25">
      <c r="E2787" t="str">
        <f>"C79201906119733"</f>
        <v>C79201906119733</v>
      </c>
      <c r="F2787" t="str">
        <f>"0013045733S146091FLB"</f>
        <v>0013045733S146091FLB</v>
      </c>
      <c r="G2787" s="2">
        <v>197.08</v>
      </c>
      <c r="H2787" t="str">
        <f>"0013045733S146091FLB"</f>
        <v>0013045733S146091FLB</v>
      </c>
    </row>
    <row r="2788" spans="1:8" x14ac:dyDescent="0.25">
      <c r="E2788" t="str">
        <f>"C81201906119733"</f>
        <v>C81201906119733</v>
      </c>
      <c r="F2788" t="str">
        <f>"00123916889200232472"</f>
        <v>00123916889200232472</v>
      </c>
      <c r="G2788" s="2">
        <v>109.85</v>
      </c>
      <c r="H2788" t="str">
        <f>"00123916889200232472"</f>
        <v>00123916889200232472</v>
      </c>
    </row>
    <row r="2789" spans="1:8" x14ac:dyDescent="0.25">
      <c r="A2789" t="s">
        <v>452</v>
      </c>
      <c r="B2789">
        <v>158</v>
      </c>
      <c r="C2789" s="2">
        <v>4255.16</v>
      </c>
      <c r="D2789" s="1">
        <v>43644</v>
      </c>
      <c r="E2789" t="str">
        <f>"C18201906250103"</f>
        <v>C18201906250103</v>
      </c>
      <c r="F2789" t="str">
        <f>"CAUSE# 0011635329"</f>
        <v>CAUSE# 0011635329</v>
      </c>
      <c r="G2789" s="2">
        <v>603.23</v>
      </c>
      <c r="H2789" t="str">
        <f>"CAUSE# 0011635329"</f>
        <v>CAUSE# 0011635329</v>
      </c>
    </row>
    <row r="2790" spans="1:8" x14ac:dyDescent="0.25">
      <c r="E2790" t="str">
        <f>"C2 201906250103"</f>
        <v>C2 201906250103</v>
      </c>
      <c r="F2790" t="str">
        <f>"0012982132CCL7445"</f>
        <v>0012982132CCL7445</v>
      </c>
      <c r="G2790" s="2">
        <v>692.31</v>
      </c>
      <c r="H2790" t="str">
        <f>"0012982132CCL7445"</f>
        <v>0012982132CCL7445</v>
      </c>
    </row>
    <row r="2791" spans="1:8" x14ac:dyDescent="0.25">
      <c r="E2791" t="str">
        <f>"C20201906250102"</f>
        <v>C20201906250102</v>
      </c>
      <c r="F2791" t="str">
        <f>"001003981107-12252"</f>
        <v>001003981107-12252</v>
      </c>
      <c r="G2791" s="2">
        <v>115.39</v>
      </c>
      <c r="H2791" t="str">
        <f>"001003981107-12252"</f>
        <v>001003981107-12252</v>
      </c>
    </row>
    <row r="2792" spans="1:8" x14ac:dyDescent="0.25">
      <c r="E2792" t="str">
        <f>"C42201906250102"</f>
        <v>C42201906250102</v>
      </c>
      <c r="F2792" t="str">
        <f>"001236769211-14410"</f>
        <v>001236769211-14410</v>
      </c>
      <c r="G2792" s="2">
        <v>230.31</v>
      </c>
      <c r="H2792" t="str">
        <f>"001236769211-14410"</f>
        <v>001236769211-14410</v>
      </c>
    </row>
    <row r="2793" spans="1:8" x14ac:dyDescent="0.25">
      <c r="E2793" t="str">
        <f>"C46201906250102"</f>
        <v>C46201906250102</v>
      </c>
      <c r="F2793" t="str">
        <f>"CAUSE# 11-14911"</f>
        <v>CAUSE# 11-14911</v>
      </c>
      <c r="G2793" s="2">
        <v>238.62</v>
      </c>
      <c r="H2793" t="str">
        <f>"CAUSE# 11-14911"</f>
        <v>CAUSE# 11-14911</v>
      </c>
    </row>
    <row r="2794" spans="1:8" x14ac:dyDescent="0.25">
      <c r="E2794" t="str">
        <f>"C53201906250102"</f>
        <v>C53201906250102</v>
      </c>
      <c r="F2794" t="str">
        <f>"0012453366"</f>
        <v>0012453366</v>
      </c>
      <c r="G2794" s="2">
        <v>138.46</v>
      </c>
      <c r="H2794" t="str">
        <f>"0012453366"</f>
        <v>0012453366</v>
      </c>
    </row>
    <row r="2795" spans="1:8" x14ac:dyDescent="0.25">
      <c r="E2795" t="str">
        <f>"C60201906250102"</f>
        <v>C60201906250102</v>
      </c>
      <c r="F2795" t="str">
        <f>"00130730762012V300"</f>
        <v>00130730762012V300</v>
      </c>
      <c r="G2795" s="2">
        <v>399.32</v>
      </c>
      <c r="H2795" t="str">
        <f>"00130730762012V300"</f>
        <v>00130730762012V300</v>
      </c>
    </row>
    <row r="2796" spans="1:8" x14ac:dyDescent="0.25">
      <c r="E2796" t="str">
        <f>"C62201906250102"</f>
        <v>C62201906250102</v>
      </c>
      <c r="F2796" t="str">
        <f>"# 0012128865"</f>
        <v># 0012128865</v>
      </c>
      <c r="G2796" s="2">
        <v>243.23</v>
      </c>
      <c r="H2796" t="str">
        <f>"# 0012128865"</f>
        <v># 0012128865</v>
      </c>
    </row>
    <row r="2797" spans="1:8" x14ac:dyDescent="0.25">
      <c r="E2797" t="str">
        <f>"C66201906250102"</f>
        <v>C66201906250102</v>
      </c>
      <c r="F2797" t="str">
        <f>"# 0012871801"</f>
        <v># 0012871801</v>
      </c>
      <c r="G2797" s="2">
        <v>90</v>
      </c>
      <c r="H2797" t="str">
        <f>"# 0012871801"</f>
        <v># 0012871801</v>
      </c>
    </row>
    <row r="2798" spans="1:8" x14ac:dyDescent="0.25">
      <c r="E2798" t="str">
        <f>"C67201906250102"</f>
        <v>C67201906250102</v>
      </c>
      <c r="F2798" t="str">
        <f>"13154657"</f>
        <v>13154657</v>
      </c>
      <c r="G2798" s="2">
        <v>101.99</v>
      </c>
      <c r="H2798" t="str">
        <f>"13154657"</f>
        <v>13154657</v>
      </c>
    </row>
    <row r="2799" spans="1:8" x14ac:dyDescent="0.25">
      <c r="E2799" t="str">
        <f>"C69201906250102"</f>
        <v>C69201906250102</v>
      </c>
      <c r="F2799" t="str">
        <f>"0012046911423672"</f>
        <v>0012046911423672</v>
      </c>
      <c r="G2799" s="2">
        <v>187.38</v>
      </c>
      <c r="H2799" t="str">
        <f>"0012046911423672"</f>
        <v>0012046911423672</v>
      </c>
    </row>
    <row r="2800" spans="1:8" x14ac:dyDescent="0.25">
      <c r="E2800" t="str">
        <f>"C70201906250102"</f>
        <v>C70201906250102</v>
      </c>
      <c r="F2800" t="str">
        <f>"00136881334235026"</f>
        <v>00136881334235026</v>
      </c>
      <c r="G2800" s="2">
        <v>257.45999999999998</v>
      </c>
      <c r="H2800" t="str">
        <f>"00136881334235026"</f>
        <v>00136881334235026</v>
      </c>
    </row>
    <row r="2801" spans="1:8" x14ac:dyDescent="0.25">
      <c r="E2801" t="str">
        <f>"C71201906250102"</f>
        <v>C71201906250102</v>
      </c>
      <c r="F2801" t="str">
        <f>"00137390532018V215"</f>
        <v>00137390532018V215</v>
      </c>
      <c r="G2801" s="2">
        <v>264</v>
      </c>
      <c r="H2801" t="str">
        <f>"00137390532018V215"</f>
        <v>00137390532018V215</v>
      </c>
    </row>
    <row r="2802" spans="1:8" x14ac:dyDescent="0.25">
      <c r="E2802" t="str">
        <f>"C72201906250102"</f>
        <v>C72201906250102</v>
      </c>
      <c r="F2802" t="str">
        <f>"0012797601C20130529B"</f>
        <v>0012797601C20130529B</v>
      </c>
      <c r="G2802" s="2">
        <v>241.85</v>
      </c>
      <c r="H2802" t="str">
        <f>"0012797601C20130529B"</f>
        <v>0012797601C20130529B</v>
      </c>
    </row>
    <row r="2803" spans="1:8" x14ac:dyDescent="0.25">
      <c r="E2803" t="str">
        <f>"C78201906250102"</f>
        <v>C78201906250102</v>
      </c>
      <c r="F2803" t="str">
        <f>"00105115972005106221"</f>
        <v>00105115972005106221</v>
      </c>
      <c r="G2803" s="2">
        <v>144.68</v>
      </c>
      <c r="H2803" t="str">
        <f>"00105115972005106221"</f>
        <v>00105115972005106221</v>
      </c>
    </row>
    <row r="2804" spans="1:8" x14ac:dyDescent="0.25">
      <c r="E2804" t="str">
        <f>"C79201906250102"</f>
        <v>C79201906250102</v>
      </c>
      <c r="F2804" t="str">
        <f>"0013045733S146091FLB"</f>
        <v>0013045733S146091FLB</v>
      </c>
      <c r="G2804" s="2">
        <v>197.08</v>
      </c>
      <c r="H2804" t="str">
        <f>"0013045733S146091FLB"</f>
        <v>0013045733S146091FLB</v>
      </c>
    </row>
    <row r="2805" spans="1:8" x14ac:dyDescent="0.25">
      <c r="E2805" t="str">
        <f>"C81201906250102"</f>
        <v>C81201906250102</v>
      </c>
      <c r="F2805" t="str">
        <f>"00123916889200232472"</f>
        <v>00123916889200232472</v>
      </c>
      <c r="G2805" s="2">
        <v>109.85</v>
      </c>
      <c r="H2805" t="str">
        <f>"00123916889200232472"</f>
        <v>00123916889200232472</v>
      </c>
    </row>
    <row r="2806" spans="1:8" x14ac:dyDescent="0.25">
      <c r="A2806" t="s">
        <v>453</v>
      </c>
      <c r="B2806">
        <v>160</v>
      </c>
      <c r="C2806" s="2">
        <v>336696.71</v>
      </c>
      <c r="D2806" s="1">
        <v>43644</v>
      </c>
      <c r="E2806" t="str">
        <f>"RET201906119733"</f>
        <v>RET201906119733</v>
      </c>
      <c r="F2806" t="str">
        <f>"TEXAS COUNTY &amp; DISTRICT RET"</f>
        <v>TEXAS COUNTY &amp; DISTRICT RET</v>
      </c>
      <c r="G2806" s="2">
        <v>155181.72</v>
      </c>
      <c r="H2806" t="str">
        <f t="shared" ref="H2806:H2837" si="69">"TEXAS COUNTY &amp; DISTRICT RET"</f>
        <v>TEXAS COUNTY &amp; DISTRICT RET</v>
      </c>
    </row>
    <row r="2807" spans="1:8" x14ac:dyDescent="0.25">
      <c r="E2807" t="str">
        <f>""</f>
        <v/>
      </c>
      <c r="F2807" t="str">
        <f>""</f>
        <v/>
      </c>
      <c r="H2807" t="str">
        <f t="shared" si="69"/>
        <v>TEXAS COUNTY &amp; DISTRICT RET</v>
      </c>
    </row>
    <row r="2808" spans="1:8" x14ac:dyDescent="0.25">
      <c r="E2808" t="str">
        <f>""</f>
        <v/>
      </c>
      <c r="F2808" t="str">
        <f>""</f>
        <v/>
      </c>
      <c r="H2808" t="str">
        <f t="shared" si="69"/>
        <v>TEXAS COUNTY &amp; DISTRICT RET</v>
      </c>
    </row>
    <row r="2809" spans="1:8" x14ac:dyDescent="0.25">
      <c r="E2809" t="str">
        <f>""</f>
        <v/>
      </c>
      <c r="F2809" t="str">
        <f>""</f>
        <v/>
      </c>
      <c r="H2809" t="str">
        <f t="shared" si="69"/>
        <v>TEXAS COUNTY &amp; DISTRICT RET</v>
      </c>
    </row>
    <row r="2810" spans="1:8" x14ac:dyDescent="0.25">
      <c r="E2810" t="str">
        <f>""</f>
        <v/>
      </c>
      <c r="F2810" t="str">
        <f>""</f>
        <v/>
      </c>
      <c r="H2810" t="str">
        <f t="shared" si="69"/>
        <v>TEXAS COUNTY &amp; DISTRICT RET</v>
      </c>
    </row>
    <row r="2811" spans="1:8" x14ac:dyDescent="0.25">
      <c r="E2811" t="str">
        <f>""</f>
        <v/>
      </c>
      <c r="F2811" t="str">
        <f>""</f>
        <v/>
      </c>
      <c r="H2811" t="str">
        <f t="shared" si="69"/>
        <v>TEXAS COUNTY &amp; DISTRICT RET</v>
      </c>
    </row>
    <row r="2812" spans="1:8" x14ac:dyDescent="0.25">
      <c r="E2812" t="str">
        <f>""</f>
        <v/>
      </c>
      <c r="F2812" t="str">
        <f>""</f>
        <v/>
      </c>
      <c r="H2812" t="str">
        <f t="shared" si="69"/>
        <v>TEXAS COUNTY &amp; DISTRICT RET</v>
      </c>
    </row>
    <row r="2813" spans="1:8" x14ac:dyDescent="0.25">
      <c r="E2813" t="str">
        <f>""</f>
        <v/>
      </c>
      <c r="F2813" t="str">
        <f>""</f>
        <v/>
      </c>
      <c r="H2813" t="str">
        <f t="shared" si="69"/>
        <v>TEXAS COUNTY &amp; DISTRICT RET</v>
      </c>
    </row>
    <row r="2814" spans="1:8" x14ac:dyDescent="0.25">
      <c r="E2814" t="str">
        <f>""</f>
        <v/>
      </c>
      <c r="F2814" t="str">
        <f>""</f>
        <v/>
      </c>
      <c r="H2814" t="str">
        <f t="shared" si="69"/>
        <v>TEXAS COUNTY &amp; DISTRICT RET</v>
      </c>
    </row>
    <row r="2815" spans="1:8" x14ac:dyDescent="0.25">
      <c r="E2815" t="str">
        <f>""</f>
        <v/>
      </c>
      <c r="F2815" t="str">
        <f>""</f>
        <v/>
      </c>
      <c r="H2815" t="str">
        <f t="shared" si="69"/>
        <v>TEXAS COUNTY &amp; DISTRICT RET</v>
      </c>
    </row>
    <row r="2816" spans="1:8" x14ac:dyDescent="0.25">
      <c r="E2816" t="str">
        <f>""</f>
        <v/>
      </c>
      <c r="F2816" t="str">
        <f>""</f>
        <v/>
      </c>
      <c r="H2816" t="str">
        <f t="shared" si="69"/>
        <v>TEXAS COUNTY &amp; DISTRICT RET</v>
      </c>
    </row>
    <row r="2817" spans="5:8" x14ac:dyDescent="0.25">
      <c r="E2817" t="str">
        <f>""</f>
        <v/>
      </c>
      <c r="F2817" t="str">
        <f>""</f>
        <v/>
      </c>
      <c r="H2817" t="str">
        <f t="shared" si="69"/>
        <v>TEXAS COUNTY &amp; DISTRICT RET</v>
      </c>
    </row>
    <row r="2818" spans="5:8" x14ac:dyDescent="0.25">
      <c r="E2818" t="str">
        <f>""</f>
        <v/>
      </c>
      <c r="F2818" t="str">
        <f>""</f>
        <v/>
      </c>
      <c r="H2818" t="str">
        <f t="shared" si="69"/>
        <v>TEXAS COUNTY &amp; DISTRICT RET</v>
      </c>
    </row>
    <row r="2819" spans="5:8" x14ac:dyDescent="0.25">
      <c r="E2819" t="str">
        <f>""</f>
        <v/>
      </c>
      <c r="F2819" t="str">
        <f>""</f>
        <v/>
      </c>
      <c r="H2819" t="str">
        <f t="shared" si="69"/>
        <v>TEXAS COUNTY &amp; DISTRICT RET</v>
      </c>
    </row>
    <row r="2820" spans="5:8" x14ac:dyDescent="0.25">
      <c r="E2820" t="str">
        <f>""</f>
        <v/>
      </c>
      <c r="F2820" t="str">
        <f>""</f>
        <v/>
      </c>
      <c r="H2820" t="str">
        <f t="shared" si="69"/>
        <v>TEXAS COUNTY &amp; DISTRICT RET</v>
      </c>
    </row>
    <row r="2821" spans="5:8" x14ac:dyDescent="0.25">
      <c r="E2821" t="str">
        <f>""</f>
        <v/>
      </c>
      <c r="F2821" t="str">
        <f>""</f>
        <v/>
      </c>
      <c r="H2821" t="str">
        <f t="shared" si="69"/>
        <v>TEXAS COUNTY &amp; DISTRICT RET</v>
      </c>
    </row>
    <row r="2822" spans="5:8" x14ac:dyDescent="0.25">
      <c r="E2822" t="str">
        <f>""</f>
        <v/>
      </c>
      <c r="F2822" t="str">
        <f>""</f>
        <v/>
      </c>
      <c r="H2822" t="str">
        <f t="shared" si="69"/>
        <v>TEXAS COUNTY &amp; DISTRICT RET</v>
      </c>
    </row>
    <row r="2823" spans="5:8" x14ac:dyDescent="0.25">
      <c r="E2823" t="str">
        <f>""</f>
        <v/>
      </c>
      <c r="F2823" t="str">
        <f>""</f>
        <v/>
      </c>
      <c r="H2823" t="str">
        <f t="shared" si="69"/>
        <v>TEXAS COUNTY &amp; DISTRICT RET</v>
      </c>
    </row>
    <row r="2824" spans="5:8" x14ac:dyDescent="0.25">
      <c r="E2824" t="str">
        <f>""</f>
        <v/>
      </c>
      <c r="F2824" t="str">
        <f>""</f>
        <v/>
      </c>
      <c r="H2824" t="str">
        <f t="shared" si="69"/>
        <v>TEXAS COUNTY &amp; DISTRICT RET</v>
      </c>
    </row>
    <row r="2825" spans="5:8" x14ac:dyDescent="0.25">
      <c r="E2825" t="str">
        <f>""</f>
        <v/>
      </c>
      <c r="F2825" t="str">
        <f>""</f>
        <v/>
      </c>
      <c r="H2825" t="str">
        <f t="shared" si="69"/>
        <v>TEXAS COUNTY &amp; DISTRICT RET</v>
      </c>
    </row>
    <row r="2826" spans="5:8" x14ac:dyDescent="0.25">
      <c r="E2826" t="str">
        <f>""</f>
        <v/>
      </c>
      <c r="F2826" t="str">
        <f>""</f>
        <v/>
      </c>
      <c r="H2826" t="str">
        <f t="shared" si="69"/>
        <v>TEXAS COUNTY &amp; DISTRICT RET</v>
      </c>
    </row>
    <row r="2827" spans="5:8" x14ac:dyDescent="0.25">
      <c r="E2827" t="str">
        <f>""</f>
        <v/>
      </c>
      <c r="F2827" t="str">
        <f>""</f>
        <v/>
      </c>
      <c r="H2827" t="str">
        <f t="shared" si="69"/>
        <v>TEXAS COUNTY &amp; DISTRICT RET</v>
      </c>
    </row>
    <row r="2828" spans="5:8" x14ac:dyDescent="0.25">
      <c r="E2828" t="str">
        <f>""</f>
        <v/>
      </c>
      <c r="F2828" t="str">
        <f>""</f>
        <v/>
      </c>
      <c r="H2828" t="str">
        <f t="shared" si="69"/>
        <v>TEXAS COUNTY &amp; DISTRICT RET</v>
      </c>
    </row>
    <row r="2829" spans="5:8" x14ac:dyDescent="0.25">
      <c r="E2829" t="str">
        <f>""</f>
        <v/>
      </c>
      <c r="F2829" t="str">
        <f>""</f>
        <v/>
      </c>
      <c r="H2829" t="str">
        <f t="shared" si="69"/>
        <v>TEXAS COUNTY &amp; DISTRICT RET</v>
      </c>
    </row>
    <row r="2830" spans="5:8" x14ac:dyDescent="0.25">
      <c r="E2830" t="str">
        <f>""</f>
        <v/>
      </c>
      <c r="F2830" t="str">
        <f>""</f>
        <v/>
      </c>
      <c r="H2830" t="str">
        <f t="shared" si="69"/>
        <v>TEXAS COUNTY &amp; DISTRICT RET</v>
      </c>
    </row>
    <row r="2831" spans="5:8" x14ac:dyDescent="0.25">
      <c r="E2831" t="str">
        <f>""</f>
        <v/>
      </c>
      <c r="F2831" t="str">
        <f>""</f>
        <v/>
      </c>
      <c r="H2831" t="str">
        <f t="shared" si="69"/>
        <v>TEXAS COUNTY &amp; DISTRICT RET</v>
      </c>
    </row>
    <row r="2832" spans="5:8" x14ac:dyDescent="0.25">
      <c r="E2832" t="str">
        <f>""</f>
        <v/>
      </c>
      <c r="F2832" t="str">
        <f>""</f>
        <v/>
      </c>
      <c r="H2832" t="str">
        <f t="shared" si="69"/>
        <v>TEXAS COUNTY &amp; DISTRICT RET</v>
      </c>
    </row>
    <row r="2833" spans="5:8" x14ac:dyDescent="0.25">
      <c r="E2833" t="str">
        <f>""</f>
        <v/>
      </c>
      <c r="F2833" t="str">
        <f>""</f>
        <v/>
      </c>
      <c r="H2833" t="str">
        <f t="shared" si="69"/>
        <v>TEXAS COUNTY &amp; DISTRICT RET</v>
      </c>
    </row>
    <row r="2834" spans="5:8" x14ac:dyDescent="0.25">
      <c r="E2834" t="str">
        <f>""</f>
        <v/>
      </c>
      <c r="F2834" t="str">
        <f>""</f>
        <v/>
      </c>
      <c r="H2834" t="str">
        <f t="shared" si="69"/>
        <v>TEXAS COUNTY &amp; DISTRICT RET</v>
      </c>
    </row>
    <row r="2835" spans="5:8" x14ac:dyDescent="0.25">
      <c r="E2835" t="str">
        <f>""</f>
        <v/>
      </c>
      <c r="F2835" t="str">
        <f>""</f>
        <v/>
      </c>
      <c r="H2835" t="str">
        <f t="shared" si="69"/>
        <v>TEXAS COUNTY &amp; DISTRICT RET</v>
      </c>
    </row>
    <row r="2836" spans="5:8" x14ac:dyDescent="0.25">
      <c r="E2836" t="str">
        <f>""</f>
        <v/>
      </c>
      <c r="F2836" t="str">
        <f>""</f>
        <v/>
      </c>
      <c r="H2836" t="str">
        <f t="shared" si="69"/>
        <v>TEXAS COUNTY &amp; DISTRICT RET</v>
      </c>
    </row>
    <row r="2837" spans="5:8" x14ac:dyDescent="0.25">
      <c r="E2837" t="str">
        <f>""</f>
        <v/>
      </c>
      <c r="F2837" t="str">
        <f>""</f>
        <v/>
      </c>
      <c r="H2837" t="str">
        <f t="shared" si="69"/>
        <v>TEXAS COUNTY &amp; DISTRICT RET</v>
      </c>
    </row>
    <row r="2838" spans="5:8" x14ac:dyDescent="0.25">
      <c r="E2838" t="str">
        <f>""</f>
        <v/>
      </c>
      <c r="F2838" t="str">
        <f>""</f>
        <v/>
      </c>
      <c r="H2838" t="str">
        <f t="shared" ref="H2838:H2856" si="70">"TEXAS COUNTY &amp; DISTRICT RET"</f>
        <v>TEXAS COUNTY &amp; DISTRICT RET</v>
      </c>
    </row>
    <row r="2839" spans="5:8" x14ac:dyDescent="0.25">
      <c r="E2839" t="str">
        <f>""</f>
        <v/>
      </c>
      <c r="F2839" t="str">
        <f>""</f>
        <v/>
      </c>
      <c r="H2839" t="str">
        <f t="shared" si="70"/>
        <v>TEXAS COUNTY &amp; DISTRICT RET</v>
      </c>
    </row>
    <row r="2840" spans="5:8" x14ac:dyDescent="0.25">
      <c r="E2840" t="str">
        <f>""</f>
        <v/>
      </c>
      <c r="F2840" t="str">
        <f>""</f>
        <v/>
      </c>
      <c r="H2840" t="str">
        <f t="shared" si="70"/>
        <v>TEXAS COUNTY &amp; DISTRICT RET</v>
      </c>
    </row>
    <row r="2841" spans="5:8" x14ac:dyDescent="0.25">
      <c r="E2841" t="str">
        <f>""</f>
        <v/>
      </c>
      <c r="F2841" t="str">
        <f>""</f>
        <v/>
      </c>
      <c r="H2841" t="str">
        <f t="shared" si="70"/>
        <v>TEXAS COUNTY &amp; DISTRICT RET</v>
      </c>
    </row>
    <row r="2842" spans="5:8" x14ac:dyDescent="0.25">
      <c r="E2842" t="str">
        <f>""</f>
        <v/>
      </c>
      <c r="F2842" t="str">
        <f>""</f>
        <v/>
      </c>
      <c r="H2842" t="str">
        <f t="shared" si="70"/>
        <v>TEXAS COUNTY &amp; DISTRICT RET</v>
      </c>
    </row>
    <row r="2843" spans="5:8" x14ac:dyDescent="0.25">
      <c r="E2843" t="str">
        <f>""</f>
        <v/>
      </c>
      <c r="F2843" t="str">
        <f>""</f>
        <v/>
      </c>
      <c r="H2843" t="str">
        <f t="shared" si="70"/>
        <v>TEXAS COUNTY &amp; DISTRICT RET</v>
      </c>
    </row>
    <row r="2844" spans="5:8" x14ac:dyDescent="0.25">
      <c r="E2844" t="str">
        <f>""</f>
        <v/>
      </c>
      <c r="F2844" t="str">
        <f>""</f>
        <v/>
      </c>
      <c r="H2844" t="str">
        <f t="shared" si="70"/>
        <v>TEXAS COUNTY &amp; DISTRICT RET</v>
      </c>
    </row>
    <row r="2845" spans="5:8" x14ac:dyDescent="0.25">
      <c r="E2845" t="str">
        <f>""</f>
        <v/>
      </c>
      <c r="F2845" t="str">
        <f>""</f>
        <v/>
      </c>
      <c r="H2845" t="str">
        <f t="shared" si="70"/>
        <v>TEXAS COUNTY &amp; DISTRICT RET</v>
      </c>
    </row>
    <row r="2846" spans="5:8" x14ac:dyDescent="0.25">
      <c r="E2846" t="str">
        <f>""</f>
        <v/>
      </c>
      <c r="F2846" t="str">
        <f>""</f>
        <v/>
      </c>
      <c r="H2846" t="str">
        <f t="shared" si="70"/>
        <v>TEXAS COUNTY &amp; DISTRICT RET</v>
      </c>
    </row>
    <row r="2847" spans="5:8" x14ac:dyDescent="0.25">
      <c r="E2847" t="str">
        <f>""</f>
        <v/>
      </c>
      <c r="F2847" t="str">
        <f>""</f>
        <v/>
      </c>
      <c r="H2847" t="str">
        <f t="shared" si="70"/>
        <v>TEXAS COUNTY &amp; DISTRICT RET</v>
      </c>
    </row>
    <row r="2848" spans="5:8" x14ac:dyDescent="0.25">
      <c r="E2848" t="str">
        <f>""</f>
        <v/>
      </c>
      <c r="F2848" t="str">
        <f>""</f>
        <v/>
      </c>
      <c r="H2848" t="str">
        <f t="shared" si="70"/>
        <v>TEXAS COUNTY &amp; DISTRICT RET</v>
      </c>
    </row>
    <row r="2849" spans="5:8" x14ac:dyDescent="0.25">
      <c r="E2849" t="str">
        <f>""</f>
        <v/>
      </c>
      <c r="F2849" t="str">
        <f>""</f>
        <v/>
      </c>
      <c r="H2849" t="str">
        <f t="shared" si="70"/>
        <v>TEXAS COUNTY &amp; DISTRICT RET</v>
      </c>
    </row>
    <row r="2850" spans="5:8" x14ac:dyDescent="0.25">
      <c r="E2850" t="str">
        <f>""</f>
        <v/>
      </c>
      <c r="F2850" t="str">
        <f>""</f>
        <v/>
      </c>
      <c r="H2850" t="str">
        <f t="shared" si="70"/>
        <v>TEXAS COUNTY &amp; DISTRICT RET</v>
      </c>
    </row>
    <row r="2851" spans="5:8" x14ac:dyDescent="0.25">
      <c r="E2851" t="str">
        <f>""</f>
        <v/>
      </c>
      <c r="F2851" t="str">
        <f>""</f>
        <v/>
      </c>
      <c r="H2851" t="str">
        <f t="shared" si="70"/>
        <v>TEXAS COUNTY &amp; DISTRICT RET</v>
      </c>
    </row>
    <row r="2852" spans="5:8" x14ac:dyDescent="0.25">
      <c r="E2852" t="str">
        <f>""</f>
        <v/>
      </c>
      <c r="F2852" t="str">
        <f>""</f>
        <v/>
      </c>
      <c r="H2852" t="str">
        <f t="shared" si="70"/>
        <v>TEXAS COUNTY &amp; DISTRICT RET</v>
      </c>
    </row>
    <row r="2853" spans="5:8" x14ac:dyDescent="0.25">
      <c r="E2853" t="str">
        <f>""</f>
        <v/>
      </c>
      <c r="F2853" t="str">
        <f>""</f>
        <v/>
      </c>
      <c r="H2853" t="str">
        <f t="shared" si="70"/>
        <v>TEXAS COUNTY &amp; DISTRICT RET</v>
      </c>
    </row>
    <row r="2854" spans="5:8" x14ac:dyDescent="0.25">
      <c r="E2854" t="str">
        <f>""</f>
        <v/>
      </c>
      <c r="F2854" t="str">
        <f>""</f>
        <v/>
      </c>
      <c r="H2854" t="str">
        <f t="shared" si="70"/>
        <v>TEXAS COUNTY &amp; DISTRICT RET</v>
      </c>
    </row>
    <row r="2855" spans="5:8" x14ac:dyDescent="0.25">
      <c r="E2855" t="str">
        <f>""</f>
        <v/>
      </c>
      <c r="F2855" t="str">
        <f>""</f>
        <v/>
      </c>
      <c r="H2855" t="str">
        <f t="shared" si="70"/>
        <v>TEXAS COUNTY &amp; DISTRICT RET</v>
      </c>
    </row>
    <row r="2856" spans="5:8" x14ac:dyDescent="0.25">
      <c r="E2856" t="str">
        <f>""</f>
        <v/>
      </c>
      <c r="F2856" t="str">
        <f>""</f>
        <v/>
      </c>
      <c r="H2856" t="str">
        <f t="shared" si="70"/>
        <v>TEXAS COUNTY &amp; DISTRICT RET</v>
      </c>
    </row>
    <row r="2857" spans="5:8" x14ac:dyDescent="0.25">
      <c r="E2857" t="str">
        <f>"RET201906119734"</f>
        <v>RET201906119734</v>
      </c>
      <c r="F2857" t="str">
        <f>"TEXAS COUNTY  DISTRICT RET"</f>
        <v>TEXAS COUNTY  DISTRICT RET</v>
      </c>
      <c r="G2857" s="2">
        <v>5823.93</v>
      </c>
      <c r="H2857" t="str">
        <f>"TEXAS COUNTY  DISTRICT RET"</f>
        <v>TEXAS COUNTY  DISTRICT RET</v>
      </c>
    </row>
    <row r="2858" spans="5:8" x14ac:dyDescent="0.25">
      <c r="E2858" t="str">
        <f>""</f>
        <v/>
      </c>
      <c r="F2858" t="str">
        <f>""</f>
        <v/>
      </c>
      <c r="H2858" t="str">
        <f>"TEXAS COUNTY  DISTRICT RET"</f>
        <v>TEXAS COUNTY  DISTRICT RET</v>
      </c>
    </row>
    <row r="2859" spans="5:8" x14ac:dyDescent="0.25">
      <c r="E2859" t="str">
        <f>"RET201906119735"</f>
        <v>RET201906119735</v>
      </c>
      <c r="F2859" t="str">
        <f>"TEXAS COUNTY &amp; DISTRICT RET"</f>
        <v>TEXAS COUNTY &amp; DISTRICT RET</v>
      </c>
      <c r="G2859" s="2">
        <v>7497.18</v>
      </c>
      <c r="H2859" t="str">
        <f t="shared" ref="H2859:H2890" si="71">"TEXAS COUNTY &amp; DISTRICT RET"</f>
        <v>TEXAS COUNTY &amp; DISTRICT RET</v>
      </c>
    </row>
    <row r="2860" spans="5:8" x14ac:dyDescent="0.25">
      <c r="E2860" t="str">
        <f>""</f>
        <v/>
      </c>
      <c r="F2860" t="str">
        <f>""</f>
        <v/>
      </c>
      <c r="H2860" t="str">
        <f t="shared" si="71"/>
        <v>TEXAS COUNTY &amp; DISTRICT RET</v>
      </c>
    </row>
    <row r="2861" spans="5:8" x14ac:dyDescent="0.25">
      <c r="E2861" t="str">
        <f>"RET201906250102"</f>
        <v>RET201906250102</v>
      </c>
      <c r="F2861" t="str">
        <f>"TEXAS COUNTY &amp; DISTRICT RET"</f>
        <v>TEXAS COUNTY &amp; DISTRICT RET</v>
      </c>
      <c r="G2861" s="2">
        <v>154481.46</v>
      </c>
      <c r="H2861" t="str">
        <f t="shared" si="71"/>
        <v>TEXAS COUNTY &amp; DISTRICT RET</v>
      </c>
    </row>
    <row r="2862" spans="5:8" x14ac:dyDescent="0.25">
      <c r="E2862" t="str">
        <f>""</f>
        <v/>
      </c>
      <c r="F2862" t="str">
        <f>""</f>
        <v/>
      </c>
      <c r="H2862" t="str">
        <f t="shared" si="71"/>
        <v>TEXAS COUNTY &amp; DISTRICT RET</v>
      </c>
    </row>
    <row r="2863" spans="5:8" x14ac:dyDescent="0.25">
      <c r="E2863" t="str">
        <f>""</f>
        <v/>
      </c>
      <c r="F2863" t="str">
        <f>""</f>
        <v/>
      </c>
      <c r="H2863" t="str">
        <f t="shared" si="71"/>
        <v>TEXAS COUNTY &amp; DISTRICT RET</v>
      </c>
    </row>
    <row r="2864" spans="5:8" x14ac:dyDescent="0.25">
      <c r="E2864" t="str">
        <f>""</f>
        <v/>
      </c>
      <c r="F2864" t="str">
        <f>""</f>
        <v/>
      </c>
      <c r="H2864" t="str">
        <f t="shared" si="71"/>
        <v>TEXAS COUNTY &amp; DISTRICT RET</v>
      </c>
    </row>
    <row r="2865" spans="5:8" x14ac:dyDescent="0.25">
      <c r="E2865" t="str">
        <f>""</f>
        <v/>
      </c>
      <c r="F2865" t="str">
        <f>""</f>
        <v/>
      </c>
      <c r="H2865" t="str">
        <f t="shared" si="71"/>
        <v>TEXAS COUNTY &amp; DISTRICT RET</v>
      </c>
    </row>
    <row r="2866" spans="5:8" x14ac:dyDescent="0.25">
      <c r="E2866" t="str">
        <f>""</f>
        <v/>
      </c>
      <c r="F2866" t="str">
        <f>""</f>
        <v/>
      </c>
      <c r="H2866" t="str">
        <f t="shared" si="71"/>
        <v>TEXAS COUNTY &amp; DISTRICT RET</v>
      </c>
    </row>
    <row r="2867" spans="5:8" x14ac:dyDescent="0.25">
      <c r="E2867" t="str">
        <f>""</f>
        <v/>
      </c>
      <c r="F2867" t="str">
        <f>""</f>
        <v/>
      </c>
      <c r="H2867" t="str">
        <f t="shared" si="71"/>
        <v>TEXAS COUNTY &amp; DISTRICT RET</v>
      </c>
    </row>
    <row r="2868" spans="5:8" x14ac:dyDescent="0.25">
      <c r="E2868" t="str">
        <f>""</f>
        <v/>
      </c>
      <c r="F2868" t="str">
        <f>""</f>
        <v/>
      </c>
      <c r="H2868" t="str">
        <f t="shared" si="71"/>
        <v>TEXAS COUNTY &amp; DISTRICT RET</v>
      </c>
    </row>
    <row r="2869" spans="5:8" x14ac:dyDescent="0.25">
      <c r="E2869" t="str">
        <f>""</f>
        <v/>
      </c>
      <c r="F2869" t="str">
        <f>""</f>
        <v/>
      </c>
      <c r="H2869" t="str">
        <f t="shared" si="71"/>
        <v>TEXAS COUNTY &amp; DISTRICT RET</v>
      </c>
    </row>
    <row r="2870" spans="5:8" x14ac:dyDescent="0.25">
      <c r="E2870" t="str">
        <f>""</f>
        <v/>
      </c>
      <c r="F2870" t="str">
        <f>""</f>
        <v/>
      </c>
      <c r="H2870" t="str">
        <f t="shared" si="71"/>
        <v>TEXAS COUNTY &amp; DISTRICT RET</v>
      </c>
    </row>
    <row r="2871" spans="5:8" x14ac:dyDescent="0.25">
      <c r="E2871" t="str">
        <f>""</f>
        <v/>
      </c>
      <c r="F2871" t="str">
        <f>""</f>
        <v/>
      </c>
      <c r="H2871" t="str">
        <f t="shared" si="71"/>
        <v>TEXAS COUNTY &amp; DISTRICT RET</v>
      </c>
    </row>
    <row r="2872" spans="5:8" x14ac:dyDescent="0.25">
      <c r="E2872" t="str">
        <f>""</f>
        <v/>
      </c>
      <c r="F2872" t="str">
        <f>""</f>
        <v/>
      </c>
      <c r="H2872" t="str">
        <f t="shared" si="71"/>
        <v>TEXAS COUNTY &amp; DISTRICT RET</v>
      </c>
    </row>
    <row r="2873" spans="5:8" x14ac:dyDescent="0.25">
      <c r="E2873" t="str">
        <f>""</f>
        <v/>
      </c>
      <c r="F2873" t="str">
        <f>""</f>
        <v/>
      </c>
      <c r="H2873" t="str">
        <f t="shared" si="71"/>
        <v>TEXAS COUNTY &amp; DISTRICT RET</v>
      </c>
    </row>
    <row r="2874" spans="5:8" x14ac:dyDescent="0.25">
      <c r="E2874" t="str">
        <f>""</f>
        <v/>
      </c>
      <c r="F2874" t="str">
        <f>""</f>
        <v/>
      </c>
      <c r="H2874" t="str">
        <f t="shared" si="71"/>
        <v>TEXAS COUNTY &amp; DISTRICT RET</v>
      </c>
    </row>
    <row r="2875" spans="5:8" x14ac:dyDescent="0.25">
      <c r="E2875" t="str">
        <f>""</f>
        <v/>
      </c>
      <c r="F2875" t="str">
        <f>""</f>
        <v/>
      </c>
      <c r="H2875" t="str">
        <f t="shared" si="71"/>
        <v>TEXAS COUNTY &amp; DISTRICT RET</v>
      </c>
    </row>
    <row r="2876" spans="5:8" x14ac:dyDescent="0.25">
      <c r="E2876" t="str">
        <f>""</f>
        <v/>
      </c>
      <c r="F2876" t="str">
        <f>""</f>
        <v/>
      </c>
      <c r="H2876" t="str">
        <f t="shared" si="71"/>
        <v>TEXAS COUNTY &amp; DISTRICT RET</v>
      </c>
    </row>
    <row r="2877" spans="5:8" x14ac:dyDescent="0.25">
      <c r="E2877" t="str">
        <f>""</f>
        <v/>
      </c>
      <c r="F2877" t="str">
        <f>""</f>
        <v/>
      </c>
      <c r="H2877" t="str">
        <f t="shared" si="71"/>
        <v>TEXAS COUNTY &amp; DISTRICT RET</v>
      </c>
    </row>
    <row r="2878" spans="5:8" x14ac:dyDescent="0.25">
      <c r="E2878" t="str">
        <f>""</f>
        <v/>
      </c>
      <c r="F2878" t="str">
        <f>""</f>
        <v/>
      </c>
      <c r="H2878" t="str">
        <f t="shared" si="71"/>
        <v>TEXAS COUNTY &amp; DISTRICT RET</v>
      </c>
    </row>
    <row r="2879" spans="5:8" x14ac:dyDescent="0.25">
      <c r="E2879" t="str">
        <f>""</f>
        <v/>
      </c>
      <c r="F2879" t="str">
        <f>""</f>
        <v/>
      </c>
      <c r="H2879" t="str">
        <f t="shared" si="71"/>
        <v>TEXAS COUNTY &amp; DISTRICT RET</v>
      </c>
    </row>
    <row r="2880" spans="5:8" x14ac:dyDescent="0.25">
      <c r="E2880" t="str">
        <f>""</f>
        <v/>
      </c>
      <c r="F2880" t="str">
        <f>""</f>
        <v/>
      </c>
      <c r="H2880" t="str">
        <f t="shared" si="71"/>
        <v>TEXAS COUNTY &amp; DISTRICT RET</v>
      </c>
    </row>
    <row r="2881" spans="5:8" x14ac:dyDescent="0.25">
      <c r="E2881" t="str">
        <f>""</f>
        <v/>
      </c>
      <c r="F2881" t="str">
        <f>""</f>
        <v/>
      </c>
      <c r="H2881" t="str">
        <f t="shared" si="71"/>
        <v>TEXAS COUNTY &amp; DISTRICT RET</v>
      </c>
    </row>
    <row r="2882" spans="5:8" x14ac:dyDescent="0.25">
      <c r="E2882" t="str">
        <f>""</f>
        <v/>
      </c>
      <c r="F2882" t="str">
        <f>""</f>
        <v/>
      </c>
      <c r="H2882" t="str">
        <f t="shared" si="71"/>
        <v>TEXAS COUNTY &amp; DISTRICT RET</v>
      </c>
    </row>
    <row r="2883" spans="5:8" x14ac:dyDescent="0.25">
      <c r="E2883" t="str">
        <f>""</f>
        <v/>
      </c>
      <c r="F2883" t="str">
        <f>""</f>
        <v/>
      </c>
      <c r="H2883" t="str">
        <f t="shared" si="71"/>
        <v>TEXAS COUNTY &amp; DISTRICT RET</v>
      </c>
    </row>
    <row r="2884" spans="5:8" x14ac:dyDescent="0.25">
      <c r="E2884" t="str">
        <f>""</f>
        <v/>
      </c>
      <c r="F2884" t="str">
        <f>""</f>
        <v/>
      </c>
      <c r="H2884" t="str">
        <f t="shared" si="71"/>
        <v>TEXAS COUNTY &amp; DISTRICT RET</v>
      </c>
    </row>
    <row r="2885" spans="5:8" x14ac:dyDescent="0.25">
      <c r="E2885" t="str">
        <f>""</f>
        <v/>
      </c>
      <c r="F2885" t="str">
        <f>""</f>
        <v/>
      </c>
      <c r="H2885" t="str">
        <f t="shared" si="71"/>
        <v>TEXAS COUNTY &amp; DISTRICT RET</v>
      </c>
    </row>
    <row r="2886" spans="5:8" x14ac:dyDescent="0.25">
      <c r="E2886" t="str">
        <f>""</f>
        <v/>
      </c>
      <c r="F2886" t="str">
        <f>""</f>
        <v/>
      </c>
      <c r="H2886" t="str">
        <f t="shared" si="71"/>
        <v>TEXAS COUNTY &amp; DISTRICT RET</v>
      </c>
    </row>
    <row r="2887" spans="5:8" x14ac:dyDescent="0.25">
      <c r="E2887" t="str">
        <f>""</f>
        <v/>
      </c>
      <c r="F2887" t="str">
        <f>""</f>
        <v/>
      </c>
      <c r="H2887" t="str">
        <f t="shared" si="71"/>
        <v>TEXAS COUNTY &amp; DISTRICT RET</v>
      </c>
    </row>
    <row r="2888" spans="5:8" x14ac:dyDescent="0.25">
      <c r="E2888" t="str">
        <f>""</f>
        <v/>
      </c>
      <c r="F2888" t="str">
        <f>""</f>
        <v/>
      </c>
      <c r="H2888" t="str">
        <f t="shared" si="71"/>
        <v>TEXAS COUNTY &amp; DISTRICT RET</v>
      </c>
    </row>
    <row r="2889" spans="5:8" x14ac:dyDescent="0.25">
      <c r="E2889" t="str">
        <f>""</f>
        <v/>
      </c>
      <c r="F2889" t="str">
        <f>""</f>
        <v/>
      </c>
      <c r="H2889" t="str">
        <f t="shared" si="71"/>
        <v>TEXAS COUNTY &amp; DISTRICT RET</v>
      </c>
    </row>
    <row r="2890" spans="5:8" x14ac:dyDescent="0.25">
      <c r="E2890" t="str">
        <f>""</f>
        <v/>
      </c>
      <c r="F2890" t="str">
        <f>""</f>
        <v/>
      </c>
      <c r="H2890" t="str">
        <f t="shared" si="71"/>
        <v>TEXAS COUNTY &amp; DISTRICT RET</v>
      </c>
    </row>
    <row r="2891" spans="5:8" x14ac:dyDescent="0.25">
      <c r="E2891" t="str">
        <f>""</f>
        <v/>
      </c>
      <c r="F2891" t="str">
        <f>""</f>
        <v/>
      </c>
      <c r="H2891" t="str">
        <f t="shared" ref="H2891:H2911" si="72">"TEXAS COUNTY &amp; DISTRICT RET"</f>
        <v>TEXAS COUNTY &amp; DISTRICT RET</v>
      </c>
    </row>
    <row r="2892" spans="5:8" x14ac:dyDescent="0.25">
      <c r="E2892" t="str">
        <f>""</f>
        <v/>
      </c>
      <c r="F2892" t="str">
        <f>""</f>
        <v/>
      </c>
      <c r="H2892" t="str">
        <f t="shared" si="72"/>
        <v>TEXAS COUNTY &amp; DISTRICT RET</v>
      </c>
    </row>
    <row r="2893" spans="5:8" x14ac:dyDescent="0.25">
      <c r="E2893" t="str">
        <f>""</f>
        <v/>
      </c>
      <c r="F2893" t="str">
        <f>""</f>
        <v/>
      </c>
      <c r="H2893" t="str">
        <f t="shared" si="72"/>
        <v>TEXAS COUNTY &amp; DISTRICT RET</v>
      </c>
    </row>
    <row r="2894" spans="5:8" x14ac:dyDescent="0.25">
      <c r="E2894" t="str">
        <f>""</f>
        <v/>
      </c>
      <c r="F2894" t="str">
        <f>""</f>
        <v/>
      </c>
      <c r="H2894" t="str">
        <f t="shared" si="72"/>
        <v>TEXAS COUNTY &amp; DISTRICT RET</v>
      </c>
    </row>
    <row r="2895" spans="5:8" x14ac:dyDescent="0.25">
      <c r="E2895" t="str">
        <f>""</f>
        <v/>
      </c>
      <c r="F2895" t="str">
        <f>""</f>
        <v/>
      </c>
      <c r="H2895" t="str">
        <f t="shared" si="72"/>
        <v>TEXAS COUNTY &amp; DISTRICT RET</v>
      </c>
    </row>
    <row r="2896" spans="5:8" x14ac:dyDescent="0.25">
      <c r="E2896" t="str">
        <f>""</f>
        <v/>
      </c>
      <c r="F2896" t="str">
        <f>""</f>
        <v/>
      </c>
      <c r="H2896" t="str">
        <f t="shared" si="72"/>
        <v>TEXAS COUNTY &amp; DISTRICT RET</v>
      </c>
    </row>
    <row r="2897" spans="5:8" x14ac:dyDescent="0.25">
      <c r="E2897" t="str">
        <f>""</f>
        <v/>
      </c>
      <c r="F2897" t="str">
        <f>""</f>
        <v/>
      </c>
      <c r="H2897" t="str">
        <f t="shared" si="72"/>
        <v>TEXAS COUNTY &amp; DISTRICT RET</v>
      </c>
    </row>
    <row r="2898" spans="5:8" x14ac:dyDescent="0.25">
      <c r="E2898" t="str">
        <f>""</f>
        <v/>
      </c>
      <c r="F2898" t="str">
        <f>""</f>
        <v/>
      </c>
      <c r="H2898" t="str">
        <f t="shared" si="72"/>
        <v>TEXAS COUNTY &amp; DISTRICT RET</v>
      </c>
    </row>
    <row r="2899" spans="5:8" x14ac:dyDescent="0.25">
      <c r="E2899" t="str">
        <f>""</f>
        <v/>
      </c>
      <c r="F2899" t="str">
        <f>""</f>
        <v/>
      </c>
      <c r="H2899" t="str">
        <f t="shared" si="72"/>
        <v>TEXAS COUNTY &amp; DISTRICT RET</v>
      </c>
    </row>
    <row r="2900" spans="5:8" x14ac:dyDescent="0.25">
      <c r="E2900" t="str">
        <f>""</f>
        <v/>
      </c>
      <c r="F2900" t="str">
        <f>""</f>
        <v/>
      </c>
      <c r="H2900" t="str">
        <f t="shared" si="72"/>
        <v>TEXAS COUNTY &amp; DISTRICT RET</v>
      </c>
    </row>
    <row r="2901" spans="5:8" x14ac:dyDescent="0.25">
      <c r="E2901" t="str">
        <f>""</f>
        <v/>
      </c>
      <c r="F2901" t="str">
        <f>""</f>
        <v/>
      </c>
      <c r="H2901" t="str">
        <f t="shared" si="72"/>
        <v>TEXAS COUNTY &amp; DISTRICT RET</v>
      </c>
    </row>
    <row r="2902" spans="5:8" x14ac:dyDescent="0.25">
      <c r="E2902" t="str">
        <f>""</f>
        <v/>
      </c>
      <c r="F2902" t="str">
        <f>""</f>
        <v/>
      </c>
      <c r="H2902" t="str">
        <f t="shared" si="72"/>
        <v>TEXAS COUNTY &amp; DISTRICT RET</v>
      </c>
    </row>
    <row r="2903" spans="5:8" x14ac:dyDescent="0.25">
      <c r="E2903" t="str">
        <f>""</f>
        <v/>
      </c>
      <c r="F2903" t="str">
        <f>""</f>
        <v/>
      </c>
      <c r="H2903" t="str">
        <f t="shared" si="72"/>
        <v>TEXAS COUNTY &amp; DISTRICT RET</v>
      </c>
    </row>
    <row r="2904" spans="5:8" x14ac:dyDescent="0.25">
      <c r="E2904" t="str">
        <f>""</f>
        <v/>
      </c>
      <c r="F2904" t="str">
        <f>""</f>
        <v/>
      </c>
      <c r="H2904" t="str">
        <f t="shared" si="72"/>
        <v>TEXAS COUNTY &amp; DISTRICT RET</v>
      </c>
    </row>
    <row r="2905" spans="5:8" x14ac:dyDescent="0.25">
      <c r="E2905" t="str">
        <f>""</f>
        <v/>
      </c>
      <c r="F2905" t="str">
        <f>""</f>
        <v/>
      </c>
      <c r="H2905" t="str">
        <f t="shared" si="72"/>
        <v>TEXAS COUNTY &amp; DISTRICT RET</v>
      </c>
    </row>
    <row r="2906" spans="5:8" x14ac:dyDescent="0.25">
      <c r="E2906" t="str">
        <f>""</f>
        <v/>
      </c>
      <c r="F2906" t="str">
        <f>""</f>
        <v/>
      </c>
      <c r="H2906" t="str">
        <f t="shared" si="72"/>
        <v>TEXAS COUNTY &amp; DISTRICT RET</v>
      </c>
    </row>
    <row r="2907" spans="5:8" x14ac:dyDescent="0.25">
      <c r="E2907" t="str">
        <f>""</f>
        <v/>
      </c>
      <c r="F2907" t="str">
        <f>""</f>
        <v/>
      </c>
      <c r="H2907" t="str">
        <f t="shared" si="72"/>
        <v>TEXAS COUNTY &amp; DISTRICT RET</v>
      </c>
    </row>
    <row r="2908" spans="5:8" x14ac:dyDescent="0.25">
      <c r="E2908" t="str">
        <f>""</f>
        <v/>
      </c>
      <c r="F2908" t="str">
        <f>""</f>
        <v/>
      </c>
      <c r="H2908" t="str">
        <f t="shared" si="72"/>
        <v>TEXAS COUNTY &amp; DISTRICT RET</v>
      </c>
    </row>
    <row r="2909" spans="5:8" x14ac:dyDescent="0.25">
      <c r="E2909" t="str">
        <f>""</f>
        <v/>
      </c>
      <c r="F2909" t="str">
        <f>""</f>
        <v/>
      </c>
      <c r="H2909" t="str">
        <f t="shared" si="72"/>
        <v>TEXAS COUNTY &amp; DISTRICT RET</v>
      </c>
    </row>
    <row r="2910" spans="5:8" x14ac:dyDescent="0.25">
      <c r="E2910" t="str">
        <f>""</f>
        <v/>
      </c>
      <c r="F2910" t="str">
        <f>""</f>
        <v/>
      </c>
      <c r="H2910" t="str">
        <f t="shared" si="72"/>
        <v>TEXAS COUNTY &amp; DISTRICT RET</v>
      </c>
    </row>
    <row r="2911" spans="5:8" x14ac:dyDescent="0.25">
      <c r="E2911" t="str">
        <f>""</f>
        <v/>
      </c>
      <c r="F2911" t="str">
        <f>""</f>
        <v/>
      </c>
      <c r="H2911" t="str">
        <f t="shared" si="72"/>
        <v>TEXAS COUNTY &amp; DISTRICT RET</v>
      </c>
    </row>
    <row r="2912" spans="5:8" x14ac:dyDescent="0.25">
      <c r="E2912" t="str">
        <f>"RET201906250103"</f>
        <v>RET201906250103</v>
      </c>
      <c r="F2912" t="str">
        <f>"TEXAS COUNTY  DISTRICT RET"</f>
        <v>TEXAS COUNTY  DISTRICT RET</v>
      </c>
      <c r="G2912" s="2">
        <v>5887.1</v>
      </c>
      <c r="H2912" t="str">
        <f>"TEXAS COUNTY  DISTRICT RET"</f>
        <v>TEXAS COUNTY  DISTRICT RET</v>
      </c>
    </row>
    <row r="2913" spans="1:8" x14ac:dyDescent="0.25">
      <c r="E2913" t="str">
        <f>""</f>
        <v/>
      </c>
      <c r="F2913" t="str">
        <f>""</f>
        <v/>
      </c>
      <c r="H2913" t="str">
        <f>"TEXAS COUNTY  DISTRICT RET"</f>
        <v>TEXAS COUNTY  DISTRICT RET</v>
      </c>
    </row>
    <row r="2914" spans="1:8" x14ac:dyDescent="0.25">
      <c r="E2914" t="str">
        <f>"RET201906250104"</f>
        <v>RET201906250104</v>
      </c>
      <c r="F2914" t="str">
        <f>"TEXAS COUNTY &amp; DISTRICT RET"</f>
        <v>TEXAS COUNTY &amp; DISTRICT RET</v>
      </c>
      <c r="G2914" s="2">
        <v>7825.32</v>
      </c>
      <c r="H2914" t="str">
        <f>"TEXAS COUNTY &amp; DISTRICT RET"</f>
        <v>TEXAS COUNTY &amp; DISTRICT RET</v>
      </c>
    </row>
    <row r="2915" spans="1:8" x14ac:dyDescent="0.25">
      <c r="E2915" t="str">
        <f>""</f>
        <v/>
      </c>
      <c r="F2915" t="str">
        <f>""</f>
        <v/>
      </c>
      <c r="H2915" t="str">
        <f>"TEXAS COUNTY &amp; DISTRICT RET"</f>
        <v>TEXAS COUNTY &amp; DISTRICT RET</v>
      </c>
    </row>
    <row r="2916" spans="1:8" x14ac:dyDescent="0.25">
      <c r="A2916" t="s">
        <v>454</v>
      </c>
      <c r="B2916">
        <v>47529</v>
      </c>
      <c r="C2916" s="2">
        <v>1265</v>
      </c>
      <c r="D2916" s="1">
        <v>43644</v>
      </c>
      <c r="E2916" t="str">
        <f>"LEG201906119733"</f>
        <v>LEG201906119733</v>
      </c>
      <c r="F2916" t="str">
        <f>"TEXAS LEGAL PROTECTION PLAN"</f>
        <v>TEXAS LEGAL PROTECTION PLAN</v>
      </c>
      <c r="G2916" s="2">
        <v>625</v>
      </c>
      <c r="H2916" t="str">
        <f>"TEXAS LEGAL PROTECTION PLAN"</f>
        <v>TEXAS LEGAL PROTECTION PLAN</v>
      </c>
    </row>
    <row r="2917" spans="1:8" x14ac:dyDescent="0.25">
      <c r="E2917" t="str">
        <f>"LEG201906250102"</f>
        <v>LEG201906250102</v>
      </c>
      <c r="F2917" t="str">
        <f>"TEXAS LEGAL PROTECTION PLAN"</f>
        <v>TEXAS LEGAL PROTECTION PLAN</v>
      </c>
      <c r="G2917" s="2">
        <v>640</v>
      </c>
      <c r="H2917" t="str">
        <f>"TEXAS LEGAL PROTECTION PLAN"</f>
        <v>TEXAS LEGAL PROTECTION PLAN</v>
      </c>
    </row>
    <row r="2918" spans="1:8" x14ac:dyDescent="0.25">
      <c r="A2918" t="s">
        <v>455</v>
      </c>
      <c r="B2918">
        <v>47509</v>
      </c>
      <c r="C2918" s="2">
        <v>227.43</v>
      </c>
      <c r="D2918" s="1">
        <v>43630</v>
      </c>
      <c r="E2918" t="str">
        <f>"SL 201906119733"</f>
        <v>SL 201906119733</v>
      </c>
      <c r="F2918" t="str">
        <f>"STUDENT LOAN"</f>
        <v>STUDENT LOAN</v>
      </c>
      <c r="G2918" s="2">
        <v>227.43</v>
      </c>
      <c r="H2918" t="str">
        <f>"STUDENT LOAN"</f>
        <v>STUDENT LOAN</v>
      </c>
    </row>
    <row r="2919" spans="1:8" x14ac:dyDescent="0.25">
      <c r="A2919" t="s">
        <v>456</v>
      </c>
      <c r="B2919">
        <v>47511</v>
      </c>
      <c r="C2919" s="2">
        <v>212.65</v>
      </c>
      <c r="D2919" s="1">
        <v>43630</v>
      </c>
      <c r="E2919" t="str">
        <f>"SL9201906119733"</f>
        <v>SL9201906119733</v>
      </c>
      <c r="F2919" t="str">
        <f>"STUDENT LOAN"</f>
        <v>STUDENT LOAN</v>
      </c>
      <c r="G2919" s="2">
        <v>212.65</v>
      </c>
      <c r="H2919" t="str">
        <f>"STUDENT LOAN"</f>
        <v>STUDENT LOAN</v>
      </c>
    </row>
    <row r="2920" spans="1:8" x14ac:dyDescent="0.25">
      <c r="A2920" t="s">
        <v>455</v>
      </c>
      <c r="B2920">
        <v>47526</v>
      </c>
      <c r="C2920" s="2">
        <v>227.43</v>
      </c>
      <c r="D2920" s="1">
        <v>43644</v>
      </c>
      <c r="E2920" t="str">
        <f>"SL 201906250102"</f>
        <v>SL 201906250102</v>
      </c>
      <c r="F2920" t="str">
        <f>"STUDENT LOAN"</f>
        <v>STUDENT LOAN</v>
      </c>
      <c r="G2920" s="2">
        <v>227.43</v>
      </c>
      <c r="H2920" t="str">
        <f>"STUDENT LOAN"</f>
        <v>STUDENT LOAN</v>
      </c>
    </row>
    <row r="2921" spans="1:8" x14ac:dyDescent="0.25">
      <c r="A2921" t="s">
        <v>456</v>
      </c>
      <c r="B2921">
        <v>47528</v>
      </c>
      <c r="C2921" s="2">
        <v>212.65</v>
      </c>
      <c r="D2921" s="1">
        <v>43644</v>
      </c>
      <c r="E2921" t="str">
        <f>"SL9201906250102"</f>
        <v>SL9201906250102</v>
      </c>
      <c r="F2921" t="str">
        <f>"STUDENT LOAN"</f>
        <v>STUDENT LOAN</v>
      </c>
      <c r="G2921" s="2">
        <v>212.65</v>
      </c>
      <c r="H2921" t="str">
        <f>"STUDENT LOAN"</f>
        <v>STUDENT LOAN</v>
      </c>
    </row>
    <row r="2922" spans="1:8" x14ac:dyDescent="0.25">
      <c r="B2922" s="3" t="s">
        <v>457</v>
      </c>
      <c r="C2922" s="2">
        <f>SUM(C2:C2914)</f>
        <v>3647536.2299999995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AP-CHK-RPT-20190805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2019-08-05T19:41:37Z</dcterms:created>
  <dcterms:modified xsi:type="dcterms:W3CDTF">2019-08-05T19:41:37Z</dcterms:modified>
</cp:coreProperties>
</file>