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60"/>
  </bookViews>
  <sheets>
    <sheet name="AP-CHK-RPT-20190204" sheetId="1" r:id="rId1"/>
  </sheets>
  <calcPr calcId="145621"/>
</workbook>
</file>

<file path=xl/calcChain.xml><?xml version="1.0" encoding="utf-8"?>
<calcChain xmlns="http://schemas.openxmlformats.org/spreadsheetml/2006/main">
  <c r="C3058" i="1" l="1"/>
  <c r="E2" i="1" l="1"/>
  <c r="F2" i="1"/>
  <c r="H2" i="1"/>
  <c r="E3" i="1"/>
  <c r="F3" i="1"/>
  <c r="H3" i="1"/>
  <c r="E4" i="1"/>
  <c r="F4" i="1"/>
  <c r="H4" i="1"/>
  <c r="E5" i="1"/>
  <c r="F5" i="1"/>
  <c r="H5" i="1"/>
  <c r="E6" i="1"/>
  <c r="F6" i="1"/>
  <c r="H6" i="1"/>
  <c r="E7" i="1"/>
  <c r="F7" i="1"/>
  <c r="H7" i="1"/>
  <c r="E8" i="1"/>
  <c r="F8" i="1"/>
  <c r="H8" i="1"/>
  <c r="E9" i="1"/>
  <c r="F9" i="1"/>
  <c r="H9" i="1"/>
  <c r="E10" i="1"/>
  <c r="F10" i="1"/>
  <c r="H10" i="1"/>
  <c r="E11" i="1"/>
  <c r="F11" i="1"/>
  <c r="H11" i="1"/>
  <c r="E12" i="1"/>
  <c r="F12" i="1"/>
  <c r="H12" i="1"/>
  <c r="E13" i="1"/>
  <c r="F13" i="1"/>
  <c r="H13" i="1"/>
  <c r="E14" i="1"/>
  <c r="F14" i="1"/>
  <c r="H14" i="1"/>
  <c r="E15" i="1"/>
  <c r="F15" i="1"/>
  <c r="H15" i="1"/>
  <c r="E16" i="1"/>
  <c r="F16" i="1"/>
  <c r="H16" i="1"/>
  <c r="E17" i="1"/>
  <c r="F17" i="1"/>
  <c r="H17" i="1"/>
  <c r="E18" i="1"/>
  <c r="F18" i="1"/>
  <c r="H18" i="1"/>
  <c r="E19" i="1"/>
  <c r="F19" i="1"/>
  <c r="H19" i="1"/>
  <c r="E20" i="1"/>
  <c r="F20" i="1"/>
  <c r="H20" i="1"/>
  <c r="E21" i="1"/>
  <c r="F21" i="1"/>
  <c r="H21" i="1"/>
  <c r="E22" i="1"/>
  <c r="F22" i="1"/>
  <c r="H22" i="1"/>
  <c r="E23" i="1"/>
  <c r="F23" i="1"/>
  <c r="H23" i="1"/>
  <c r="E24" i="1"/>
  <c r="F24" i="1"/>
  <c r="H24" i="1"/>
  <c r="E25" i="1"/>
  <c r="F25" i="1"/>
  <c r="H25" i="1"/>
  <c r="E26" i="1"/>
  <c r="F26" i="1"/>
  <c r="H26" i="1"/>
  <c r="E27" i="1"/>
  <c r="F27" i="1"/>
  <c r="H27" i="1"/>
  <c r="E28" i="1"/>
  <c r="F28" i="1"/>
  <c r="H28" i="1"/>
  <c r="E29" i="1"/>
  <c r="F29" i="1"/>
  <c r="H29" i="1"/>
  <c r="E30" i="1"/>
  <c r="F30" i="1"/>
  <c r="H30" i="1"/>
  <c r="E31" i="1"/>
  <c r="F31" i="1"/>
  <c r="H31" i="1"/>
  <c r="E32" i="1"/>
  <c r="F32" i="1"/>
  <c r="H32" i="1"/>
  <c r="E33" i="1"/>
  <c r="F33" i="1"/>
  <c r="H33" i="1"/>
  <c r="E34" i="1"/>
  <c r="F34" i="1"/>
  <c r="H34" i="1"/>
  <c r="E35" i="1"/>
  <c r="F35" i="1"/>
  <c r="H35" i="1"/>
  <c r="E36" i="1"/>
  <c r="F36" i="1"/>
  <c r="H36" i="1"/>
  <c r="E37" i="1"/>
  <c r="F37" i="1"/>
  <c r="H37" i="1"/>
  <c r="E38" i="1"/>
  <c r="F38" i="1"/>
  <c r="H38" i="1"/>
  <c r="E39" i="1"/>
  <c r="F39" i="1"/>
  <c r="H39" i="1"/>
  <c r="E40" i="1"/>
  <c r="F40" i="1"/>
  <c r="H40" i="1"/>
  <c r="E41" i="1"/>
  <c r="F41" i="1"/>
  <c r="H41" i="1"/>
  <c r="E42" i="1"/>
  <c r="F42" i="1"/>
  <c r="H42" i="1"/>
  <c r="E43" i="1"/>
  <c r="F43" i="1"/>
  <c r="H43" i="1"/>
  <c r="E44" i="1"/>
  <c r="F44" i="1"/>
  <c r="H44" i="1"/>
  <c r="E45" i="1"/>
  <c r="F45" i="1"/>
  <c r="H45" i="1"/>
  <c r="E46" i="1"/>
  <c r="F46" i="1"/>
  <c r="H46" i="1"/>
  <c r="E47" i="1"/>
  <c r="F47" i="1"/>
  <c r="H47" i="1"/>
  <c r="E48" i="1"/>
  <c r="F48" i="1"/>
  <c r="H48" i="1"/>
  <c r="E49" i="1"/>
  <c r="F49" i="1"/>
  <c r="H49" i="1"/>
  <c r="E50" i="1"/>
  <c r="F50" i="1"/>
  <c r="H50" i="1"/>
  <c r="E51" i="1"/>
  <c r="F51" i="1"/>
  <c r="H51" i="1"/>
  <c r="E52" i="1"/>
  <c r="F52" i="1"/>
  <c r="H52" i="1"/>
  <c r="E53" i="1"/>
  <c r="F53" i="1"/>
  <c r="H53" i="1"/>
  <c r="E54" i="1"/>
  <c r="F54" i="1"/>
  <c r="H54" i="1"/>
  <c r="E55" i="1"/>
  <c r="F55" i="1"/>
  <c r="H55" i="1"/>
  <c r="E56" i="1"/>
  <c r="F56" i="1"/>
  <c r="H56" i="1"/>
  <c r="E57" i="1"/>
  <c r="F57" i="1"/>
  <c r="H57" i="1"/>
  <c r="E58" i="1"/>
  <c r="F58" i="1"/>
  <c r="H58" i="1"/>
  <c r="E59" i="1"/>
  <c r="F59" i="1"/>
  <c r="H59" i="1"/>
  <c r="E60" i="1"/>
  <c r="F60" i="1"/>
  <c r="H60" i="1"/>
  <c r="E61" i="1"/>
  <c r="F61" i="1"/>
  <c r="H61" i="1"/>
  <c r="E62" i="1"/>
  <c r="F62" i="1"/>
  <c r="H62" i="1"/>
  <c r="E63" i="1"/>
  <c r="F63" i="1"/>
  <c r="H63" i="1"/>
  <c r="E64" i="1"/>
  <c r="F64" i="1"/>
  <c r="H64" i="1"/>
  <c r="E65" i="1"/>
  <c r="F65" i="1"/>
  <c r="H65" i="1"/>
  <c r="E66" i="1"/>
  <c r="F66" i="1"/>
  <c r="H66" i="1"/>
  <c r="E67" i="1"/>
  <c r="F67" i="1"/>
  <c r="H67" i="1"/>
  <c r="E68" i="1"/>
  <c r="F68" i="1"/>
  <c r="H68" i="1"/>
  <c r="E69" i="1"/>
  <c r="F69" i="1"/>
  <c r="H69" i="1"/>
  <c r="E70" i="1"/>
  <c r="F70" i="1"/>
  <c r="H70" i="1"/>
  <c r="E71" i="1"/>
  <c r="F71" i="1"/>
  <c r="H71" i="1"/>
  <c r="E72" i="1"/>
  <c r="F72" i="1"/>
  <c r="H72" i="1"/>
  <c r="E73" i="1"/>
  <c r="F73" i="1"/>
  <c r="H73" i="1"/>
  <c r="E74" i="1"/>
  <c r="F74" i="1"/>
  <c r="H74" i="1"/>
  <c r="E75" i="1"/>
  <c r="F75" i="1"/>
  <c r="H75" i="1"/>
  <c r="E76" i="1"/>
  <c r="F76" i="1"/>
  <c r="H76" i="1"/>
  <c r="E77" i="1"/>
  <c r="F77" i="1"/>
  <c r="H77" i="1"/>
  <c r="E78" i="1"/>
  <c r="F78" i="1"/>
  <c r="H78" i="1"/>
  <c r="E79" i="1"/>
  <c r="F79" i="1"/>
  <c r="H79" i="1"/>
  <c r="E80" i="1"/>
  <c r="F80" i="1"/>
  <c r="H80" i="1"/>
  <c r="E81" i="1"/>
  <c r="F81" i="1"/>
  <c r="H81" i="1"/>
  <c r="E82" i="1"/>
  <c r="F82" i="1"/>
  <c r="H82" i="1"/>
  <c r="E83" i="1"/>
  <c r="F83" i="1"/>
  <c r="H83" i="1"/>
  <c r="E84" i="1"/>
  <c r="F84" i="1"/>
  <c r="H84" i="1"/>
  <c r="E85" i="1"/>
  <c r="F85" i="1"/>
  <c r="H85" i="1"/>
  <c r="E86" i="1"/>
  <c r="F86" i="1"/>
  <c r="H86" i="1"/>
  <c r="E87" i="1"/>
  <c r="F87" i="1"/>
  <c r="H87" i="1"/>
  <c r="E88" i="1"/>
  <c r="F88" i="1"/>
  <c r="H88" i="1"/>
  <c r="E89" i="1"/>
  <c r="F89" i="1"/>
  <c r="H89" i="1"/>
  <c r="E90" i="1"/>
  <c r="F90" i="1"/>
  <c r="H90" i="1"/>
  <c r="E91" i="1"/>
  <c r="F91" i="1"/>
  <c r="H91" i="1"/>
  <c r="E92" i="1"/>
  <c r="F92" i="1"/>
  <c r="H92" i="1"/>
  <c r="E93" i="1"/>
  <c r="F93" i="1"/>
  <c r="H93" i="1"/>
  <c r="E94" i="1"/>
  <c r="F94" i="1"/>
  <c r="H94" i="1"/>
  <c r="E95" i="1"/>
  <c r="F95" i="1"/>
  <c r="H95" i="1"/>
  <c r="E96" i="1"/>
  <c r="F96" i="1"/>
  <c r="H96" i="1"/>
  <c r="E97" i="1"/>
  <c r="F97" i="1"/>
  <c r="H97" i="1"/>
  <c r="E98" i="1"/>
  <c r="F98" i="1"/>
  <c r="H98" i="1"/>
  <c r="E99" i="1"/>
  <c r="F99" i="1"/>
  <c r="H99" i="1"/>
  <c r="E100" i="1"/>
  <c r="F100" i="1"/>
  <c r="H100" i="1"/>
  <c r="E101" i="1"/>
  <c r="F101" i="1"/>
  <c r="H101" i="1"/>
  <c r="E102" i="1"/>
  <c r="F102" i="1"/>
  <c r="H102" i="1"/>
  <c r="E103" i="1"/>
  <c r="F103" i="1"/>
  <c r="H103" i="1"/>
  <c r="E104" i="1"/>
  <c r="F104" i="1"/>
  <c r="H104" i="1"/>
  <c r="E105" i="1"/>
  <c r="F105" i="1"/>
  <c r="H105" i="1"/>
  <c r="E106" i="1"/>
  <c r="F106" i="1"/>
  <c r="H106" i="1"/>
  <c r="E107" i="1"/>
  <c r="F107" i="1"/>
  <c r="H107" i="1"/>
  <c r="E108" i="1"/>
  <c r="F108" i="1"/>
  <c r="H108" i="1"/>
  <c r="E109" i="1"/>
  <c r="F109" i="1"/>
  <c r="H109" i="1"/>
  <c r="E110" i="1"/>
  <c r="F110" i="1"/>
  <c r="H110" i="1"/>
  <c r="E111" i="1"/>
  <c r="F111" i="1"/>
  <c r="H111" i="1"/>
  <c r="E112" i="1"/>
  <c r="F112" i="1"/>
  <c r="H112" i="1"/>
  <c r="E113" i="1"/>
  <c r="F113" i="1"/>
  <c r="H113" i="1"/>
  <c r="E114" i="1"/>
  <c r="F114" i="1"/>
  <c r="H114" i="1"/>
  <c r="E115" i="1"/>
  <c r="F115" i="1"/>
  <c r="H115" i="1"/>
  <c r="E116" i="1"/>
  <c r="F116" i="1"/>
  <c r="H116" i="1"/>
  <c r="E117" i="1"/>
  <c r="F117" i="1"/>
  <c r="H117" i="1"/>
  <c r="E118" i="1"/>
  <c r="F118" i="1"/>
  <c r="H118" i="1"/>
  <c r="E119" i="1"/>
  <c r="F119" i="1"/>
  <c r="H119" i="1"/>
  <c r="E120" i="1"/>
  <c r="F120" i="1"/>
  <c r="H120" i="1"/>
  <c r="E121" i="1"/>
  <c r="F121" i="1"/>
  <c r="H121" i="1"/>
  <c r="E122" i="1"/>
  <c r="F122" i="1"/>
  <c r="H122" i="1"/>
  <c r="E123" i="1"/>
  <c r="F123" i="1"/>
  <c r="H123" i="1"/>
  <c r="E124" i="1"/>
  <c r="F124" i="1"/>
  <c r="H124" i="1"/>
  <c r="E125" i="1"/>
  <c r="F125" i="1"/>
  <c r="H125" i="1"/>
  <c r="E126" i="1"/>
  <c r="F126" i="1"/>
  <c r="H126" i="1"/>
  <c r="E127" i="1"/>
  <c r="F127" i="1"/>
  <c r="H127" i="1"/>
  <c r="E128" i="1"/>
  <c r="F128" i="1"/>
  <c r="H128" i="1"/>
  <c r="E129" i="1"/>
  <c r="F129" i="1"/>
  <c r="H129" i="1"/>
  <c r="E130" i="1"/>
  <c r="F130" i="1"/>
  <c r="H130" i="1"/>
  <c r="E131" i="1"/>
  <c r="F131" i="1"/>
  <c r="H131" i="1"/>
  <c r="E132" i="1"/>
  <c r="F132" i="1"/>
  <c r="H132" i="1"/>
  <c r="E133" i="1"/>
  <c r="F133" i="1"/>
  <c r="H133" i="1"/>
  <c r="E134" i="1"/>
  <c r="F134" i="1"/>
  <c r="H134" i="1"/>
  <c r="E135" i="1"/>
  <c r="F135" i="1"/>
  <c r="H135" i="1"/>
  <c r="E136" i="1"/>
  <c r="F136" i="1"/>
  <c r="H136" i="1"/>
  <c r="E137" i="1"/>
  <c r="F137" i="1"/>
  <c r="H137" i="1"/>
  <c r="E138" i="1"/>
  <c r="F138" i="1"/>
  <c r="H138" i="1"/>
  <c r="E139" i="1"/>
  <c r="F139" i="1"/>
  <c r="H139" i="1"/>
  <c r="E140" i="1"/>
  <c r="F140" i="1"/>
  <c r="H140" i="1"/>
  <c r="E141" i="1"/>
  <c r="F141" i="1"/>
  <c r="H141" i="1"/>
  <c r="E142" i="1"/>
  <c r="F142" i="1"/>
  <c r="H142" i="1"/>
  <c r="E143" i="1"/>
  <c r="F143" i="1"/>
  <c r="H143" i="1"/>
  <c r="E144" i="1"/>
  <c r="F144" i="1"/>
  <c r="H144" i="1"/>
  <c r="E145" i="1"/>
  <c r="F145" i="1"/>
  <c r="H145" i="1"/>
  <c r="E146" i="1"/>
  <c r="F146" i="1"/>
  <c r="H146" i="1"/>
  <c r="E147" i="1"/>
  <c r="F147" i="1"/>
  <c r="H147" i="1"/>
  <c r="E148" i="1"/>
  <c r="F148" i="1"/>
  <c r="H148" i="1"/>
  <c r="E149" i="1"/>
  <c r="F149" i="1"/>
  <c r="H149" i="1"/>
  <c r="E150" i="1"/>
  <c r="F150" i="1"/>
  <c r="H150" i="1"/>
  <c r="E151" i="1"/>
  <c r="F151" i="1"/>
  <c r="H151" i="1"/>
  <c r="E152" i="1"/>
  <c r="F152" i="1"/>
  <c r="H152" i="1"/>
  <c r="E153" i="1"/>
  <c r="F153" i="1"/>
  <c r="H153" i="1"/>
  <c r="E154" i="1"/>
  <c r="F154" i="1"/>
  <c r="H154" i="1"/>
  <c r="E155" i="1"/>
  <c r="F155" i="1"/>
  <c r="H155" i="1"/>
  <c r="E156" i="1"/>
  <c r="F156" i="1"/>
  <c r="H156" i="1"/>
  <c r="E157" i="1"/>
  <c r="F157" i="1"/>
  <c r="H157" i="1"/>
  <c r="E158" i="1"/>
  <c r="F158" i="1"/>
  <c r="H158" i="1"/>
  <c r="E159" i="1"/>
  <c r="F159" i="1"/>
  <c r="H159" i="1"/>
  <c r="E160" i="1"/>
  <c r="F160" i="1"/>
  <c r="H160" i="1"/>
  <c r="E161" i="1"/>
  <c r="F161" i="1"/>
  <c r="H161" i="1"/>
  <c r="E162" i="1"/>
  <c r="F162" i="1"/>
  <c r="H162" i="1"/>
  <c r="E163" i="1"/>
  <c r="F163" i="1"/>
  <c r="H163" i="1"/>
  <c r="E164" i="1"/>
  <c r="F164" i="1"/>
  <c r="H164" i="1"/>
  <c r="E165" i="1"/>
  <c r="F165" i="1"/>
  <c r="H165" i="1"/>
  <c r="E166" i="1"/>
  <c r="F166" i="1"/>
  <c r="H166" i="1"/>
  <c r="E167" i="1"/>
  <c r="F167" i="1"/>
  <c r="H167" i="1"/>
  <c r="E168" i="1"/>
  <c r="F168" i="1"/>
  <c r="H168" i="1"/>
  <c r="E169" i="1"/>
  <c r="F169" i="1"/>
  <c r="H169" i="1"/>
  <c r="E170" i="1"/>
  <c r="F170" i="1"/>
  <c r="H170" i="1"/>
  <c r="E171" i="1"/>
  <c r="F171" i="1"/>
  <c r="H171" i="1"/>
  <c r="E172" i="1"/>
  <c r="F172" i="1"/>
  <c r="H172" i="1"/>
  <c r="E173" i="1"/>
  <c r="F173" i="1"/>
  <c r="H173" i="1"/>
  <c r="E174" i="1"/>
  <c r="F174" i="1"/>
  <c r="H174" i="1"/>
  <c r="E175" i="1"/>
  <c r="F175" i="1"/>
  <c r="H175" i="1"/>
  <c r="E176" i="1"/>
  <c r="F176" i="1"/>
  <c r="H176" i="1"/>
  <c r="E177" i="1"/>
  <c r="F177" i="1"/>
  <c r="H177" i="1"/>
  <c r="E178" i="1"/>
  <c r="F178" i="1"/>
  <c r="H178" i="1"/>
  <c r="E179" i="1"/>
  <c r="F179" i="1"/>
  <c r="H179" i="1"/>
  <c r="E180" i="1"/>
  <c r="F180" i="1"/>
  <c r="H180" i="1"/>
  <c r="E181" i="1"/>
  <c r="F181" i="1"/>
  <c r="H181" i="1"/>
  <c r="E182" i="1"/>
  <c r="F182" i="1"/>
  <c r="H182" i="1"/>
  <c r="E183" i="1"/>
  <c r="F183" i="1"/>
  <c r="H183" i="1"/>
  <c r="E184" i="1"/>
  <c r="F184" i="1"/>
  <c r="H184" i="1"/>
  <c r="E185" i="1"/>
  <c r="F185" i="1"/>
  <c r="H185" i="1"/>
  <c r="E186" i="1"/>
  <c r="F186" i="1"/>
  <c r="H186" i="1"/>
  <c r="E187" i="1"/>
  <c r="F187" i="1"/>
  <c r="H187" i="1"/>
  <c r="E188" i="1"/>
  <c r="F188" i="1"/>
  <c r="H188" i="1"/>
  <c r="E189" i="1"/>
  <c r="F189" i="1"/>
  <c r="H189" i="1"/>
  <c r="E190" i="1"/>
  <c r="F190" i="1"/>
  <c r="H190" i="1"/>
  <c r="E191" i="1"/>
  <c r="F191" i="1"/>
  <c r="H191" i="1"/>
  <c r="E192" i="1"/>
  <c r="F192" i="1"/>
  <c r="H192" i="1"/>
  <c r="E193" i="1"/>
  <c r="F193" i="1"/>
  <c r="H193" i="1"/>
  <c r="E194" i="1"/>
  <c r="F194" i="1"/>
  <c r="H194" i="1"/>
  <c r="E195" i="1"/>
  <c r="F195" i="1"/>
  <c r="H195" i="1"/>
  <c r="E196" i="1"/>
  <c r="F196" i="1"/>
  <c r="H196" i="1"/>
  <c r="E197" i="1"/>
  <c r="F197" i="1"/>
  <c r="H197" i="1"/>
  <c r="E198" i="1"/>
  <c r="F198" i="1"/>
  <c r="H198" i="1"/>
  <c r="E199" i="1"/>
  <c r="F199" i="1"/>
  <c r="H199" i="1"/>
  <c r="E200" i="1"/>
  <c r="F200" i="1"/>
  <c r="H200" i="1"/>
  <c r="E201" i="1"/>
  <c r="F201" i="1"/>
  <c r="H201" i="1"/>
  <c r="E202" i="1"/>
  <c r="F202" i="1"/>
  <c r="H202" i="1"/>
  <c r="E203" i="1"/>
  <c r="F203" i="1"/>
  <c r="H203" i="1"/>
  <c r="E204" i="1"/>
  <c r="F204" i="1"/>
  <c r="H204" i="1"/>
  <c r="E205" i="1"/>
  <c r="F205" i="1"/>
  <c r="H205" i="1"/>
  <c r="E206" i="1"/>
  <c r="F206" i="1"/>
  <c r="H206" i="1"/>
  <c r="E207" i="1"/>
  <c r="F207" i="1"/>
  <c r="H207" i="1"/>
  <c r="E208" i="1"/>
  <c r="F208" i="1"/>
  <c r="H208" i="1"/>
  <c r="E209" i="1"/>
  <c r="F209" i="1"/>
  <c r="H209" i="1"/>
  <c r="E210" i="1"/>
  <c r="F210" i="1"/>
  <c r="H210" i="1"/>
  <c r="E211" i="1"/>
  <c r="F211" i="1"/>
  <c r="H211" i="1"/>
  <c r="E212" i="1"/>
  <c r="F212" i="1"/>
  <c r="H212" i="1"/>
  <c r="E213" i="1"/>
  <c r="F213" i="1"/>
  <c r="H213" i="1"/>
  <c r="E214" i="1"/>
  <c r="F214" i="1"/>
  <c r="H214" i="1"/>
  <c r="E215" i="1"/>
  <c r="F215" i="1"/>
  <c r="H215" i="1"/>
  <c r="E216" i="1"/>
  <c r="F216" i="1"/>
  <c r="H216" i="1"/>
  <c r="E217" i="1"/>
  <c r="F217" i="1"/>
  <c r="H217" i="1"/>
  <c r="E218" i="1"/>
  <c r="F218" i="1"/>
  <c r="H218" i="1"/>
  <c r="E219" i="1"/>
  <c r="F219" i="1"/>
  <c r="H219" i="1"/>
  <c r="E220" i="1"/>
  <c r="F220" i="1"/>
  <c r="H220" i="1"/>
  <c r="E221" i="1"/>
  <c r="F221" i="1"/>
  <c r="H221" i="1"/>
  <c r="E222" i="1"/>
  <c r="F222" i="1"/>
  <c r="H222" i="1"/>
  <c r="E223" i="1"/>
  <c r="F223" i="1"/>
  <c r="H223" i="1"/>
  <c r="E224" i="1"/>
  <c r="F224" i="1"/>
  <c r="H224" i="1"/>
  <c r="E225" i="1"/>
  <c r="F225" i="1"/>
  <c r="H225" i="1"/>
  <c r="E226" i="1"/>
  <c r="F226" i="1"/>
  <c r="H226" i="1"/>
  <c r="E227" i="1"/>
  <c r="F227" i="1"/>
  <c r="H227" i="1"/>
  <c r="E228" i="1"/>
  <c r="F228" i="1"/>
  <c r="H228" i="1"/>
  <c r="E229" i="1"/>
  <c r="F229" i="1"/>
  <c r="H229" i="1"/>
  <c r="E230" i="1"/>
  <c r="F230" i="1"/>
  <c r="H230" i="1"/>
  <c r="E231" i="1"/>
  <c r="F231" i="1"/>
  <c r="H231" i="1"/>
  <c r="E232" i="1"/>
  <c r="F232" i="1"/>
  <c r="H232" i="1"/>
  <c r="E233" i="1"/>
  <c r="F233" i="1"/>
  <c r="H233" i="1"/>
  <c r="E234" i="1"/>
  <c r="F234" i="1"/>
  <c r="H234" i="1"/>
  <c r="E235" i="1"/>
  <c r="F235" i="1"/>
  <c r="H235" i="1"/>
  <c r="E236" i="1"/>
  <c r="F236" i="1"/>
  <c r="H236" i="1"/>
  <c r="E237" i="1"/>
  <c r="F237" i="1"/>
  <c r="H237" i="1"/>
  <c r="E238" i="1"/>
  <c r="F238" i="1"/>
  <c r="H238" i="1"/>
  <c r="E239" i="1"/>
  <c r="F239" i="1"/>
  <c r="H239" i="1"/>
  <c r="E240" i="1"/>
  <c r="F240" i="1"/>
  <c r="H240" i="1"/>
  <c r="E241" i="1"/>
  <c r="F241" i="1"/>
  <c r="H241" i="1"/>
  <c r="E242" i="1"/>
  <c r="F242" i="1"/>
  <c r="H242" i="1"/>
  <c r="E243" i="1"/>
  <c r="F243" i="1"/>
  <c r="H243" i="1"/>
  <c r="E244" i="1"/>
  <c r="F244" i="1"/>
  <c r="H244" i="1"/>
  <c r="E245" i="1"/>
  <c r="F245" i="1"/>
  <c r="H245" i="1"/>
  <c r="E246" i="1"/>
  <c r="F246" i="1"/>
  <c r="H246" i="1"/>
  <c r="E247" i="1"/>
  <c r="F247" i="1"/>
  <c r="H247" i="1"/>
  <c r="E248" i="1"/>
  <c r="F248" i="1"/>
  <c r="H248" i="1"/>
  <c r="E249" i="1"/>
  <c r="F249" i="1"/>
  <c r="H249" i="1"/>
  <c r="E250" i="1"/>
  <c r="F250" i="1"/>
  <c r="H250" i="1"/>
  <c r="E251" i="1"/>
  <c r="F251" i="1"/>
  <c r="H251" i="1"/>
  <c r="E252" i="1"/>
  <c r="F252" i="1"/>
  <c r="H252" i="1"/>
  <c r="E253" i="1"/>
  <c r="F253" i="1"/>
  <c r="H253" i="1"/>
  <c r="E254" i="1"/>
  <c r="F254" i="1"/>
  <c r="H254" i="1"/>
  <c r="E255" i="1"/>
  <c r="F255" i="1"/>
  <c r="H255" i="1"/>
  <c r="E256" i="1"/>
  <c r="F256" i="1"/>
  <c r="H256" i="1"/>
  <c r="E257" i="1"/>
  <c r="F257" i="1"/>
  <c r="H257" i="1"/>
  <c r="E258" i="1"/>
  <c r="F258" i="1"/>
  <c r="H258" i="1"/>
  <c r="E259" i="1"/>
  <c r="F259" i="1"/>
  <c r="H259" i="1"/>
  <c r="E260" i="1"/>
  <c r="F260" i="1"/>
  <c r="H260" i="1"/>
  <c r="E261" i="1"/>
  <c r="F261" i="1"/>
  <c r="H261" i="1"/>
  <c r="E262" i="1"/>
  <c r="F262" i="1"/>
  <c r="H262" i="1"/>
  <c r="E263" i="1"/>
  <c r="F263" i="1"/>
  <c r="H263" i="1"/>
  <c r="E264" i="1"/>
  <c r="F264" i="1"/>
  <c r="H264" i="1"/>
  <c r="E265" i="1"/>
  <c r="F265" i="1"/>
  <c r="H265" i="1"/>
  <c r="E266" i="1"/>
  <c r="F266" i="1"/>
  <c r="H266" i="1"/>
  <c r="E267" i="1"/>
  <c r="F267" i="1"/>
  <c r="H267" i="1"/>
  <c r="E268" i="1"/>
  <c r="F268" i="1"/>
  <c r="H268" i="1"/>
  <c r="E269" i="1"/>
  <c r="F269" i="1"/>
  <c r="H269" i="1"/>
  <c r="E270" i="1"/>
  <c r="F270" i="1"/>
  <c r="H270" i="1"/>
  <c r="E271" i="1"/>
  <c r="F271" i="1"/>
  <c r="H271" i="1"/>
  <c r="E272" i="1"/>
  <c r="F272" i="1"/>
  <c r="H272" i="1"/>
  <c r="E273" i="1"/>
  <c r="F273" i="1"/>
  <c r="H273" i="1"/>
  <c r="E274" i="1"/>
  <c r="F274" i="1"/>
  <c r="H274" i="1"/>
  <c r="E275" i="1"/>
  <c r="F275" i="1"/>
  <c r="H275" i="1"/>
  <c r="E276" i="1"/>
  <c r="F276" i="1"/>
  <c r="H276" i="1"/>
  <c r="E277" i="1"/>
  <c r="F277" i="1"/>
  <c r="H277" i="1"/>
  <c r="E278" i="1"/>
  <c r="F278" i="1"/>
  <c r="H278" i="1"/>
  <c r="E279" i="1"/>
  <c r="F279" i="1"/>
  <c r="H279" i="1"/>
  <c r="E280" i="1"/>
  <c r="F280" i="1"/>
  <c r="H280" i="1"/>
  <c r="E281" i="1"/>
  <c r="F281" i="1"/>
  <c r="H281" i="1"/>
  <c r="E282" i="1"/>
  <c r="F282" i="1"/>
  <c r="H282" i="1"/>
  <c r="E283" i="1"/>
  <c r="F283" i="1"/>
  <c r="H283" i="1"/>
  <c r="E284" i="1"/>
  <c r="F284" i="1"/>
  <c r="H284" i="1"/>
  <c r="E285" i="1"/>
  <c r="F285" i="1"/>
  <c r="H285" i="1"/>
  <c r="E286" i="1"/>
  <c r="F286" i="1"/>
  <c r="H286" i="1"/>
  <c r="E287" i="1"/>
  <c r="F287" i="1"/>
  <c r="H287" i="1"/>
  <c r="E288" i="1"/>
  <c r="F288" i="1"/>
  <c r="H288" i="1"/>
  <c r="E289" i="1"/>
  <c r="F289" i="1"/>
  <c r="H289" i="1"/>
  <c r="E290" i="1"/>
  <c r="F290" i="1"/>
  <c r="H290" i="1"/>
  <c r="E291" i="1"/>
  <c r="F291" i="1"/>
  <c r="H291" i="1"/>
  <c r="E292" i="1"/>
  <c r="F292" i="1"/>
  <c r="H292" i="1"/>
  <c r="E293" i="1"/>
  <c r="F293" i="1"/>
  <c r="H293" i="1"/>
  <c r="E294" i="1"/>
  <c r="F294" i="1"/>
  <c r="H294" i="1"/>
  <c r="E295" i="1"/>
  <c r="F295" i="1"/>
  <c r="H295" i="1"/>
  <c r="E296" i="1"/>
  <c r="F296" i="1"/>
  <c r="H296" i="1"/>
  <c r="E297" i="1"/>
  <c r="F297" i="1"/>
  <c r="H297" i="1"/>
  <c r="E298" i="1"/>
  <c r="F298" i="1"/>
  <c r="H298" i="1"/>
  <c r="E299" i="1"/>
  <c r="F299" i="1"/>
  <c r="H299" i="1"/>
  <c r="E300" i="1"/>
  <c r="F300" i="1"/>
  <c r="H300" i="1"/>
  <c r="E301" i="1"/>
  <c r="F301" i="1"/>
  <c r="H301" i="1"/>
  <c r="E302" i="1"/>
  <c r="F302" i="1"/>
  <c r="H302" i="1"/>
  <c r="E303" i="1"/>
  <c r="F303" i="1"/>
  <c r="H303" i="1"/>
  <c r="E304" i="1"/>
  <c r="F304" i="1"/>
  <c r="H304" i="1"/>
  <c r="E305" i="1"/>
  <c r="F305" i="1"/>
  <c r="H305" i="1"/>
  <c r="E306" i="1"/>
  <c r="F306" i="1"/>
  <c r="H306" i="1"/>
  <c r="E307" i="1"/>
  <c r="F307" i="1"/>
  <c r="H307" i="1"/>
  <c r="E308" i="1"/>
  <c r="F308" i="1"/>
  <c r="H308" i="1"/>
  <c r="E309" i="1"/>
  <c r="F309" i="1"/>
  <c r="H309" i="1"/>
  <c r="E310" i="1"/>
  <c r="F310" i="1"/>
  <c r="H310" i="1"/>
  <c r="E311" i="1"/>
  <c r="F311" i="1"/>
  <c r="H311" i="1"/>
  <c r="E312" i="1"/>
  <c r="F312" i="1"/>
  <c r="H312" i="1"/>
  <c r="E313" i="1"/>
  <c r="F313" i="1"/>
  <c r="H313" i="1"/>
  <c r="E314" i="1"/>
  <c r="F314" i="1"/>
  <c r="H314" i="1"/>
  <c r="E315" i="1"/>
  <c r="F315" i="1"/>
  <c r="H315" i="1"/>
  <c r="E316" i="1"/>
  <c r="F316" i="1"/>
  <c r="H316" i="1"/>
  <c r="E317" i="1"/>
  <c r="F317" i="1"/>
  <c r="H317" i="1"/>
  <c r="E318" i="1"/>
  <c r="F318" i="1"/>
  <c r="H318" i="1"/>
  <c r="E319" i="1"/>
  <c r="F319" i="1"/>
  <c r="H319" i="1"/>
  <c r="E320" i="1"/>
  <c r="F320" i="1"/>
  <c r="H320" i="1"/>
  <c r="E321" i="1"/>
  <c r="F321" i="1"/>
  <c r="H321" i="1"/>
  <c r="E322" i="1"/>
  <c r="F322" i="1"/>
  <c r="H322" i="1"/>
  <c r="E323" i="1"/>
  <c r="F323" i="1"/>
  <c r="H323" i="1"/>
  <c r="E324" i="1"/>
  <c r="F324" i="1"/>
  <c r="H324" i="1"/>
  <c r="E325" i="1"/>
  <c r="F325" i="1"/>
  <c r="H325" i="1"/>
  <c r="E326" i="1"/>
  <c r="F326" i="1"/>
  <c r="H326" i="1"/>
  <c r="E327" i="1"/>
  <c r="F327" i="1"/>
  <c r="H327" i="1"/>
  <c r="E328" i="1"/>
  <c r="F328" i="1"/>
  <c r="H328" i="1"/>
  <c r="E329" i="1"/>
  <c r="F329" i="1"/>
  <c r="H329" i="1"/>
  <c r="E330" i="1"/>
  <c r="F330" i="1"/>
  <c r="H330" i="1"/>
  <c r="E331" i="1"/>
  <c r="F331" i="1"/>
  <c r="H331" i="1"/>
  <c r="E332" i="1"/>
  <c r="F332" i="1"/>
  <c r="H332" i="1"/>
  <c r="E333" i="1"/>
  <c r="F333" i="1"/>
  <c r="H333" i="1"/>
  <c r="E334" i="1"/>
  <c r="F334" i="1"/>
  <c r="H334" i="1"/>
  <c r="E335" i="1"/>
  <c r="F335" i="1"/>
  <c r="H335" i="1"/>
  <c r="E336" i="1"/>
  <c r="F336" i="1"/>
  <c r="H336" i="1"/>
  <c r="E337" i="1"/>
  <c r="F337" i="1"/>
  <c r="H337" i="1"/>
  <c r="E338" i="1"/>
  <c r="F338" i="1"/>
  <c r="H338" i="1"/>
  <c r="E339" i="1"/>
  <c r="F339" i="1"/>
  <c r="H339" i="1"/>
  <c r="E340" i="1"/>
  <c r="F340" i="1"/>
  <c r="H340" i="1"/>
  <c r="E341" i="1"/>
  <c r="F341" i="1"/>
  <c r="H341" i="1"/>
  <c r="E342" i="1"/>
  <c r="F342" i="1"/>
  <c r="H342" i="1"/>
  <c r="E343" i="1"/>
  <c r="F343" i="1"/>
  <c r="H343" i="1"/>
  <c r="E344" i="1"/>
  <c r="F344" i="1"/>
  <c r="H344" i="1"/>
  <c r="E345" i="1"/>
  <c r="F345" i="1"/>
  <c r="H345" i="1"/>
  <c r="E346" i="1"/>
  <c r="F346" i="1"/>
  <c r="H346" i="1"/>
  <c r="E347" i="1"/>
  <c r="F347" i="1"/>
  <c r="H347" i="1"/>
  <c r="E348" i="1"/>
  <c r="F348" i="1"/>
  <c r="H348" i="1"/>
  <c r="E349" i="1"/>
  <c r="F349" i="1"/>
  <c r="H349" i="1"/>
  <c r="E350" i="1"/>
  <c r="F350" i="1"/>
  <c r="H350" i="1"/>
  <c r="E351" i="1"/>
  <c r="F351" i="1"/>
  <c r="H351" i="1"/>
  <c r="E352" i="1"/>
  <c r="F352" i="1"/>
  <c r="H352" i="1"/>
  <c r="E353" i="1"/>
  <c r="F353" i="1"/>
  <c r="H353" i="1"/>
  <c r="E354" i="1"/>
  <c r="F354" i="1"/>
  <c r="H354" i="1"/>
  <c r="E355" i="1"/>
  <c r="F355" i="1"/>
  <c r="H355" i="1"/>
  <c r="E356" i="1"/>
  <c r="F356" i="1"/>
  <c r="H356" i="1"/>
  <c r="E357" i="1"/>
  <c r="F357" i="1"/>
  <c r="H357" i="1"/>
  <c r="E358" i="1"/>
  <c r="F358" i="1"/>
  <c r="H358" i="1"/>
  <c r="E359" i="1"/>
  <c r="F359" i="1"/>
  <c r="H359" i="1"/>
  <c r="E360" i="1"/>
  <c r="F360" i="1"/>
  <c r="H360" i="1"/>
  <c r="E361" i="1"/>
  <c r="F361" i="1"/>
  <c r="H361" i="1"/>
  <c r="E362" i="1"/>
  <c r="F362" i="1"/>
  <c r="H362" i="1"/>
  <c r="E363" i="1"/>
  <c r="F363" i="1"/>
  <c r="H363" i="1"/>
  <c r="E364" i="1"/>
  <c r="F364" i="1"/>
  <c r="H364" i="1"/>
  <c r="E365" i="1"/>
  <c r="F365" i="1"/>
  <c r="H365" i="1"/>
  <c r="E366" i="1"/>
  <c r="F366" i="1"/>
  <c r="H366" i="1"/>
  <c r="E367" i="1"/>
  <c r="F367" i="1"/>
  <c r="H367" i="1"/>
  <c r="E368" i="1"/>
  <c r="F368" i="1"/>
  <c r="H368" i="1"/>
  <c r="E369" i="1"/>
  <c r="F369" i="1"/>
  <c r="H369" i="1"/>
  <c r="E370" i="1"/>
  <c r="F370" i="1"/>
  <c r="H370" i="1"/>
  <c r="E371" i="1"/>
  <c r="F371" i="1"/>
  <c r="H371" i="1"/>
  <c r="E372" i="1"/>
  <c r="F372" i="1"/>
  <c r="H372" i="1"/>
  <c r="E373" i="1"/>
  <c r="F373" i="1"/>
  <c r="H373" i="1"/>
  <c r="E374" i="1"/>
  <c r="F374" i="1"/>
  <c r="H374" i="1"/>
  <c r="E375" i="1"/>
  <c r="F375" i="1"/>
  <c r="H375" i="1"/>
  <c r="E376" i="1"/>
  <c r="F376" i="1"/>
  <c r="H376" i="1"/>
  <c r="E377" i="1"/>
  <c r="F377" i="1"/>
  <c r="H377" i="1"/>
  <c r="E378" i="1"/>
  <c r="F378" i="1"/>
  <c r="H378" i="1"/>
  <c r="E379" i="1"/>
  <c r="F379" i="1"/>
  <c r="H379" i="1"/>
  <c r="E380" i="1"/>
  <c r="F380" i="1"/>
  <c r="H380" i="1"/>
  <c r="E381" i="1"/>
  <c r="F381" i="1"/>
  <c r="H381" i="1"/>
  <c r="E382" i="1"/>
  <c r="F382" i="1"/>
  <c r="H382" i="1"/>
  <c r="E383" i="1"/>
  <c r="F383" i="1"/>
  <c r="H383" i="1"/>
  <c r="E384" i="1"/>
  <c r="F384" i="1"/>
  <c r="H384" i="1"/>
  <c r="E385" i="1"/>
  <c r="F385" i="1"/>
  <c r="H385" i="1"/>
  <c r="E386" i="1"/>
  <c r="F386" i="1"/>
  <c r="H386" i="1"/>
  <c r="E387" i="1"/>
  <c r="F387" i="1"/>
  <c r="H387" i="1"/>
  <c r="E388" i="1"/>
  <c r="F388" i="1"/>
  <c r="H388" i="1"/>
  <c r="E389" i="1"/>
  <c r="F389" i="1"/>
  <c r="H389" i="1"/>
  <c r="E390" i="1"/>
  <c r="F390" i="1"/>
  <c r="H390" i="1"/>
  <c r="E391" i="1"/>
  <c r="F391" i="1"/>
  <c r="H391" i="1"/>
  <c r="E392" i="1"/>
  <c r="F392" i="1"/>
  <c r="H392" i="1"/>
  <c r="E393" i="1"/>
  <c r="F393" i="1"/>
  <c r="H393" i="1"/>
  <c r="E394" i="1"/>
  <c r="F394" i="1"/>
  <c r="E395" i="1"/>
  <c r="F395" i="1"/>
  <c r="H395" i="1"/>
  <c r="E396" i="1"/>
  <c r="F396" i="1"/>
  <c r="H396" i="1"/>
  <c r="E397" i="1"/>
  <c r="F397" i="1"/>
  <c r="H397" i="1"/>
  <c r="E398" i="1"/>
  <c r="F398" i="1"/>
  <c r="H398" i="1"/>
  <c r="E399" i="1"/>
  <c r="F399" i="1"/>
  <c r="H399" i="1"/>
  <c r="E400" i="1"/>
  <c r="F400" i="1"/>
  <c r="H400" i="1"/>
  <c r="E401" i="1"/>
  <c r="F401" i="1"/>
  <c r="H401" i="1"/>
  <c r="E402" i="1"/>
  <c r="F402" i="1"/>
  <c r="H402" i="1"/>
  <c r="E403" i="1"/>
  <c r="F403" i="1"/>
  <c r="H403" i="1"/>
  <c r="E404" i="1"/>
  <c r="F404" i="1"/>
  <c r="H404" i="1"/>
  <c r="E405" i="1"/>
  <c r="F405" i="1"/>
  <c r="H405" i="1"/>
  <c r="E406" i="1"/>
  <c r="F406" i="1"/>
  <c r="H406" i="1"/>
  <c r="E407" i="1"/>
  <c r="F407" i="1"/>
  <c r="H407" i="1"/>
  <c r="E408" i="1"/>
  <c r="F408" i="1"/>
  <c r="H408" i="1"/>
  <c r="E409" i="1"/>
  <c r="F409" i="1"/>
  <c r="H409" i="1"/>
  <c r="E410" i="1"/>
  <c r="F410" i="1"/>
  <c r="H410" i="1"/>
  <c r="E411" i="1"/>
  <c r="F411" i="1"/>
  <c r="H411" i="1"/>
  <c r="E412" i="1"/>
  <c r="F412" i="1"/>
  <c r="H412" i="1"/>
  <c r="E413" i="1"/>
  <c r="F413" i="1"/>
  <c r="H413" i="1"/>
  <c r="E414" i="1"/>
  <c r="F414" i="1"/>
  <c r="H414" i="1"/>
  <c r="E415" i="1"/>
  <c r="F415" i="1"/>
  <c r="H415" i="1"/>
  <c r="E416" i="1"/>
  <c r="F416" i="1"/>
  <c r="H416" i="1"/>
  <c r="E417" i="1"/>
  <c r="F417" i="1"/>
  <c r="H417" i="1"/>
  <c r="E418" i="1"/>
  <c r="F418" i="1"/>
  <c r="H418" i="1"/>
  <c r="E419" i="1"/>
  <c r="F419" i="1"/>
  <c r="H419" i="1"/>
  <c r="E420" i="1"/>
  <c r="F420" i="1"/>
  <c r="H420" i="1"/>
  <c r="E421" i="1"/>
  <c r="F421" i="1"/>
  <c r="H421" i="1"/>
  <c r="E422" i="1"/>
  <c r="F422" i="1"/>
  <c r="H422" i="1"/>
  <c r="E423" i="1"/>
  <c r="F423" i="1"/>
  <c r="H423" i="1"/>
  <c r="E424" i="1"/>
  <c r="F424" i="1"/>
  <c r="H424" i="1"/>
  <c r="E425" i="1"/>
  <c r="F425" i="1"/>
  <c r="H425" i="1"/>
  <c r="E426" i="1"/>
  <c r="F426" i="1"/>
  <c r="H426" i="1"/>
  <c r="E427" i="1"/>
  <c r="F427" i="1"/>
  <c r="H427" i="1"/>
  <c r="E428" i="1"/>
  <c r="F428" i="1"/>
  <c r="H428" i="1"/>
  <c r="E429" i="1"/>
  <c r="F429" i="1"/>
  <c r="H429" i="1"/>
  <c r="E430" i="1"/>
  <c r="F430" i="1"/>
  <c r="H430" i="1"/>
  <c r="E431" i="1"/>
  <c r="F431" i="1"/>
  <c r="H431" i="1"/>
  <c r="E432" i="1"/>
  <c r="F432" i="1"/>
  <c r="H432" i="1"/>
  <c r="E433" i="1"/>
  <c r="F433" i="1"/>
  <c r="H433" i="1"/>
  <c r="E434" i="1"/>
  <c r="F434" i="1"/>
  <c r="H434" i="1"/>
  <c r="E435" i="1"/>
  <c r="F435" i="1"/>
  <c r="H435" i="1"/>
  <c r="E436" i="1"/>
  <c r="F436" i="1"/>
  <c r="H436" i="1"/>
  <c r="E437" i="1"/>
  <c r="F437" i="1"/>
  <c r="H437" i="1"/>
  <c r="E438" i="1"/>
  <c r="F438" i="1"/>
  <c r="H438" i="1"/>
  <c r="E439" i="1"/>
  <c r="F439" i="1"/>
  <c r="H439" i="1"/>
  <c r="E440" i="1"/>
  <c r="F440" i="1"/>
  <c r="H440" i="1"/>
  <c r="E441" i="1"/>
  <c r="F441" i="1"/>
  <c r="H441" i="1"/>
  <c r="G442" i="1"/>
  <c r="H442" i="1"/>
  <c r="I442" i="1"/>
  <c r="E443" i="1"/>
  <c r="F443" i="1"/>
  <c r="H443" i="1"/>
  <c r="E444" i="1"/>
  <c r="F444" i="1"/>
  <c r="H444" i="1"/>
  <c r="E445" i="1"/>
  <c r="F445" i="1"/>
  <c r="H445" i="1"/>
  <c r="E446" i="1"/>
  <c r="F446" i="1"/>
  <c r="H446" i="1"/>
  <c r="E447" i="1"/>
  <c r="F447" i="1"/>
  <c r="H447" i="1"/>
  <c r="E448" i="1"/>
  <c r="F448" i="1"/>
  <c r="H448" i="1"/>
  <c r="E449" i="1"/>
  <c r="F449" i="1"/>
  <c r="H449" i="1"/>
  <c r="E450" i="1"/>
  <c r="F450" i="1"/>
  <c r="H450" i="1"/>
  <c r="E451" i="1"/>
  <c r="F451" i="1"/>
  <c r="H451" i="1"/>
  <c r="E452" i="1"/>
  <c r="F452" i="1"/>
  <c r="H452" i="1"/>
  <c r="E453" i="1"/>
  <c r="F453" i="1"/>
  <c r="H453" i="1"/>
  <c r="E454" i="1"/>
  <c r="F454" i="1"/>
  <c r="H454" i="1"/>
  <c r="E455" i="1"/>
  <c r="F455" i="1"/>
  <c r="H455" i="1"/>
  <c r="E456" i="1"/>
  <c r="F456" i="1"/>
  <c r="H456" i="1"/>
  <c r="E457" i="1"/>
  <c r="F457" i="1"/>
  <c r="H457" i="1"/>
  <c r="E458" i="1"/>
  <c r="F458" i="1"/>
  <c r="H458" i="1"/>
  <c r="G459" i="1"/>
  <c r="H459" i="1"/>
  <c r="I459" i="1"/>
  <c r="E460" i="1"/>
  <c r="F460" i="1"/>
  <c r="H460" i="1"/>
  <c r="E461" i="1"/>
  <c r="F461" i="1"/>
  <c r="H461" i="1"/>
  <c r="E462" i="1"/>
  <c r="F462" i="1"/>
  <c r="H462" i="1"/>
  <c r="E463" i="1"/>
  <c r="F463" i="1"/>
  <c r="H463" i="1"/>
  <c r="E464" i="1"/>
  <c r="F464" i="1"/>
  <c r="H464" i="1"/>
  <c r="E465" i="1"/>
  <c r="F465" i="1"/>
  <c r="H465" i="1"/>
  <c r="E466" i="1"/>
  <c r="F466" i="1"/>
  <c r="H466" i="1"/>
  <c r="E467" i="1"/>
  <c r="F467" i="1"/>
  <c r="H467" i="1"/>
  <c r="E468" i="1"/>
  <c r="F468" i="1"/>
  <c r="H468" i="1"/>
  <c r="E469" i="1"/>
  <c r="F469" i="1"/>
  <c r="H469" i="1"/>
  <c r="E470" i="1"/>
  <c r="F470" i="1"/>
  <c r="H470" i="1"/>
  <c r="E471" i="1"/>
  <c r="F471" i="1"/>
  <c r="H471" i="1"/>
  <c r="E472" i="1"/>
  <c r="F472" i="1"/>
  <c r="H472" i="1"/>
  <c r="E473" i="1"/>
  <c r="F473" i="1"/>
  <c r="H473" i="1"/>
  <c r="E474" i="1"/>
  <c r="F474" i="1"/>
  <c r="H474" i="1"/>
  <c r="E475" i="1"/>
  <c r="F475" i="1"/>
  <c r="H475" i="1"/>
  <c r="E476" i="1"/>
  <c r="F476" i="1"/>
  <c r="H476" i="1"/>
  <c r="E477" i="1"/>
  <c r="F477" i="1"/>
  <c r="H477" i="1"/>
  <c r="E478" i="1"/>
  <c r="F478" i="1"/>
  <c r="H478" i="1"/>
  <c r="E479" i="1"/>
  <c r="F479" i="1"/>
  <c r="H479" i="1"/>
  <c r="E480" i="1"/>
  <c r="F480" i="1"/>
  <c r="H480" i="1"/>
  <c r="E481" i="1"/>
  <c r="F481" i="1"/>
  <c r="H481" i="1"/>
  <c r="E482" i="1"/>
  <c r="F482" i="1"/>
  <c r="H482" i="1"/>
  <c r="E483" i="1"/>
  <c r="F483" i="1"/>
  <c r="H483" i="1"/>
  <c r="E484" i="1"/>
  <c r="F484" i="1"/>
  <c r="H484" i="1"/>
  <c r="E485" i="1"/>
  <c r="F485" i="1"/>
  <c r="H485" i="1"/>
  <c r="E486" i="1"/>
  <c r="F486" i="1"/>
  <c r="H486" i="1"/>
  <c r="E487" i="1"/>
  <c r="F487" i="1"/>
  <c r="H487" i="1"/>
  <c r="E488" i="1"/>
  <c r="F488" i="1"/>
  <c r="H488" i="1"/>
  <c r="E489" i="1"/>
  <c r="F489" i="1"/>
  <c r="H489" i="1"/>
  <c r="E490" i="1"/>
  <c r="F490" i="1"/>
  <c r="H490" i="1"/>
  <c r="E491" i="1"/>
  <c r="F491" i="1"/>
  <c r="H491" i="1"/>
  <c r="E492" i="1"/>
  <c r="F492" i="1"/>
  <c r="H492" i="1"/>
  <c r="E493" i="1"/>
  <c r="F493" i="1"/>
  <c r="H493" i="1"/>
  <c r="E494" i="1"/>
  <c r="F494" i="1"/>
  <c r="H494" i="1"/>
  <c r="E495" i="1"/>
  <c r="F495" i="1"/>
  <c r="H495" i="1"/>
  <c r="E496" i="1"/>
  <c r="F496" i="1"/>
  <c r="H496" i="1"/>
  <c r="E497" i="1"/>
  <c r="F497" i="1"/>
  <c r="H497" i="1"/>
  <c r="E498" i="1"/>
  <c r="F498" i="1"/>
  <c r="H498" i="1"/>
  <c r="E499" i="1"/>
  <c r="F499" i="1"/>
  <c r="H499" i="1"/>
  <c r="E500" i="1"/>
  <c r="F500" i="1"/>
  <c r="H500" i="1"/>
  <c r="E501" i="1"/>
  <c r="F501" i="1"/>
  <c r="H501" i="1"/>
  <c r="E502" i="1"/>
  <c r="F502" i="1"/>
  <c r="H502" i="1"/>
  <c r="E503" i="1"/>
  <c r="F503" i="1"/>
  <c r="H503" i="1"/>
  <c r="E504" i="1"/>
  <c r="F504" i="1"/>
  <c r="H504" i="1"/>
  <c r="E505" i="1"/>
  <c r="F505" i="1"/>
  <c r="H505" i="1"/>
  <c r="E506" i="1"/>
  <c r="F506" i="1"/>
  <c r="H506" i="1"/>
  <c r="E507" i="1"/>
  <c r="F507" i="1"/>
  <c r="H507" i="1"/>
  <c r="E508" i="1"/>
  <c r="F508" i="1"/>
  <c r="H508" i="1"/>
  <c r="E509" i="1"/>
  <c r="F509" i="1"/>
  <c r="H509" i="1"/>
  <c r="E510" i="1"/>
  <c r="F510" i="1"/>
  <c r="H510" i="1"/>
  <c r="E511" i="1"/>
  <c r="F511" i="1"/>
  <c r="H511" i="1"/>
  <c r="E512" i="1"/>
  <c r="F512" i="1"/>
  <c r="H512" i="1"/>
  <c r="E513" i="1"/>
  <c r="F513" i="1"/>
  <c r="H513" i="1"/>
  <c r="E514" i="1"/>
  <c r="F514" i="1"/>
  <c r="H514" i="1"/>
  <c r="E515" i="1"/>
  <c r="F515" i="1"/>
  <c r="H515" i="1"/>
  <c r="E516" i="1"/>
  <c r="F516" i="1"/>
  <c r="H516" i="1"/>
  <c r="E517" i="1"/>
  <c r="F517" i="1"/>
  <c r="H517" i="1"/>
  <c r="E518" i="1"/>
  <c r="F518" i="1"/>
  <c r="H518" i="1"/>
  <c r="E519" i="1"/>
  <c r="F519" i="1"/>
  <c r="H519" i="1"/>
  <c r="E520" i="1"/>
  <c r="F520" i="1"/>
  <c r="H520" i="1"/>
  <c r="E521" i="1"/>
  <c r="F521" i="1"/>
  <c r="H521" i="1"/>
  <c r="E522" i="1"/>
  <c r="F522" i="1"/>
  <c r="H522" i="1"/>
  <c r="E523" i="1"/>
  <c r="F523" i="1"/>
  <c r="H523" i="1"/>
  <c r="E524" i="1"/>
  <c r="F524" i="1"/>
  <c r="H524" i="1"/>
  <c r="E525" i="1"/>
  <c r="F525" i="1"/>
  <c r="H525" i="1"/>
  <c r="E526" i="1"/>
  <c r="F526" i="1"/>
  <c r="H526" i="1"/>
  <c r="E527" i="1"/>
  <c r="F527" i="1"/>
  <c r="H527" i="1"/>
  <c r="E528" i="1"/>
  <c r="F528" i="1"/>
  <c r="H528" i="1"/>
  <c r="E529" i="1"/>
  <c r="F529" i="1"/>
  <c r="H529" i="1"/>
  <c r="E530" i="1"/>
  <c r="F530" i="1"/>
  <c r="H530" i="1"/>
  <c r="E531" i="1"/>
  <c r="F531" i="1"/>
  <c r="H531" i="1"/>
  <c r="E532" i="1"/>
  <c r="F532" i="1"/>
  <c r="H532" i="1"/>
  <c r="E533" i="1"/>
  <c r="F533" i="1"/>
  <c r="H533" i="1"/>
  <c r="E534" i="1"/>
  <c r="F534" i="1"/>
  <c r="H534" i="1"/>
  <c r="E535" i="1"/>
  <c r="F535" i="1"/>
  <c r="H535" i="1"/>
  <c r="E536" i="1"/>
  <c r="F536" i="1"/>
  <c r="H536" i="1"/>
  <c r="E537" i="1"/>
  <c r="F537" i="1"/>
  <c r="H537" i="1"/>
  <c r="E538" i="1"/>
  <c r="F538" i="1"/>
  <c r="H538" i="1"/>
  <c r="E539" i="1"/>
  <c r="F539" i="1"/>
  <c r="H539" i="1"/>
  <c r="E540" i="1"/>
  <c r="F540" i="1"/>
  <c r="H540" i="1"/>
  <c r="E541" i="1"/>
  <c r="F541" i="1"/>
  <c r="H541" i="1"/>
  <c r="E542" i="1"/>
  <c r="F542" i="1"/>
  <c r="H542" i="1"/>
  <c r="E543" i="1"/>
  <c r="F543" i="1"/>
  <c r="H543" i="1"/>
  <c r="E544" i="1"/>
  <c r="F544" i="1"/>
  <c r="H544" i="1"/>
  <c r="E545" i="1"/>
  <c r="F545" i="1"/>
  <c r="H545" i="1"/>
  <c r="E546" i="1"/>
  <c r="F546" i="1"/>
  <c r="H546" i="1"/>
  <c r="E547" i="1"/>
  <c r="F547" i="1"/>
  <c r="H547" i="1"/>
  <c r="E548" i="1"/>
  <c r="F548" i="1"/>
  <c r="H548" i="1"/>
  <c r="E549" i="1"/>
  <c r="F549" i="1"/>
  <c r="H549" i="1"/>
  <c r="E550" i="1"/>
  <c r="F550" i="1"/>
  <c r="H550" i="1"/>
  <c r="E551" i="1"/>
  <c r="F551" i="1"/>
  <c r="H551" i="1"/>
  <c r="E552" i="1"/>
  <c r="F552" i="1"/>
  <c r="H552" i="1"/>
  <c r="E553" i="1"/>
  <c r="F553" i="1"/>
  <c r="H553" i="1"/>
  <c r="E554" i="1"/>
  <c r="F554" i="1"/>
  <c r="H554" i="1"/>
  <c r="E555" i="1"/>
  <c r="F555" i="1"/>
  <c r="H555" i="1"/>
  <c r="E556" i="1"/>
  <c r="F556" i="1"/>
  <c r="H556" i="1"/>
  <c r="E557" i="1"/>
  <c r="F557" i="1"/>
  <c r="H557" i="1"/>
  <c r="E558" i="1"/>
  <c r="F558" i="1"/>
  <c r="H558" i="1"/>
  <c r="E559" i="1"/>
  <c r="F559" i="1"/>
  <c r="H559" i="1"/>
  <c r="E560" i="1"/>
  <c r="F560" i="1"/>
  <c r="H560" i="1"/>
  <c r="E561" i="1"/>
  <c r="F561" i="1"/>
  <c r="H561" i="1"/>
  <c r="E562" i="1"/>
  <c r="F562" i="1"/>
  <c r="H562" i="1"/>
  <c r="E563" i="1"/>
  <c r="F563" i="1"/>
  <c r="H563" i="1"/>
  <c r="E564" i="1"/>
  <c r="F564" i="1"/>
  <c r="H564" i="1"/>
  <c r="E565" i="1"/>
  <c r="F565" i="1"/>
  <c r="H565" i="1"/>
  <c r="E566" i="1"/>
  <c r="F566" i="1"/>
  <c r="H566" i="1"/>
  <c r="E567" i="1"/>
  <c r="F567" i="1"/>
  <c r="H567" i="1"/>
  <c r="E568" i="1"/>
  <c r="F568" i="1"/>
  <c r="H568" i="1"/>
  <c r="E569" i="1"/>
  <c r="F569" i="1"/>
  <c r="H569" i="1"/>
  <c r="E570" i="1"/>
  <c r="F570" i="1"/>
  <c r="H570" i="1"/>
  <c r="E571" i="1"/>
  <c r="F571" i="1"/>
  <c r="H571" i="1"/>
  <c r="E572" i="1"/>
  <c r="F572" i="1"/>
  <c r="H572" i="1"/>
  <c r="E573" i="1"/>
  <c r="F573" i="1"/>
  <c r="H573" i="1"/>
  <c r="E574" i="1"/>
  <c r="F574" i="1"/>
  <c r="H574" i="1"/>
  <c r="G575" i="1"/>
  <c r="H575" i="1"/>
  <c r="I575" i="1"/>
  <c r="E576" i="1"/>
  <c r="F576" i="1"/>
  <c r="H576" i="1"/>
  <c r="E577" i="1"/>
  <c r="F577" i="1"/>
  <c r="H577" i="1"/>
  <c r="E578" i="1"/>
  <c r="F578" i="1"/>
  <c r="H578" i="1"/>
  <c r="E579" i="1"/>
  <c r="F579" i="1"/>
  <c r="H579" i="1"/>
  <c r="E580" i="1"/>
  <c r="F580" i="1"/>
  <c r="H580" i="1"/>
  <c r="E581" i="1"/>
  <c r="F581" i="1"/>
  <c r="H581" i="1"/>
  <c r="E582" i="1"/>
  <c r="F582" i="1"/>
  <c r="H582" i="1"/>
  <c r="E583" i="1"/>
  <c r="F583" i="1"/>
  <c r="H583" i="1"/>
  <c r="E584" i="1"/>
  <c r="F584" i="1"/>
  <c r="H584" i="1"/>
  <c r="E585" i="1"/>
  <c r="F585" i="1"/>
  <c r="H585" i="1"/>
  <c r="E586" i="1"/>
  <c r="F586" i="1"/>
  <c r="H586" i="1"/>
  <c r="E587" i="1"/>
  <c r="F587" i="1"/>
  <c r="H587" i="1"/>
  <c r="E588" i="1"/>
  <c r="F588" i="1"/>
  <c r="H588" i="1"/>
  <c r="E589" i="1"/>
  <c r="F589" i="1"/>
  <c r="H589" i="1"/>
  <c r="E590" i="1"/>
  <c r="F590" i="1"/>
  <c r="H590" i="1"/>
  <c r="E591" i="1"/>
  <c r="F591" i="1"/>
  <c r="H591" i="1"/>
  <c r="E592" i="1"/>
  <c r="F592" i="1"/>
  <c r="H592" i="1"/>
  <c r="E593" i="1"/>
  <c r="F593" i="1"/>
  <c r="H593" i="1"/>
  <c r="E594" i="1"/>
  <c r="F594" i="1"/>
  <c r="H594" i="1"/>
  <c r="E595" i="1"/>
  <c r="F595" i="1"/>
  <c r="H595" i="1"/>
  <c r="E596" i="1"/>
  <c r="F596" i="1"/>
  <c r="H596" i="1"/>
  <c r="E597" i="1"/>
  <c r="F597" i="1"/>
  <c r="H597" i="1"/>
  <c r="E598" i="1"/>
  <c r="F598" i="1"/>
  <c r="H598" i="1"/>
  <c r="E599" i="1"/>
  <c r="F599" i="1"/>
  <c r="H599" i="1"/>
  <c r="E600" i="1"/>
  <c r="F600" i="1"/>
  <c r="H600" i="1"/>
  <c r="E601" i="1"/>
  <c r="F601" i="1"/>
  <c r="H601" i="1"/>
  <c r="E602" i="1"/>
  <c r="F602" i="1"/>
  <c r="H602" i="1"/>
  <c r="E603" i="1"/>
  <c r="F603" i="1"/>
  <c r="H603" i="1"/>
  <c r="E604" i="1"/>
  <c r="F604" i="1"/>
  <c r="H604" i="1"/>
  <c r="E605" i="1"/>
  <c r="F605" i="1"/>
  <c r="H605" i="1"/>
  <c r="E606" i="1"/>
  <c r="F606" i="1"/>
  <c r="H606" i="1"/>
  <c r="E607" i="1"/>
  <c r="F607" i="1"/>
  <c r="H607" i="1"/>
  <c r="E608" i="1"/>
  <c r="F608" i="1"/>
  <c r="H608" i="1"/>
  <c r="E609" i="1"/>
  <c r="F609" i="1"/>
  <c r="H609" i="1"/>
  <c r="E610" i="1"/>
  <c r="F610" i="1"/>
  <c r="H610" i="1"/>
  <c r="E611" i="1"/>
  <c r="F611" i="1"/>
  <c r="H611" i="1"/>
  <c r="E612" i="1"/>
  <c r="F612" i="1"/>
  <c r="H612" i="1"/>
  <c r="E613" i="1"/>
  <c r="F613" i="1"/>
  <c r="H613" i="1"/>
  <c r="E614" i="1"/>
  <c r="F614" i="1"/>
  <c r="H614" i="1"/>
  <c r="E615" i="1"/>
  <c r="F615" i="1"/>
  <c r="H615" i="1"/>
  <c r="E616" i="1"/>
  <c r="F616" i="1"/>
  <c r="H616" i="1"/>
  <c r="E617" i="1"/>
  <c r="F617" i="1"/>
  <c r="H617" i="1"/>
  <c r="E618" i="1"/>
  <c r="F618" i="1"/>
  <c r="H618" i="1"/>
  <c r="E619" i="1"/>
  <c r="F619" i="1"/>
  <c r="H619" i="1"/>
  <c r="E620" i="1"/>
  <c r="F620" i="1"/>
  <c r="H620" i="1"/>
  <c r="E621" i="1"/>
  <c r="F621" i="1"/>
  <c r="H621" i="1"/>
  <c r="E622" i="1"/>
  <c r="F622" i="1"/>
  <c r="H622" i="1"/>
  <c r="E623" i="1"/>
  <c r="F623" i="1"/>
  <c r="H623" i="1"/>
  <c r="E624" i="1"/>
  <c r="F624" i="1"/>
  <c r="H624" i="1"/>
  <c r="E625" i="1"/>
  <c r="F625" i="1"/>
  <c r="H625" i="1"/>
  <c r="E626" i="1"/>
  <c r="F626" i="1"/>
  <c r="H626" i="1"/>
  <c r="E627" i="1"/>
  <c r="F627" i="1"/>
  <c r="H627" i="1"/>
  <c r="E628" i="1"/>
  <c r="F628" i="1"/>
  <c r="H628" i="1"/>
  <c r="E629" i="1"/>
  <c r="F629" i="1"/>
  <c r="H629" i="1"/>
  <c r="E630" i="1"/>
  <c r="F630" i="1"/>
  <c r="H630" i="1"/>
  <c r="E631" i="1"/>
  <c r="F631" i="1"/>
  <c r="H631" i="1"/>
  <c r="E632" i="1"/>
  <c r="F632" i="1"/>
  <c r="H632" i="1"/>
  <c r="E633" i="1"/>
  <c r="F633" i="1"/>
  <c r="H633" i="1"/>
  <c r="E634" i="1"/>
  <c r="F634" i="1"/>
  <c r="H634" i="1"/>
  <c r="E635" i="1"/>
  <c r="F635" i="1"/>
  <c r="H635" i="1"/>
  <c r="E636" i="1"/>
  <c r="F636" i="1"/>
  <c r="H636" i="1"/>
  <c r="E637" i="1"/>
  <c r="F637" i="1"/>
  <c r="H637" i="1"/>
  <c r="E638" i="1"/>
  <c r="F638" i="1"/>
  <c r="H638" i="1"/>
  <c r="E639" i="1"/>
  <c r="F639" i="1"/>
  <c r="H639" i="1"/>
  <c r="E640" i="1"/>
  <c r="F640" i="1"/>
  <c r="H640" i="1"/>
  <c r="E641" i="1"/>
  <c r="F641" i="1"/>
  <c r="H641" i="1"/>
  <c r="E642" i="1"/>
  <c r="F642" i="1"/>
  <c r="H642" i="1"/>
  <c r="E643" i="1"/>
  <c r="F643" i="1"/>
  <c r="H643" i="1"/>
  <c r="E644" i="1"/>
  <c r="F644" i="1"/>
  <c r="H644" i="1"/>
  <c r="E645" i="1"/>
  <c r="F645" i="1"/>
  <c r="H645" i="1"/>
  <c r="E646" i="1"/>
  <c r="F646" i="1"/>
  <c r="H646" i="1"/>
  <c r="E647" i="1"/>
  <c r="F647" i="1"/>
  <c r="H647" i="1"/>
  <c r="E648" i="1"/>
  <c r="F648" i="1"/>
  <c r="H648" i="1"/>
  <c r="E649" i="1"/>
  <c r="F649" i="1"/>
  <c r="H649" i="1"/>
  <c r="E650" i="1"/>
  <c r="F650" i="1"/>
  <c r="H650" i="1"/>
  <c r="E651" i="1"/>
  <c r="F651" i="1"/>
  <c r="H651" i="1"/>
  <c r="E652" i="1"/>
  <c r="F652" i="1"/>
  <c r="H652" i="1"/>
  <c r="E653" i="1"/>
  <c r="F653" i="1"/>
  <c r="H653" i="1"/>
  <c r="E654" i="1"/>
  <c r="F654" i="1"/>
  <c r="H654" i="1"/>
  <c r="E655" i="1"/>
  <c r="F655" i="1"/>
  <c r="H655" i="1"/>
  <c r="E656" i="1"/>
  <c r="F656" i="1"/>
  <c r="H656" i="1"/>
  <c r="E657" i="1"/>
  <c r="F657" i="1"/>
  <c r="H657" i="1"/>
  <c r="E658" i="1"/>
  <c r="F658" i="1"/>
  <c r="H658" i="1"/>
  <c r="E659" i="1"/>
  <c r="F659" i="1"/>
  <c r="H659" i="1"/>
  <c r="E660" i="1"/>
  <c r="F660" i="1"/>
  <c r="H660" i="1"/>
  <c r="E661" i="1"/>
  <c r="F661" i="1"/>
  <c r="H661" i="1"/>
  <c r="E662" i="1"/>
  <c r="F662" i="1"/>
  <c r="H662" i="1"/>
  <c r="E663" i="1"/>
  <c r="F663" i="1"/>
  <c r="H663" i="1"/>
  <c r="E664" i="1"/>
  <c r="F664" i="1"/>
  <c r="H664" i="1"/>
  <c r="E665" i="1"/>
  <c r="F665" i="1"/>
  <c r="H665" i="1"/>
  <c r="E666" i="1"/>
  <c r="F666" i="1"/>
  <c r="H666" i="1"/>
  <c r="E667" i="1"/>
  <c r="F667" i="1"/>
  <c r="H667" i="1"/>
  <c r="E668" i="1"/>
  <c r="F668" i="1"/>
  <c r="H668" i="1"/>
  <c r="E669" i="1"/>
  <c r="F669" i="1"/>
  <c r="H669" i="1"/>
  <c r="E670" i="1"/>
  <c r="F670" i="1"/>
  <c r="H670" i="1"/>
  <c r="E671" i="1"/>
  <c r="F671" i="1"/>
  <c r="H671" i="1"/>
  <c r="G672" i="1"/>
  <c r="H672" i="1"/>
  <c r="I672" i="1"/>
  <c r="E673" i="1"/>
  <c r="F673" i="1"/>
  <c r="H673" i="1"/>
  <c r="E674" i="1"/>
  <c r="F674" i="1"/>
  <c r="H674" i="1"/>
  <c r="E675" i="1"/>
  <c r="F675" i="1"/>
  <c r="H675" i="1"/>
  <c r="E676" i="1"/>
  <c r="F676" i="1"/>
  <c r="H676" i="1"/>
  <c r="E677" i="1"/>
  <c r="F677" i="1"/>
  <c r="H677" i="1"/>
  <c r="E678" i="1"/>
  <c r="F678" i="1"/>
  <c r="H678" i="1"/>
  <c r="E679" i="1"/>
  <c r="F679" i="1"/>
  <c r="H679" i="1"/>
  <c r="E680" i="1"/>
  <c r="F680" i="1"/>
  <c r="H680" i="1"/>
  <c r="E681" i="1"/>
  <c r="F681" i="1"/>
  <c r="H681" i="1"/>
  <c r="E682" i="1"/>
  <c r="F682" i="1"/>
  <c r="H682" i="1"/>
  <c r="E683" i="1"/>
  <c r="F683" i="1"/>
  <c r="E684" i="1"/>
  <c r="F684" i="1"/>
  <c r="E685" i="1"/>
  <c r="F685" i="1"/>
  <c r="H685" i="1"/>
  <c r="E686" i="1"/>
  <c r="F686" i="1"/>
  <c r="H686" i="1"/>
  <c r="E687" i="1"/>
  <c r="F687" i="1"/>
  <c r="H687" i="1"/>
  <c r="E688" i="1"/>
  <c r="F688" i="1"/>
  <c r="H688" i="1"/>
  <c r="E689" i="1"/>
  <c r="F689" i="1"/>
  <c r="H689" i="1"/>
  <c r="E690" i="1"/>
  <c r="F690" i="1"/>
  <c r="H690" i="1"/>
  <c r="E691" i="1"/>
  <c r="F691" i="1"/>
  <c r="H691" i="1"/>
  <c r="E692" i="1"/>
  <c r="F692" i="1"/>
  <c r="H692" i="1"/>
  <c r="E693" i="1"/>
  <c r="F693" i="1"/>
  <c r="H693" i="1"/>
  <c r="E694" i="1"/>
  <c r="F694" i="1"/>
  <c r="H694" i="1"/>
  <c r="E695" i="1"/>
  <c r="F695" i="1"/>
  <c r="H695" i="1"/>
  <c r="E696" i="1"/>
  <c r="F696" i="1"/>
  <c r="H696" i="1"/>
  <c r="E697" i="1"/>
  <c r="F697" i="1"/>
  <c r="H697" i="1"/>
  <c r="E698" i="1"/>
  <c r="F698" i="1"/>
  <c r="H698" i="1"/>
  <c r="E699" i="1"/>
  <c r="F699" i="1"/>
  <c r="H699" i="1"/>
  <c r="E700" i="1"/>
  <c r="F700" i="1"/>
  <c r="H700" i="1"/>
  <c r="E701" i="1"/>
  <c r="F701" i="1"/>
  <c r="H701" i="1"/>
  <c r="E702" i="1"/>
  <c r="F702" i="1"/>
  <c r="H702" i="1"/>
  <c r="E703" i="1"/>
  <c r="F703" i="1"/>
  <c r="H703" i="1"/>
  <c r="E704" i="1"/>
  <c r="F704" i="1"/>
  <c r="H704" i="1"/>
  <c r="E705" i="1"/>
  <c r="F705" i="1"/>
  <c r="H705" i="1"/>
  <c r="E706" i="1"/>
  <c r="F706" i="1"/>
  <c r="H706" i="1"/>
  <c r="E707" i="1"/>
  <c r="F707" i="1"/>
  <c r="H707" i="1"/>
  <c r="E708" i="1"/>
  <c r="F708" i="1"/>
  <c r="H708" i="1"/>
  <c r="E709" i="1"/>
  <c r="F709" i="1"/>
  <c r="H709" i="1"/>
  <c r="E710" i="1"/>
  <c r="F710" i="1"/>
  <c r="H710" i="1"/>
  <c r="E711" i="1"/>
  <c r="F711" i="1"/>
  <c r="H711" i="1"/>
  <c r="E712" i="1"/>
  <c r="F712" i="1"/>
  <c r="H712" i="1"/>
  <c r="E713" i="1"/>
  <c r="F713" i="1"/>
  <c r="H713" i="1"/>
  <c r="E714" i="1"/>
  <c r="F714" i="1"/>
  <c r="H714" i="1"/>
  <c r="E715" i="1"/>
  <c r="F715" i="1"/>
  <c r="H715" i="1"/>
  <c r="E716" i="1"/>
  <c r="F716" i="1"/>
  <c r="H716" i="1"/>
  <c r="E717" i="1"/>
  <c r="F717" i="1"/>
  <c r="H717" i="1"/>
  <c r="E718" i="1"/>
  <c r="F718" i="1"/>
  <c r="H718" i="1"/>
  <c r="E719" i="1"/>
  <c r="F719" i="1"/>
  <c r="H719" i="1"/>
  <c r="E720" i="1"/>
  <c r="F720" i="1"/>
  <c r="H720" i="1"/>
  <c r="E721" i="1"/>
  <c r="F721" i="1"/>
  <c r="H721" i="1"/>
  <c r="E722" i="1"/>
  <c r="F722" i="1"/>
  <c r="H722" i="1"/>
  <c r="E723" i="1"/>
  <c r="F723" i="1"/>
  <c r="H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H732" i="1"/>
  <c r="E733" i="1"/>
  <c r="F733" i="1"/>
  <c r="H733" i="1"/>
  <c r="E734" i="1"/>
  <c r="F734" i="1"/>
  <c r="H734" i="1"/>
  <c r="E735" i="1"/>
  <c r="F735" i="1"/>
  <c r="H735" i="1"/>
  <c r="E736" i="1"/>
  <c r="F736" i="1"/>
  <c r="E737" i="1"/>
  <c r="F737" i="1"/>
  <c r="H737" i="1"/>
  <c r="E738" i="1"/>
  <c r="F738" i="1"/>
  <c r="H738" i="1"/>
  <c r="E739" i="1"/>
  <c r="F739" i="1"/>
  <c r="H739" i="1"/>
  <c r="E740" i="1"/>
  <c r="F740" i="1"/>
  <c r="H740" i="1"/>
  <c r="E741" i="1"/>
  <c r="F741" i="1"/>
  <c r="E742" i="1"/>
  <c r="F742" i="1"/>
  <c r="E743" i="1"/>
  <c r="F743" i="1"/>
  <c r="H743" i="1"/>
  <c r="E744" i="1"/>
  <c r="F744" i="1"/>
  <c r="H744" i="1"/>
  <c r="E745" i="1"/>
  <c r="F745" i="1"/>
  <c r="H745" i="1"/>
  <c r="E746" i="1"/>
  <c r="F746" i="1"/>
  <c r="H746" i="1"/>
  <c r="E747" i="1"/>
  <c r="F747" i="1"/>
  <c r="H747" i="1"/>
  <c r="E748" i="1"/>
  <c r="F748" i="1"/>
  <c r="H748" i="1"/>
  <c r="E749" i="1"/>
  <c r="F749" i="1"/>
  <c r="H749" i="1"/>
  <c r="E750" i="1"/>
  <c r="F750" i="1"/>
  <c r="H750" i="1"/>
  <c r="E751" i="1"/>
  <c r="F751" i="1"/>
  <c r="H751" i="1"/>
  <c r="E752" i="1"/>
  <c r="F752" i="1"/>
  <c r="H752" i="1"/>
  <c r="E753" i="1"/>
  <c r="F753" i="1"/>
  <c r="H753" i="1"/>
  <c r="E754" i="1"/>
  <c r="F754" i="1"/>
  <c r="H754" i="1"/>
  <c r="E755" i="1"/>
  <c r="F755" i="1"/>
  <c r="H755" i="1"/>
  <c r="E756" i="1"/>
  <c r="F756" i="1"/>
  <c r="H756" i="1"/>
  <c r="E757" i="1"/>
  <c r="F757" i="1"/>
  <c r="H757" i="1"/>
  <c r="E758" i="1"/>
  <c r="F758" i="1"/>
  <c r="H758" i="1"/>
  <c r="E759" i="1"/>
  <c r="F759" i="1"/>
  <c r="H759" i="1"/>
  <c r="E760" i="1"/>
  <c r="F760" i="1"/>
  <c r="H760" i="1"/>
  <c r="E761" i="1"/>
  <c r="F761" i="1"/>
  <c r="H761" i="1"/>
  <c r="E762" i="1"/>
  <c r="F762" i="1"/>
  <c r="H762" i="1"/>
  <c r="E763" i="1"/>
  <c r="F763" i="1"/>
  <c r="H763" i="1"/>
  <c r="E764" i="1"/>
  <c r="F764" i="1"/>
  <c r="H764" i="1"/>
  <c r="E765" i="1"/>
  <c r="F765" i="1"/>
  <c r="H765" i="1"/>
  <c r="E766" i="1"/>
  <c r="F766" i="1"/>
  <c r="H766" i="1"/>
  <c r="E767" i="1"/>
  <c r="F767" i="1"/>
  <c r="H767" i="1"/>
  <c r="E768" i="1"/>
  <c r="F768" i="1"/>
  <c r="H768" i="1"/>
  <c r="E769" i="1"/>
  <c r="F769" i="1"/>
  <c r="H769" i="1"/>
  <c r="E770" i="1"/>
  <c r="F770" i="1"/>
  <c r="H770" i="1"/>
  <c r="E771" i="1"/>
  <c r="F771" i="1"/>
  <c r="H771" i="1"/>
  <c r="E772" i="1"/>
  <c r="F772" i="1"/>
  <c r="H772" i="1"/>
  <c r="E773" i="1"/>
  <c r="F773" i="1"/>
  <c r="H773" i="1"/>
  <c r="E774" i="1"/>
  <c r="F774" i="1"/>
  <c r="H774" i="1"/>
  <c r="E775" i="1"/>
  <c r="F775" i="1"/>
  <c r="H775" i="1"/>
  <c r="G776" i="1"/>
  <c r="H776" i="1"/>
  <c r="I776" i="1"/>
  <c r="E777" i="1"/>
  <c r="F777" i="1"/>
  <c r="H777" i="1"/>
  <c r="E778" i="1"/>
  <c r="F778" i="1"/>
  <c r="H778" i="1"/>
  <c r="E779" i="1"/>
  <c r="F779" i="1"/>
  <c r="H779" i="1"/>
  <c r="E780" i="1"/>
  <c r="F780" i="1"/>
  <c r="H780" i="1"/>
  <c r="E781" i="1"/>
  <c r="F781" i="1"/>
  <c r="H781" i="1"/>
  <c r="E782" i="1"/>
  <c r="F782" i="1"/>
  <c r="H782" i="1"/>
  <c r="E783" i="1"/>
  <c r="F783" i="1"/>
  <c r="H783" i="1"/>
  <c r="E784" i="1"/>
  <c r="F784" i="1"/>
  <c r="H784" i="1"/>
  <c r="E785" i="1"/>
  <c r="F785" i="1"/>
  <c r="H785" i="1"/>
  <c r="E786" i="1"/>
  <c r="F786" i="1"/>
  <c r="H786" i="1"/>
  <c r="E787" i="1"/>
  <c r="F787" i="1"/>
  <c r="H787" i="1"/>
  <c r="E788" i="1"/>
  <c r="F788" i="1"/>
  <c r="H788" i="1"/>
  <c r="E789" i="1"/>
  <c r="F789" i="1"/>
  <c r="H789" i="1"/>
  <c r="E790" i="1"/>
  <c r="F790" i="1"/>
  <c r="H790" i="1"/>
  <c r="E791" i="1"/>
  <c r="F791" i="1"/>
  <c r="H791" i="1"/>
  <c r="E792" i="1"/>
  <c r="F792" i="1"/>
  <c r="H792" i="1"/>
  <c r="E793" i="1"/>
  <c r="F793" i="1"/>
  <c r="H793" i="1"/>
  <c r="E794" i="1"/>
  <c r="F794" i="1"/>
  <c r="H794" i="1"/>
  <c r="E795" i="1"/>
  <c r="F795" i="1"/>
  <c r="H795" i="1"/>
  <c r="E796" i="1"/>
  <c r="F796" i="1"/>
  <c r="H796" i="1"/>
  <c r="E797" i="1"/>
  <c r="F797" i="1"/>
  <c r="H797" i="1"/>
  <c r="E798" i="1"/>
  <c r="F798" i="1"/>
  <c r="H798" i="1"/>
  <c r="E799" i="1"/>
  <c r="F799" i="1"/>
  <c r="H799" i="1"/>
  <c r="E800" i="1"/>
  <c r="F800" i="1"/>
  <c r="H800" i="1"/>
  <c r="E801" i="1"/>
  <c r="F801" i="1"/>
  <c r="H801" i="1"/>
  <c r="E802" i="1"/>
  <c r="F802" i="1"/>
  <c r="H802" i="1"/>
  <c r="E803" i="1"/>
  <c r="F803" i="1"/>
  <c r="H803" i="1"/>
  <c r="E804" i="1"/>
  <c r="F804" i="1"/>
  <c r="H804" i="1"/>
  <c r="E805" i="1"/>
  <c r="F805" i="1"/>
  <c r="H805" i="1"/>
  <c r="E806" i="1"/>
  <c r="F806" i="1"/>
  <c r="H806" i="1"/>
  <c r="G807" i="1"/>
  <c r="H807" i="1"/>
  <c r="I807" i="1"/>
  <c r="G808" i="1"/>
  <c r="H808" i="1"/>
  <c r="I808" i="1"/>
  <c r="G809" i="1"/>
  <c r="E810" i="1"/>
  <c r="F810" i="1"/>
  <c r="E811" i="1"/>
  <c r="F811" i="1"/>
  <c r="H811" i="1"/>
  <c r="E812" i="1"/>
  <c r="F812" i="1"/>
  <c r="H812" i="1"/>
  <c r="E813" i="1"/>
  <c r="F813" i="1"/>
  <c r="H813" i="1"/>
  <c r="E814" i="1"/>
  <c r="F814" i="1"/>
  <c r="H814" i="1"/>
  <c r="E815" i="1"/>
  <c r="F815" i="1"/>
  <c r="H815" i="1"/>
  <c r="E816" i="1"/>
  <c r="F816" i="1"/>
  <c r="E817" i="1"/>
  <c r="F817" i="1"/>
  <c r="E818" i="1"/>
  <c r="F818" i="1"/>
  <c r="E819" i="1"/>
  <c r="F819" i="1"/>
  <c r="H819" i="1"/>
  <c r="E820" i="1"/>
  <c r="F820" i="1"/>
  <c r="H820" i="1"/>
  <c r="E821" i="1"/>
  <c r="F821" i="1"/>
  <c r="H821" i="1"/>
  <c r="E822" i="1"/>
  <c r="F822" i="1"/>
  <c r="H822" i="1"/>
  <c r="E823" i="1"/>
  <c r="F823" i="1"/>
  <c r="H823" i="1"/>
  <c r="E824" i="1"/>
  <c r="F824" i="1"/>
  <c r="H824" i="1"/>
  <c r="E825" i="1"/>
  <c r="F825" i="1"/>
  <c r="H825" i="1"/>
  <c r="E826" i="1"/>
  <c r="F826" i="1"/>
  <c r="H826" i="1"/>
  <c r="E827" i="1"/>
  <c r="F827" i="1"/>
  <c r="H827" i="1"/>
  <c r="E828" i="1"/>
  <c r="F828" i="1"/>
  <c r="H828" i="1"/>
  <c r="E829" i="1"/>
  <c r="F829" i="1"/>
  <c r="H829" i="1"/>
  <c r="E830" i="1"/>
  <c r="F830" i="1"/>
  <c r="H830" i="1"/>
  <c r="E831" i="1"/>
  <c r="F831" i="1"/>
  <c r="H831" i="1"/>
  <c r="E832" i="1"/>
  <c r="F832" i="1"/>
  <c r="H832" i="1"/>
  <c r="E833" i="1"/>
  <c r="F833" i="1"/>
  <c r="H833" i="1"/>
  <c r="E834" i="1"/>
  <c r="F834" i="1"/>
  <c r="H834" i="1"/>
  <c r="E835" i="1"/>
  <c r="F835" i="1"/>
  <c r="H835" i="1"/>
  <c r="E836" i="1"/>
  <c r="F836" i="1"/>
  <c r="H836" i="1"/>
  <c r="E837" i="1"/>
  <c r="F837" i="1"/>
  <c r="H837" i="1"/>
  <c r="E838" i="1"/>
  <c r="F838" i="1"/>
  <c r="H838" i="1"/>
  <c r="E839" i="1"/>
  <c r="F839" i="1"/>
  <c r="H839" i="1"/>
  <c r="E840" i="1"/>
  <c r="F840" i="1"/>
  <c r="H840" i="1"/>
  <c r="E841" i="1"/>
  <c r="F841" i="1"/>
  <c r="H841" i="1"/>
  <c r="E842" i="1"/>
  <c r="F842" i="1"/>
  <c r="H842" i="1"/>
  <c r="E843" i="1"/>
  <c r="F843" i="1"/>
  <c r="H843" i="1"/>
  <c r="E844" i="1"/>
  <c r="F844" i="1"/>
  <c r="H844" i="1"/>
  <c r="E845" i="1"/>
  <c r="F845" i="1"/>
  <c r="H845" i="1"/>
  <c r="E846" i="1"/>
  <c r="F846" i="1"/>
  <c r="H846" i="1"/>
  <c r="E847" i="1"/>
  <c r="F847" i="1"/>
  <c r="H847" i="1"/>
  <c r="E848" i="1"/>
  <c r="F848" i="1"/>
  <c r="H848" i="1"/>
  <c r="E849" i="1"/>
  <c r="F849" i="1"/>
  <c r="H849" i="1"/>
  <c r="E850" i="1"/>
  <c r="F850" i="1"/>
  <c r="H850" i="1"/>
  <c r="E851" i="1"/>
  <c r="F851" i="1"/>
  <c r="H851" i="1"/>
  <c r="E852" i="1"/>
  <c r="F852" i="1"/>
  <c r="H852" i="1"/>
  <c r="E853" i="1"/>
  <c r="F853" i="1"/>
  <c r="H853" i="1"/>
  <c r="E854" i="1"/>
  <c r="F854" i="1"/>
  <c r="H854" i="1"/>
  <c r="E855" i="1"/>
  <c r="F855" i="1"/>
  <c r="H855" i="1"/>
  <c r="E856" i="1"/>
  <c r="F856" i="1"/>
  <c r="H856" i="1"/>
  <c r="E857" i="1"/>
  <c r="F857" i="1"/>
  <c r="H857" i="1"/>
  <c r="E858" i="1"/>
  <c r="F858" i="1"/>
  <c r="H858" i="1"/>
  <c r="E859" i="1"/>
  <c r="F859" i="1"/>
  <c r="H859" i="1"/>
  <c r="E860" i="1"/>
  <c r="F860" i="1"/>
  <c r="H860" i="1"/>
  <c r="E861" i="1"/>
  <c r="F861" i="1"/>
  <c r="H861" i="1"/>
  <c r="E862" i="1"/>
  <c r="F862" i="1"/>
  <c r="H862" i="1"/>
  <c r="E863" i="1"/>
  <c r="F863" i="1"/>
  <c r="H863" i="1"/>
  <c r="E864" i="1"/>
  <c r="F864" i="1"/>
  <c r="H864" i="1"/>
  <c r="E865" i="1"/>
  <c r="F865" i="1"/>
  <c r="H865" i="1"/>
  <c r="E866" i="1"/>
  <c r="F866" i="1"/>
  <c r="H866" i="1"/>
  <c r="E867" i="1"/>
  <c r="F867" i="1"/>
  <c r="H867" i="1"/>
  <c r="E868" i="1"/>
  <c r="F868" i="1"/>
  <c r="H868" i="1"/>
  <c r="E869" i="1"/>
  <c r="F869" i="1"/>
  <c r="H869" i="1"/>
  <c r="E870" i="1"/>
  <c r="F870" i="1"/>
  <c r="H870" i="1"/>
  <c r="E871" i="1"/>
  <c r="F871" i="1"/>
  <c r="H871" i="1"/>
  <c r="E872" i="1"/>
  <c r="F872" i="1"/>
  <c r="H872" i="1"/>
  <c r="E873" i="1"/>
  <c r="F873" i="1"/>
  <c r="H873" i="1"/>
  <c r="E874" i="1"/>
  <c r="F874" i="1"/>
  <c r="H874" i="1"/>
  <c r="E875" i="1"/>
  <c r="F875" i="1"/>
  <c r="H875" i="1"/>
  <c r="E876" i="1"/>
  <c r="F876" i="1"/>
  <c r="H876" i="1"/>
  <c r="E877" i="1"/>
  <c r="F877" i="1"/>
  <c r="H877" i="1"/>
  <c r="E878" i="1"/>
  <c r="F878" i="1"/>
  <c r="H878" i="1"/>
  <c r="E879" i="1"/>
  <c r="F879" i="1"/>
  <c r="H879" i="1"/>
  <c r="E880" i="1"/>
  <c r="F880" i="1"/>
  <c r="H880" i="1"/>
  <c r="E881" i="1"/>
  <c r="F881" i="1"/>
  <c r="H881" i="1"/>
  <c r="E882" i="1"/>
  <c r="F882" i="1"/>
  <c r="H882" i="1"/>
  <c r="E883" i="1"/>
  <c r="F883" i="1"/>
  <c r="H883" i="1"/>
  <c r="E884" i="1"/>
  <c r="F884" i="1"/>
  <c r="H884" i="1"/>
  <c r="E885" i="1"/>
  <c r="F885" i="1"/>
  <c r="H885" i="1"/>
  <c r="E886" i="1"/>
  <c r="F886" i="1"/>
  <c r="H886" i="1"/>
  <c r="E887" i="1"/>
  <c r="F887" i="1"/>
  <c r="H887" i="1"/>
  <c r="E888" i="1"/>
  <c r="F888" i="1"/>
  <c r="H888" i="1"/>
  <c r="E889" i="1"/>
  <c r="F889" i="1"/>
  <c r="H889" i="1"/>
  <c r="E890" i="1"/>
  <c r="F890" i="1"/>
  <c r="H890" i="1"/>
  <c r="E891" i="1"/>
  <c r="F891" i="1"/>
  <c r="H891" i="1"/>
  <c r="E892" i="1"/>
  <c r="F892" i="1"/>
  <c r="H892" i="1"/>
  <c r="E893" i="1"/>
  <c r="F893" i="1"/>
  <c r="H893" i="1"/>
  <c r="E894" i="1"/>
  <c r="F894" i="1"/>
  <c r="H894" i="1"/>
  <c r="E895" i="1"/>
  <c r="F895" i="1"/>
  <c r="H895" i="1"/>
  <c r="E896" i="1"/>
  <c r="F896" i="1"/>
  <c r="H896" i="1"/>
  <c r="E897" i="1"/>
  <c r="F897" i="1"/>
  <c r="H897" i="1"/>
  <c r="E898" i="1"/>
  <c r="F898" i="1"/>
  <c r="H898" i="1"/>
  <c r="E899" i="1"/>
  <c r="F899" i="1"/>
  <c r="H899" i="1"/>
  <c r="E900" i="1"/>
  <c r="F900" i="1"/>
  <c r="H900" i="1"/>
  <c r="E901" i="1"/>
  <c r="F901" i="1"/>
  <c r="H901" i="1"/>
  <c r="E902" i="1"/>
  <c r="F902" i="1"/>
  <c r="H902" i="1"/>
  <c r="E903" i="1"/>
  <c r="F903" i="1"/>
  <c r="H903" i="1"/>
  <c r="E904" i="1"/>
  <c r="F904" i="1"/>
  <c r="H904" i="1"/>
  <c r="E905" i="1"/>
  <c r="F905" i="1"/>
  <c r="H905" i="1"/>
  <c r="E906" i="1"/>
  <c r="F906" i="1"/>
  <c r="H906" i="1"/>
  <c r="E907" i="1"/>
  <c r="F907" i="1"/>
  <c r="H907" i="1"/>
  <c r="E908" i="1"/>
  <c r="F908" i="1"/>
  <c r="H908" i="1"/>
  <c r="E909" i="1"/>
  <c r="F909" i="1"/>
  <c r="H909" i="1"/>
  <c r="E910" i="1"/>
  <c r="F910" i="1"/>
  <c r="H910" i="1"/>
  <c r="E911" i="1"/>
  <c r="F911" i="1"/>
  <c r="H911" i="1"/>
  <c r="E912" i="1"/>
  <c r="F912" i="1"/>
  <c r="H912" i="1"/>
  <c r="E913" i="1"/>
  <c r="F913" i="1"/>
  <c r="H913" i="1"/>
  <c r="E914" i="1"/>
  <c r="F914" i="1"/>
  <c r="H914" i="1"/>
  <c r="E915" i="1"/>
  <c r="F915" i="1"/>
  <c r="H915" i="1"/>
  <c r="E916" i="1"/>
  <c r="F916" i="1"/>
  <c r="H916" i="1"/>
  <c r="E917" i="1"/>
  <c r="F917" i="1"/>
  <c r="H917" i="1"/>
  <c r="E918" i="1"/>
  <c r="F918" i="1"/>
  <c r="H918" i="1"/>
  <c r="E919" i="1"/>
  <c r="F919" i="1"/>
  <c r="H919" i="1"/>
  <c r="E920" i="1"/>
  <c r="F920" i="1"/>
  <c r="H920" i="1"/>
  <c r="E921" i="1"/>
  <c r="F921" i="1"/>
  <c r="H921" i="1"/>
  <c r="E922" i="1"/>
  <c r="F922" i="1"/>
  <c r="H922" i="1"/>
  <c r="E923" i="1"/>
  <c r="F923" i="1"/>
  <c r="H923" i="1"/>
  <c r="E924" i="1"/>
  <c r="F924" i="1"/>
  <c r="H924" i="1"/>
  <c r="E925" i="1"/>
  <c r="F925" i="1"/>
  <c r="H925" i="1"/>
  <c r="E926" i="1"/>
  <c r="F926" i="1"/>
  <c r="H926" i="1"/>
  <c r="E927" i="1"/>
  <c r="F927" i="1"/>
  <c r="H927" i="1"/>
  <c r="E928" i="1"/>
  <c r="F928" i="1"/>
  <c r="H928" i="1"/>
  <c r="E929" i="1"/>
  <c r="F929" i="1"/>
  <c r="H929" i="1"/>
  <c r="E930" i="1"/>
  <c r="F930" i="1"/>
  <c r="H930" i="1"/>
  <c r="E931" i="1"/>
  <c r="F931" i="1"/>
  <c r="H931" i="1"/>
  <c r="E932" i="1"/>
  <c r="F932" i="1"/>
  <c r="H932" i="1"/>
  <c r="E933" i="1"/>
  <c r="F933" i="1"/>
  <c r="H933" i="1"/>
  <c r="E934" i="1"/>
  <c r="F934" i="1"/>
  <c r="H934" i="1"/>
  <c r="E935" i="1"/>
  <c r="F935" i="1"/>
  <c r="H935" i="1"/>
  <c r="E936" i="1"/>
  <c r="F936" i="1"/>
  <c r="H936" i="1"/>
  <c r="E937" i="1"/>
  <c r="F937" i="1"/>
  <c r="H937" i="1"/>
  <c r="E938" i="1"/>
  <c r="F938" i="1"/>
  <c r="H938" i="1"/>
  <c r="E939" i="1"/>
  <c r="F939" i="1"/>
  <c r="H939" i="1"/>
  <c r="E940" i="1"/>
  <c r="F940" i="1"/>
  <c r="H940" i="1"/>
  <c r="E941" i="1"/>
  <c r="F941" i="1"/>
  <c r="H941" i="1"/>
  <c r="E942" i="1"/>
  <c r="F942" i="1"/>
  <c r="H942" i="1"/>
  <c r="E943" i="1"/>
  <c r="F943" i="1"/>
  <c r="H943" i="1"/>
  <c r="E944" i="1"/>
  <c r="F944" i="1"/>
  <c r="H944" i="1"/>
  <c r="G945" i="1"/>
  <c r="H945" i="1"/>
  <c r="I945" i="1"/>
  <c r="E946" i="1"/>
  <c r="F946" i="1"/>
  <c r="H946" i="1"/>
  <c r="E947" i="1"/>
  <c r="F947" i="1"/>
  <c r="H947" i="1"/>
  <c r="E948" i="1"/>
  <c r="F948" i="1"/>
  <c r="H948" i="1"/>
  <c r="E949" i="1"/>
  <c r="F949" i="1"/>
  <c r="H949" i="1"/>
  <c r="E950" i="1"/>
  <c r="F950" i="1"/>
  <c r="H950" i="1"/>
  <c r="E951" i="1"/>
  <c r="F951" i="1"/>
  <c r="H951" i="1"/>
  <c r="E952" i="1"/>
  <c r="F952" i="1"/>
  <c r="H952" i="1"/>
  <c r="E953" i="1"/>
  <c r="F953" i="1"/>
  <c r="H953" i="1"/>
  <c r="E954" i="1"/>
  <c r="F954" i="1"/>
  <c r="H954" i="1"/>
  <c r="E955" i="1"/>
  <c r="F955" i="1"/>
  <c r="H955" i="1"/>
  <c r="E956" i="1"/>
  <c r="F956" i="1"/>
  <c r="H956" i="1"/>
  <c r="E957" i="1"/>
  <c r="F957" i="1"/>
  <c r="H957" i="1"/>
  <c r="E958" i="1"/>
  <c r="F958" i="1"/>
  <c r="H958" i="1"/>
  <c r="E959" i="1"/>
  <c r="F959" i="1"/>
  <c r="H959" i="1"/>
  <c r="E960" i="1"/>
  <c r="F960" i="1"/>
  <c r="H960" i="1"/>
  <c r="E961" i="1"/>
  <c r="F961" i="1"/>
  <c r="H961" i="1"/>
  <c r="E962" i="1"/>
  <c r="F962" i="1"/>
  <c r="H962" i="1"/>
  <c r="E963" i="1"/>
  <c r="F963" i="1"/>
  <c r="H963" i="1"/>
  <c r="E964" i="1"/>
  <c r="F964" i="1"/>
  <c r="H964" i="1"/>
  <c r="E965" i="1"/>
  <c r="F965" i="1"/>
  <c r="H965" i="1"/>
  <c r="E966" i="1"/>
  <c r="F966" i="1"/>
  <c r="H966" i="1"/>
  <c r="E967" i="1"/>
  <c r="F967" i="1"/>
  <c r="H967" i="1"/>
  <c r="E968" i="1"/>
  <c r="F968" i="1"/>
  <c r="H968" i="1"/>
  <c r="E969" i="1"/>
  <c r="F969" i="1"/>
  <c r="H969" i="1"/>
  <c r="E970" i="1"/>
  <c r="F970" i="1"/>
  <c r="H970" i="1"/>
  <c r="E971" i="1"/>
  <c r="F971" i="1"/>
  <c r="H971" i="1"/>
  <c r="E972" i="1"/>
  <c r="F972" i="1"/>
  <c r="H972" i="1"/>
  <c r="E973" i="1"/>
  <c r="F973" i="1"/>
  <c r="H973" i="1"/>
  <c r="E974" i="1"/>
  <c r="F974" i="1"/>
  <c r="H974" i="1"/>
  <c r="E975" i="1"/>
  <c r="F975" i="1"/>
  <c r="H975" i="1"/>
  <c r="E976" i="1"/>
  <c r="F976" i="1"/>
  <c r="H976" i="1"/>
  <c r="E977" i="1"/>
  <c r="F977" i="1"/>
  <c r="H977" i="1"/>
  <c r="E978" i="1"/>
  <c r="F978" i="1"/>
  <c r="H978" i="1"/>
  <c r="E979" i="1"/>
  <c r="F979" i="1"/>
  <c r="H979" i="1"/>
  <c r="E980" i="1"/>
  <c r="F980" i="1"/>
  <c r="H980" i="1"/>
  <c r="E981" i="1"/>
  <c r="F981" i="1"/>
  <c r="H981" i="1"/>
  <c r="E982" i="1"/>
  <c r="F982" i="1"/>
  <c r="H982" i="1"/>
  <c r="E983" i="1"/>
  <c r="F983" i="1"/>
  <c r="H983" i="1"/>
  <c r="E984" i="1"/>
  <c r="F984" i="1"/>
  <c r="H984" i="1"/>
  <c r="E985" i="1"/>
  <c r="F985" i="1"/>
  <c r="H985" i="1"/>
  <c r="E986" i="1"/>
  <c r="F986" i="1"/>
  <c r="H986" i="1"/>
  <c r="E987" i="1"/>
  <c r="F987" i="1"/>
  <c r="H987" i="1"/>
  <c r="E988" i="1"/>
  <c r="F988" i="1"/>
  <c r="H988" i="1"/>
  <c r="E989" i="1"/>
  <c r="F989" i="1"/>
  <c r="H989" i="1"/>
  <c r="E990" i="1"/>
  <c r="F990" i="1"/>
  <c r="H990" i="1"/>
  <c r="E991" i="1"/>
  <c r="F991" i="1"/>
  <c r="H991" i="1"/>
  <c r="E992" i="1"/>
  <c r="F992" i="1"/>
  <c r="H992" i="1"/>
  <c r="E993" i="1"/>
  <c r="F993" i="1"/>
  <c r="H993" i="1"/>
  <c r="E994" i="1"/>
  <c r="F994" i="1"/>
  <c r="H994" i="1"/>
  <c r="E995" i="1"/>
  <c r="F995" i="1"/>
  <c r="H995" i="1"/>
  <c r="E996" i="1"/>
  <c r="F996" i="1"/>
  <c r="H996" i="1"/>
  <c r="E997" i="1"/>
  <c r="F997" i="1"/>
  <c r="H997" i="1"/>
  <c r="E998" i="1"/>
  <c r="F998" i="1"/>
  <c r="H998" i="1"/>
  <c r="E999" i="1"/>
  <c r="F999" i="1"/>
  <c r="H999" i="1"/>
  <c r="E1000" i="1"/>
  <c r="F1000" i="1"/>
  <c r="H1000" i="1"/>
  <c r="E1001" i="1"/>
  <c r="F1001" i="1"/>
  <c r="H1001" i="1"/>
  <c r="E1002" i="1"/>
  <c r="F1002" i="1"/>
  <c r="H1002" i="1"/>
  <c r="E1003" i="1"/>
  <c r="F1003" i="1"/>
  <c r="H1003" i="1"/>
  <c r="E1004" i="1"/>
  <c r="F1004" i="1"/>
  <c r="H1004" i="1"/>
  <c r="E1005" i="1"/>
  <c r="F1005" i="1"/>
  <c r="H1005" i="1"/>
  <c r="E1006" i="1"/>
  <c r="F1006" i="1"/>
  <c r="H1006" i="1"/>
  <c r="E1007" i="1"/>
  <c r="F1007" i="1"/>
  <c r="H1007" i="1"/>
  <c r="E1008" i="1"/>
  <c r="F1008" i="1"/>
  <c r="H1008" i="1"/>
  <c r="E1009" i="1"/>
  <c r="F1009" i="1"/>
  <c r="H1009" i="1"/>
  <c r="E1010" i="1"/>
  <c r="F1010" i="1"/>
  <c r="H1010" i="1"/>
  <c r="E1011" i="1"/>
  <c r="F1011" i="1"/>
  <c r="H1011" i="1"/>
  <c r="E1012" i="1"/>
  <c r="F1012" i="1"/>
  <c r="H1012" i="1"/>
  <c r="E1013" i="1"/>
  <c r="F1013" i="1"/>
  <c r="H1013" i="1"/>
  <c r="E1014" i="1"/>
  <c r="F1014" i="1"/>
  <c r="H1014" i="1"/>
  <c r="E1015" i="1"/>
  <c r="F1015" i="1"/>
  <c r="H1015" i="1"/>
  <c r="E1016" i="1"/>
  <c r="F1016" i="1"/>
  <c r="H1016" i="1"/>
  <c r="E1017" i="1"/>
  <c r="F1017" i="1"/>
  <c r="H1017" i="1"/>
  <c r="E1018" i="1"/>
  <c r="F1018" i="1"/>
  <c r="H1018" i="1"/>
  <c r="E1019" i="1"/>
  <c r="F1019" i="1"/>
  <c r="H1019" i="1"/>
  <c r="E1020" i="1"/>
  <c r="F1020" i="1"/>
  <c r="H1020" i="1"/>
  <c r="E1021" i="1"/>
  <c r="F1021" i="1"/>
  <c r="H1021" i="1"/>
  <c r="E1022" i="1"/>
  <c r="F1022" i="1"/>
  <c r="H1022" i="1"/>
  <c r="E1023" i="1"/>
  <c r="F1023" i="1"/>
  <c r="H1023" i="1"/>
  <c r="E1024" i="1"/>
  <c r="F1024" i="1"/>
  <c r="H1024" i="1"/>
  <c r="E1025" i="1"/>
  <c r="F1025" i="1"/>
  <c r="H1025" i="1"/>
  <c r="E1026" i="1"/>
  <c r="F1026" i="1"/>
  <c r="H1026" i="1"/>
  <c r="E1027" i="1"/>
  <c r="F1027" i="1"/>
  <c r="H1027" i="1"/>
  <c r="E1028" i="1"/>
  <c r="F1028" i="1"/>
  <c r="H1028" i="1"/>
  <c r="E1029" i="1"/>
  <c r="F1029" i="1"/>
  <c r="H1029" i="1"/>
  <c r="E1030" i="1"/>
  <c r="F1030" i="1"/>
  <c r="H1030" i="1"/>
  <c r="E1031" i="1"/>
  <c r="F1031" i="1"/>
  <c r="H1031" i="1"/>
  <c r="E1032" i="1"/>
  <c r="F1032" i="1"/>
  <c r="H1032" i="1"/>
  <c r="E1033" i="1"/>
  <c r="F1033" i="1"/>
  <c r="H1033" i="1"/>
  <c r="E1034" i="1"/>
  <c r="F1034" i="1"/>
  <c r="H1034" i="1"/>
  <c r="E1035" i="1"/>
  <c r="F1035" i="1"/>
  <c r="H1035" i="1"/>
  <c r="E1036" i="1"/>
  <c r="F1036" i="1"/>
  <c r="H1036" i="1"/>
  <c r="E1037" i="1"/>
  <c r="F1037" i="1"/>
  <c r="H1037" i="1"/>
  <c r="E1038" i="1"/>
  <c r="F1038" i="1"/>
  <c r="H1038" i="1"/>
  <c r="E1039" i="1"/>
  <c r="F1039" i="1"/>
  <c r="H1039" i="1"/>
  <c r="E1040" i="1"/>
  <c r="F1040" i="1"/>
  <c r="H1040" i="1"/>
  <c r="E1041" i="1"/>
  <c r="F1041" i="1"/>
  <c r="H1041" i="1"/>
  <c r="E1042" i="1"/>
  <c r="F1042" i="1"/>
  <c r="H1042" i="1"/>
  <c r="E1043" i="1"/>
  <c r="F1043" i="1"/>
  <c r="H1043" i="1"/>
  <c r="E1044" i="1"/>
  <c r="F1044" i="1"/>
  <c r="H1044" i="1"/>
  <c r="E1045" i="1"/>
  <c r="F1045" i="1"/>
  <c r="H1045" i="1"/>
  <c r="E1046" i="1"/>
  <c r="F1046" i="1"/>
  <c r="H1046" i="1"/>
  <c r="E1047" i="1"/>
  <c r="F1047" i="1"/>
  <c r="H1047" i="1"/>
  <c r="E1048" i="1"/>
  <c r="F1048" i="1"/>
  <c r="H1048" i="1"/>
  <c r="E1049" i="1"/>
  <c r="F1049" i="1"/>
  <c r="H1049" i="1"/>
  <c r="E1050" i="1"/>
  <c r="F1050" i="1"/>
  <c r="H1050" i="1"/>
  <c r="E1051" i="1"/>
  <c r="F1051" i="1"/>
  <c r="H1051" i="1"/>
  <c r="E1052" i="1"/>
  <c r="F1052" i="1"/>
  <c r="H1052" i="1"/>
  <c r="E1053" i="1"/>
  <c r="F1053" i="1"/>
  <c r="H1053" i="1"/>
  <c r="E1054" i="1"/>
  <c r="F1054" i="1"/>
  <c r="H1054" i="1"/>
  <c r="E1055" i="1"/>
  <c r="F1055" i="1"/>
  <c r="H1055" i="1"/>
  <c r="E1056" i="1"/>
  <c r="F1056" i="1"/>
  <c r="H1056" i="1"/>
  <c r="E1057" i="1"/>
  <c r="F1057" i="1"/>
  <c r="H1057" i="1"/>
  <c r="E1058" i="1"/>
  <c r="F1058" i="1"/>
  <c r="H1058" i="1"/>
  <c r="E1059" i="1"/>
  <c r="F1059" i="1"/>
  <c r="H1059" i="1"/>
  <c r="E1060" i="1"/>
  <c r="F1060" i="1"/>
  <c r="H1060" i="1"/>
  <c r="E1061" i="1"/>
  <c r="F1061" i="1"/>
  <c r="H1061" i="1"/>
  <c r="E1062" i="1"/>
  <c r="F1062" i="1"/>
  <c r="H1062" i="1"/>
  <c r="E1063" i="1"/>
  <c r="F1063" i="1"/>
  <c r="H1063" i="1"/>
  <c r="E1064" i="1"/>
  <c r="F1064" i="1"/>
  <c r="H1064" i="1"/>
  <c r="E1065" i="1"/>
  <c r="F1065" i="1"/>
  <c r="H1065" i="1"/>
  <c r="E1066" i="1"/>
  <c r="F1066" i="1"/>
  <c r="H1066" i="1"/>
  <c r="E1067" i="1"/>
  <c r="F1067" i="1"/>
  <c r="H1067" i="1"/>
  <c r="E1068" i="1"/>
  <c r="F1068" i="1"/>
  <c r="H1068" i="1"/>
  <c r="E1069" i="1"/>
  <c r="F1069" i="1"/>
  <c r="H1069" i="1"/>
  <c r="E1070" i="1"/>
  <c r="F1070" i="1"/>
  <c r="H1070" i="1"/>
  <c r="E1071" i="1"/>
  <c r="F1071" i="1"/>
  <c r="H1071" i="1"/>
  <c r="E1072" i="1"/>
  <c r="F1072" i="1"/>
  <c r="H1072" i="1"/>
  <c r="E1073" i="1"/>
  <c r="F1073" i="1"/>
  <c r="H1073" i="1"/>
  <c r="E1074" i="1"/>
  <c r="F1074" i="1"/>
  <c r="H1074" i="1"/>
  <c r="E1075" i="1"/>
  <c r="F1075" i="1"/>
  <c r="H1075" i="1"/>
  <c r="E1076" i="1"/>
  <c r="F1076" i="1"/>
  <c r="H1076" i="1"/>
  <c r="E1077" i="1"/>
  <c r="F1077" i="1"/>
  <c r="H1077" i="1"/>
  <c r="E1078" i="1"/>
  <c r="F1078" i="1"/>
  <c r="H1078" i="1"/>
  <c r="E1079" i="1"/>
  <c r="F1079" i="1"/>
  <c r="H1079" i="1"/>
  <c r="E1080" i="1"/>
  <c r="F1080" i="1"/>
  <c r="H1080" i="1"/>
  <c r="E1081" i="1"/>
  <c r="F1081" i="1"/>
  <c r="H1081" i="1"/>
  <c r="E1082" i="1"/>
  <c r="F1082" i="1"/>
  <c r="H1082" i="1"/>
  <c r="E1083" i="1"/>
  <c r="F1083" i="1"/>
  <c r="H1083" i="1"/>
  <c r="E1084" i="1"/>
  <c r="F1084" i="1"/>
  <c r="H1084" i="1"/>
  <c r="E1085" i="1"/>
  <c r="F1085" i="1"/>
  <c r="H1085" i="1"/>
  <c r="E1086" i="1"/>
  <c r="F1086" i="1"/>
  <c r="H1086" i="1"/>
  <c r="E1087" i="1"/>
  <c r="F1087" i="1"/>
  <c r="H1087" i="1"/>
  <c r="E1088" i="1"/>
  <c r="F1088" i="1"/>
  <c r="H1088" i="1"/>
  <c r="E1089" i="1"/>
  <c r="F1089" i="1"/>
  <c r="H1089" i="1"/>
  <c r="E1090" i="1"/>
  <c r="F1090" i="1"/>
  <c r="H1090" i="1"/>
  <c r="E1091" i="1"/>
  <c r="F1091" i="1"/>
  <c r="H1091" i="1"/>
  <c r="E1092" i="1"/>
  <c r="F1092" i="1"/>
  <c r="H1092" i="1"/>
  <c r="E1093" i="1"/>
  <c r="F1093" i="1"/>
  <c r="H1093" i="1"/>
  <c r="E1094" i="1"/>
  <c r="F1094" i="1"/>
  <c r="H1094" i="1"/>
  <c r="E1095" i="1"/>
  <c r="F1095" i="1"/>
  <c r="H1095" i="1"/>
  <c r="E1096" i="1"/>
  <c r="F1096" i="1"/>
  <c r="H1096" i="1"/>
  <c r="E1097" i="1"/>
  <c r="F1097" i="1"/>
  <c r="H1097" i="1"/>
  <c r="E1098" i="1"/>
  <c r="F1098" i="1"/>
  <c r="H1098" i="1"/>
  <c r="E1099" i="1"/>
  <c r="F1099" i="1"/>
  <c r="H1099" i="1"/>
  <c r="E1100" i="1"/>
  <c r="F1100" i="1"/>
  <c r="H1100" i="1"/>
  <c r="E1101" i="1"/>
  <c r="F1101" i="1"/>
  <c r="H1101" i="1"/>
  <c r="E1102" i="1"/>
  <c r="F1102" i="1"/>
  <c r="H1102" i="1"/>
  <c r="E1103" i="1"/>
  <c r="F1103" i="1"/>
  <c r="H1103" i="1"/>
  <c r="E1104" i="1"/>
  <c r="F1104" i="1"/>
  <c r="H1104" i="1"/>
  <c r="E1105" i="1"/>
  <c r="F1105" i="1"/>
  <c r="H1105" i="1"/>
  <c r="E1106" i="1"/>
  <c r="F1106" i="1"/>
  <c r="H1106" i="1"/>
  <c r="E1107" i="1"/>
  <c r="F1107" i="1"/>
  <c r="H1107" i="1"/>
  <c r="E1108" i="1"/>
  <c r="F1108" i="1"/>
  <c r="H1108" i="1"/>
  <c r="E1109" i="1"/>
  <c r="F1109" i="1"/>
  <c r="H1109" i="1"/>
  <c r="E1110" i="1"/>
  <c r="F1110" i="1"/>
  <c r="H1110" i="1"/>
  <c r="E1111" i="1"/>
  <c r="F1111" i="1"/>
  <c r="H1111" i="1"/>
  <c r="E1112" i="1"/>
  <c r="F1112" i="1"/>
  <c r="H1112" i="1"/>
  <c r="E1113" i="1"/>
  <c r="F1113" i="1"/>
  <c r="H1113" i="1"/>
  <c r="E1114" i="1"/>
  <c r="F1114" i="1"/>
  <c r="H1114" i="1"/>
  <c r="E1115" i="1"/>
  <c r="F1115" i="1"/>
  <c r="H1115" i="1"/>
  <c r="E1116" i="1"/>
  <c r="F1116" i="1"/>
  <c r="H1116" i="1"/>
  <c r="E1117" i="1"/>
  <c r="F1117" i="1"/>
  <c r="H1117" i="1"/>
  <c r="E1118" i="1"/>
  <c r="F1118" i="1"/>
  <c r="H1118" i="1"/>
  <c r="E1119" i="1"/>
  <c r="F1119" i="1"/>
  <c r="H1119" i="1"/>
  <c r="E1120" i="1"/>
  <c r="F1120" i="1"/>
  <c r="H1120" i="1"/>
  <c r="E1121" i="1"/>
  <c r="F1121" i="1"/>
  <c r="H1121" i="1"/>
  <c r="E1122" i="1"/>
  <c r="F1122" i="1"/>
  <c r="H1122" i="1"/>
  <c r="E1123" i="1"/>
  <c r="F1123" i="1"/>
  <c r="H1123" i="1"/>
  <c r="E1124" i="1"/>
  <c r="F1124" i="1"/>
  <c r="H1124" i="1"/>
  <c r="E1125" i="1"/>
  <c r="F1125" i="1"/>
  <c r="H1125" i="1"/>
  <c r="E1126" i="1"/>
  <c r="F1126" i="1"/>
  <c r="H1126" i="1"/>
  <c r="E1127" i="1"/>
  <c r="F1127" i="1"/>
  <c r="H1127" i="1"/>
  <c r="E1128" i="1"/>
  <c r="F1128" i="1"/>
  <c r="H1128" i="1"/>
  <c r="E1129" i="1"/>
  <c r="F1129" i="1"/>
  <c r="H1129" i="1"/>
  <c r="E1130" i="1"/>
  <c r="F1130" i="1"/>
  <c r="H1130" i="1"/>
  <c r="E1131" i="1"/>
  <c r="F1131" i="1"/>
  <c r="H1131" i="1"/>
  <c r="E1132" i="1"/>
  <c r="F1132" i="1"/>
  <c r="H1132" i="1"/>
  <c r="E1133" i="1"/>
  <c r="F1133" i="1"/>
  <c r="H1133" i="1"/>
  <c r="E1134" i="1"/>
  <c r="F1134" i="1"/>
  <c r="H1134" i="1"/>
  <c r="E1135" i="1"/>
  <c r="F1135" i="1"/>
  <c r="H1135" i="1"/>
  <c r="E1136" i="1"/>
  <c r="F1136" i="1"/>
  <c r="H1136" i="1"/>
  <c r="E1137" i="1"/>
  <c r="F1137" i="1"/>
  <c r="H1137" i="1"/>
  <c r="E1138" i="1"/>
  <c r="F1138" i="1"/>
  <c r="H1138" i="1"/>
  <c r="E1139" i="1"/>
  <c r="F1139" i="1"/>
  <c r="H1139" i="1"/>
  <c r="E1140" i="1"/>
  <c r="F1140" i="1"/>
  <c r="H1140" i="1"/>
  <c r="E1141" i="1"/>
  <c r="F1141" i="1"/>
  <c r="H1141" i="1"/>
  <c r="E1142" i="1"/>
  <c r="F1142" i="1"/>
  <c r="H1142" i="1"/>
  <c r="E1143" i="1"/>
  <c r="F1143" i="1"/>
  <c r="H1143" i="1"/>
  <c r="E1144" i="1"/>
  <c r="F1144" i="1"/>
  <c r="H1144" i="1"/>
  <c r="E1145" i="1"/>
  <c r="F1145" i="1"/>
  <c r="H1145" i="1"/>
  <c r="E1146" i="1"/>
  <c r="F1146" i="1"/>
  <c r="H1146" i="1"/>
  <c r="E1147" i="1"/>
  <c r="F1147" i="1"/>
  <c r="H1147" i="1"/>
  <c r="E1148" i="1"/>
  <c r="F1148" i="1"/>
  <c r="H1148" i="1"/>
  <c r="E1149" i="1"/>
  <c r="F1149" i="1"/>
  <c r="H1149" i="1"/>
  <c r="E1150" i="1"/>
  <c r="F1150" i="1"/>
  <c r="H1150" i="1"/>
  <c r="E1151" i="1"/>
  <c r="F1151" i="1"/>
  <c r="H1151" i="1"/>
  <c r="E1152" i="1"/>
  <c r="F1152" i="1"/>
  <c r="H1152" i="1"/>
  <c r="E1153" i="1"/>
  <c r="F1153" i="1"/>
  <c r="H1153" i="1"/>
  <c r="E1154" i="1"/>
  <c r="F1154" i="1"/>
  <c r="H1154" i="1"/>
  <c r="E1155" i="1"/>
  <c r="F1155" i="1"/>
  <c r="H1155" i="1"/>
  <c r="E1156" i="1"/>
  <c r="F1156" i="1"/>
  <c r="H1156" i="1"/>
  <c r="E1157" i="1"/>
  <c r="F1157" i="1"/>
  <c r="H1157" i="1"/>
  <c r="E1158" i="1"/>
  <c r="F1158" i="1"/>
  <c r="H1158" i="1"/>
  <c r="E1159" i="1"/>
  <c r="F1159" i="1"/>
  <c r="H1159" i="1"/>
  <c r="E1160" i="1"/>
  <c r="F1160" i="1"/>
  <c r="H1160" i="1"/>
  <c r="E1161" i="1"/>
  <c r="F1161" i="1"/>
  <c r="H1161" i="1"/>
  <c r="E1162" i="1"/>
  <c r="F1162" i="1"/>
  <c r="H1162" i="1"/>
  <c r="E1163" i="1"/>
  <c r="F1163" i="1"/>
  <c r="H1163" i="1"/>
  <c r="E1164" i="1"/>
  <c r="F1164" i="1"/>
  <c r="H1164" i="1"/>
  <c r="E1165" i="1"/>
  <c r="F1165" i="1"/>
  <c r="H1165" i="1"/>
  <c r="E1166" i="1"/>
  <c r="F1166" i="1"/>
  <c r="H1166" i="1"/>
  <c r="E1167" i="1"/>
  <c r="F1167" i="1"/>
  <c r="H1167" i="1"/>
  <c r="E1168" i="1"/>
  <c r="F1168" i="1"/>
  <c r="H1168" i="1"/>
  <c r="E1169" i="1"/>
  <c r="F1169" i="1"/>
  <c r="H1169" i="1"/>
  <c r="E1170" i="1"/>
  <c r="F1170" i="1"/>
  <c r="H1170" i="1"/>
  <c r="E1171" i="1"/>
  <c r="F1171" i="1"/>
  <c r="H1171" i="1"/>
  <c r="E1172" i="1"/>
  <c r="F1172" i="1"/>
  <c r="H1172" i="1"/>
  <c r="E1173" i="1"/>
  <c r="F1173" i="1"/>
  <c r="H1173" i="1"/>
  <c r="E1174" i="1"/>
  <c r="F1174" i="1"/>
  <c r="H1174" i="1"/>
  <c r="E1175" i="1"/>
  <c r="F1175" i="1"/>
  <c r="H1175" i="1"/>
  <c r="E1176" i="1"/>
  <c r="F1176" i="1"/>
  <c r="H1176" i="1"/>
  <c r="E1177" i="1"/>
  <c r="F1177" i="1"/>
  <c r="H1177" i="1"/>
  <c r="E1178" i="1"/>
  <c r="F1178" i="1"/>
  <c r="H1178" i="1"/>
  <c r="E1179" i="1"/>
  <c r="F1179" i="1"/>
  <c r="H1179" i="1"/>
  <c r="E1180" i="1"/>
  <c r="F1180" i="1"/>
  <c r="H1180" i="1"/>
  <c r="E1181" i="1"/>
  <c r="F1181" i="1"/>
  <c r="H1181" i="1"/>
  <c r="E1182" i="1"/>
  <c r="F1182" i="1"/>
  <c r="H1182" i="1"/>
  <c r="E1183" i="1"/>
  <c r="F1183" i="1"/>
  <c r="H1183" i="1"/>
  <c r="E1184" i="1"/>
  <c r="F1184" i="1"/>
  <c r="H1184" i="1"/>
  <c r="E1185" i="1"/>
  <c r="F1185" i="1"/>
  <c r="H1185" i="1"/>
  <c r="E1186" i="1"/>
  <c r="F1186" i="1"/>
  <c r="H1186" i="1"/>
  <c r="E1187" i="1"/>
  <c r="F1187" i="1"/>
  <c r="H1187" i="1"/>
  <c r="E1188" i="1"/>
  <c r="F1188" i="1"/>
  <c r="H1188" i="1"/>
  <c r="E1189" i="1"/>
  <c r="F1189" i="1"/>
  <c r="H1189" i="1"/>
  <c r="E1190" i="1"/>
  <c r="F1190" i="1"/>
  <c r="H1190" i="1"/>
  <c r="E1191" i="1"/>
  <c r="F1191" i="1"/>
  <c r="H1191" i="1"/>
  <c r="E1192" i="1"/>
  <c r="F1192" i="1"/>
  <c r="H1192" i="1"/>
  <c r="E1193" i="1"/>
  <c r="F1193" i="1"/>
  <c r="H1193" i="1"/>
  <c r="E1194" i="1"/>
  <c r="F1194" i="1"/>
  <c r="H1194" i="1"/>
  <c r="E1195" i="1"/>
  <c r="F1195" i="1"/>
  <c r="H1195" i="1"/>
  <c r="E1196" i="1"/>
  <c r="F1196" i="1"/>
  <c r="H1196" i="1"/>
  <c r="E1197" i="1"/>
  <c r="F1197" i="1"/>
  <c r="H1197" i="1"/>
  <c r="G1198" i="1"/>
  <c r="H1198" i="1"/>
  <c r="I1198" i="1"/>
  <c r="E1199" i="1"/>
  <c r="F1199" i="1"/>
  <c r="H1199" i="1"/>
  <c r="E1200" i="1"/>
  <c r="F1200" i="1"/>
  <c r="H1200" i="1"/>
  <c r="E1201" i="1"/>
  <c r="F1201" i="1"/>
  <c r="H1201" i="1"/>
  <c r="E1202" i="1"/>
  <c r="F1202" i="1"/>
  <c r="H1202" i="1"/>
  <c r="E1203" i="1"/>
  <c r="F1203" i="1"/>
  <c r="H1203" i="1"/>
  <c r="E1204" i="1"/>
  <c r="F1204" i="1"/>
  <c r="H1204" i="1"/>
  <c r="E1205" i="1"/>
  <c r="F1205" i="1"/>
  <c r="H1205" i="1"/>
  <c r="E1206" i="1"/>
  <c r="F1206" i="1"/>
  <c r="H1206" i="1"/>
  <c r="E1207" i="1"/>
  <c r="F1207" i="1"/>
  <c r="H1207" i="1"/>
  <c r="E1208" i="1"/>
  <c r="F1208" i="1"/>
  <c r="H1208" i="1"/>
  <c r="E1209" i="1"/>
  <c r="F1209" i="1"/>
  <c r="H1209" i="1"/>
  <c r="E1210" i="1"/>
  <c r="F1210" i="1"/>
  <c r="H1210" i="1"/>
  <c r="E1211" i="1"/>
  <c r="F1211" i="1"/>
  <c r="H1211" i="1"/>
  <c r="E1212" i="1"/>
  <c r="F1212" i="1"/>
  <c r="H1212" i="1"/>
  <c r="E1213" i="1"/>
  <c r="F1213" i="1"/>
  <c r="H1213" i="1"/>
  <c r="E1214" i="1"/>
  <c r="F1214" i="1"/>
  <c r="H1214" i="1"/>
  <c r="E1215" i="1"/>
  <c r="F1215" i="1"/>
  <c r="H1215" i="1"/>
  <c r="E1216" i="1"/>
  <c r="F1216" i="1"/>
  <c r="H1216" i="1"/>
  <c r="E1217" i="1"/>
  <c r="F1217" i="1"/>
  <c r="H1217" i="1"/>
  <c r="E1218" i="1"/>
  <c r="F1218" i="1"/>
  <c r="H1218" i="1"/>
  <c r="E1219" i="1"/>
  <c r="F1219" i="1"/>
  <c r="H1219" i="1"/>
  <c r="E1220" i="1"/>
  <c r="F1220" i="1"/>
  <c r="H1220" i="1"/>
  <c r="E1221" i="1"/>
  <c r="F1221" i="1"/>
  <c r="H1221" i="1"/>
  <c r="E1222" i="1"/>
  <c r="F1222" i="1"/>
  <c r="H1222" i="1"/>
  <c r="E1223" i="1"/>
  <c r="F1223" i="1"/>
  <c r="H1223" i="1"/>
  <c r="E1224" i="1"/>
  <c r="F1224" i="1"/>
  <c r="H1224" i="1"/>
  <c r="E1225" i="1"/>
  <c r="F1225" i="1"/>
  <c r="H1225" i="1"/>
  <c r="E1226" i="1"/>
  <c r="F1226" i="1"/>
  <c r="H1226" i="1"/>
  <c r="E1227" i="1"/>
  <c r="F1227" i="1"/>
  <c r="H1227" i="1"/>
  <c r="E1228" i="1"/>
  <c r="F1228" i="1"/>
  <c r="H1228" i="1"/>
  <c r="E1229" i="1"/>
  <c r="F1229" i="1"/>
  <c r="H1229" i="1"/>
  <c r="E1230" i="1"/>
  <c r="F1230" i="1"/>
  <c r="H1230" i="1"/>
  <c r="E1231" i="1"/>
  <c r="F1231" i="1"/>
  <c r="H1231" i="1"/>
  <c r="E1232" i="1"/>
  <c r="F1232" i="1"/>
  <c r="H1232" i="1"/>
  <c r="E1233" i="1"/>
  <c r="F1233" i="1"/>
  <c r="H1233" i="1"/>
  <c r="E1234" i="1"/>
  <c r="F1234" i="1"/>
  <c r="H1234" i="1"/>
  <c r="E1235" i="1"/>
  <c r="F1235" i="1"/>
  <c r="H1235" i="1"/>
  <c r="E1236" i="1"/>
  <c r="F1236" i="1"/>
  <c r="H1236" i="1"/>
  <c r="E1237" i="1"/>
  <c r="F1237" i="1"/>
  <c r="H1237" i="1"/>
  <c r="E1238" i="1"/>
  <c r="F1238" i="1"/>
  <c r="H1238" i="1"/>
  <c r="E1239" i="1"/>
  <c r="F1239" i="1"/>
  <c r="H1239" i="1"/>
  <c r="E1240" i="1"/>
  <c r="F1240" i="1"/>
  <c r="H1240" i="1"/>
  <c r="E1241" i="1"/>
  <c r="F1241" i="1"/>
  <c r="H1241" i="1"/>
  <c r="E1242" i="1"/>
  <c r="F1242" i="1"/>
  <c r="H1242" i="1"/>
  <c r="E1243" i="1"/>
  <c r="F1243" i="1"/>
  <c r="H1243" i="1"/>
  <c r="E1244" i="1"/>
  <c r="F1244" i="1"/>
  <c r="H1244" i="1"/>
  <c r="E1245" i="1"/>
  <c r="F1245" i="1"/>
  <c r="H1245" i="1"/>
  <c r="E1246" i="1"/>
  <c r="F1246" i="1"/>
  <c r="H1246" i="1"/>
  <c r="E1247" i="1"/>
  <c r="F1247" i="1"/>
  <c r="H1247" i="1"/>
  <c r="E1248" i="1"/>
  <c r="F1248" i="1"/>
  <c r="H1248" i="1"/>
  <c r="E1249" i="1"/>
  <c r="F1249" i="1"/>
  <c r="H1249" i="1"/>
  <c r="E1250" i="1"/>
  <c r="F1250" i="1"/>
  <c r="H1250" i="1"/>
  <c r="E1251" i="1"/>
  <c r="F1251" i="1"/>
  <c r="H1251" i="1"/>
  <c r="E1252" i="1"/>
  <c r="F1252" i="1"/>
  <c r="H1252" i="1"/>
  <c r="E1253" i="1"/>
  <c r="F1253" i="1"/>
  <c r="H1253" i="1"/>
  <c r="E1254" i="1"/>
  <c r="F1254" i="1"/>
  <c r="H1254" i="1"/>
  <c r="E1255" i="1"/>
  <c r="F1255" i="1"/>
  <c r="H1255" i="1"/>
  <c r="E1256" i="1"/>
  <c r="F1256" i="1"/>
  <c r="H1256" i="1"/>
  <c r="E1257" i="1"/>
  <c r="F1257" i="1"/>
  <c r="H1257" i="1"/>
  <c r="E1258" i="1"/>
  <c r="F1258" i="1"/>
  <c r="H1258" i="1"/>
  <c r="E1259" i="1"/>
  <c r="F1259" i="1"/>
  <c r="H1259" i="1"/>
  <c r="E1260" i="1"/>
  <c r="F1260" i="1"/>
  <c r="H1260" i="1"/>
  <c r="E1261" i="1"/>
  <c r="F1261" i="1"/>
  <c r="H1261" i="1"/>
  <c r="E1262" i="1"/>
  <c r="F1262" i="1"/>
  <c r="H1262" i="1"/>
  <c r="E1263" i="1"/>
  <c r="F1263" i="1"/>
  <c r="H1263" i="1"/>
  <c r="E1264" i="1"/>
  <c r="F1264" i="1"/>
  <c r="H1264" i="1"/>
  <c r="E1265" i="1"/>
  <c r="F1265" i="1"/>
  <c r="H1265" i="1"/>
  <c r="E1266" i="1"/>
  <c r="F1266" i="1"/>
  <c r="H1266" i="1"/>
  <c r="E1267" i="1"/>
  <c r="F1267" i="1"/>
  <c r="H1267" i="1"/>
  <c r="E1268" i="1"/>
  <c r="F1268" i="1"/>
  <c r="H1268" i="1"/>
  <c r="E1269" i="1"/>
  <c r="F1269" i="1"/>
  <c r="H1269" i="1"/>
  <c r="E1270" i="1"/>
  <c r="F1270" i="1"/>
  <c r="H1270" i="1"/>
  <c r="E1271" i="1"/>
  <c r="F1271" i="1"/>
  <c r="H1271" i="1"/>
  <c r="E1272" i="1"/>
  <c r="F1272" i="1"/>
  <c r="H1272" i="1"/>
  <c r="E1273" i="1"/>
  <c r="F1273" i="1"/>
  <c r="H1273" i="1"/>
  <c r="E1274" i="1"/>
  <c r="F1274" i="1"/>
  <c r="H1274" i="1"/>
  <c r="E1275" i="1"/>
  <c r="F1275" i="1"/>
  <c r="H1275" i="1"/>
  <c r="E1276" i="1"/>
  <c r="F1276" i="1"/>
  <c r="H1276" i="1"/>
  <c r="E1277" i="1"/>
  <c r="F1277" i="1"/>
  <c r="H1277" i="1"/>
  <c r="E1278" i="1"/>
  <c r="F1278" i="1"/>
  <c r="H1278" i="1"/>
  <c r="E1279" i="1"/>
  <c r="F1279" i="1"/>
  <c r="H1279" i="1"/>
  <c r="E1280" i="1"/>
  <c r="F1280" i="1"/>
  <c r="H1280" i="1"/>
  <c r="E1281" i="1"/>
  <c r="F1281" i="1"/>
  <c r="H1281" i="1"/>
  <c r="E1282" i="1"/>
  <c r="F1282" i="1"/>
  <c r="H1282" i="1"/>
  <c r="E1283" i="1"/>
  <c r="F1283" i="1"/>
  <c r="H1283" i="1"/>
  <c r="E1284" i="1"/>
  <c r="F1284" i="1"/>
  <c r="H1284" i="1"/>
  <c r="E1285" i="1"/>
  <c r="F1285" i="1"/>
  <c r="H1285" i="1"/>
  <c r="E1286" i="1"/>
  <c r="F1286" i="1"/>
  <c r="H1286" i="1"/>
  <c r="E1287" i="1"/>
  <c r="F1287" i="1"/>
  <c r="H1287" i="1"/>
  <c r="E1288" i="1"/>
  <c r="F1288" i="1"/>
  <c r="H1288" i="1"/>
  <c r="E1289" i="1"/>
  <c r="F1289" i="1"/>
  <c r="H1289" i="1"/>
  <c r="E1290" i="1"/>
  <c r="F1290" i="1"/>
  <c r="H1290" i="1"/>
  <c r="E1291" i="1"/>
  <c r="F1291" i="1"/>
  <c r="H1291" i="1"/>
  <c r="E1292" i="1"/>
  <c r="F1292" i="1"/>
  <c r="H1292" i="1"/>
  <c r="E1293" i="1"/>
  <c r="F1293" i="1"/>
  <c r="H1293" i="1"/>
  <c r="E1294" i="1"/>
  <c r="F1294" i="1"/>
  <c r="H1294" i="1"/>
  <c r="E1295" i="1"/>
  <c r="F1295" i="1"/>
  <c r="H1295" i="1"/>
  <c r="E1296" i="1"/>
  <c r="F1296" i="1"/>
  <c r="H1296" i="1"/>
  <c r="E1297" i="1"/>
  <c r="F1297" i="1"/>
  <c r="H1297" i="1"/>
  <c r="E1298" i="1"/>
  <c r="F1298" i="1"/>
  <c r="H1298" i="1"/>
  <c r="E1299" i="1"/>
  <c r="F1299" i="1"/>
  <c r="H1299" i="1"/>
  <c r="E1300" i="1"/>
  <c r="F1300" i="1"/>
  <c r="H1300" i="1"/>
  <c r="E1301" i="1"/>
  <c r="F1301" i="1"/>
  <c r="H1301" i="1"/>
  <c r="E1302" i="1"/>
  <c r="F1302" i="1"/>
  <c r="H1302" i="1"/>
  <c r="E1303" i="1"/>
  <c r="F1303" i="1"/>
  <c r="H1303" i="1"/>
  <c r="E1304" i="1"/>
  <c r="F1304" i="1"/>
  <c r="H1304" i="1"/>
  <c r="E1305" i="1"/>
  <c r="F1305" i="1"/>
  <c r="H1305" i="1"/>
  <c r="E1306" i="1"/>
  <c r="F1306" i="1"/>
  <c r="H1306" i="1"/>
  <c r="E1307" i="1"/>
  <c r="F1307" i="1"/>
  <c r="H1307" i="1"/>
  <c r="E1308" i="1"/>
  <c r="F1308" i="1"/>
  <c r="H1308" i="1"/>
  <c r="E1309" i="1"/>
  <c r="F1309" i="1"/>
  <c r="H1309" i="1"/>
  <c r="E1310" i="1"/>
  <c r="F1310" i="1"/>
  <c r="H1310" i="1"/>
  <c r="G1311" i="1"/>
  <c r="H1311" i="1"/>
  <c r="I1311" i="1"/>
  <c r="E1312" i="1"/>
  <c r="F1312" i="1"/>
  <c r="E1313" i="1"/>
  <c r="F1313" i="1"/>
  <c r="H1313" i="1"/>
  <c r="E1314" i="1"/>
  <c r="F1314" i="1"/>
  <c r="H1314" i="1"/>
  <c r="E1315" i="1"/>
  <c r="F1315" i="1"/>
  <c r="H1315" i="1"/>
  <c r="E1316" i="1"/>
  <c r="F1316" i="1"/>
  <c r="H1316" i="1"/>
  <c r="E1317" i="1"/>
  <c r="F1317" i="1"/>
  <c r="H1317" i="1"/>
  <c r="E1318" i="1"/>
  <c r="F1318" i="1"/>
  <c r="H1318" i="1"/>
  <c r="E1319" i="1"/>
  <c r="F1319" i="1"/>
  <c r="H1319" i="1"/>
  <c r="E1320" i="1"/>
  <c r="F1320" i="1"/>
  <c r="H1320" i="1"/>
  <c r="E1321" i="1"/>
  <c r="F1321" i="1"/>
  <c r="H1321" i="1"/>
  <c r="E1322" i="1"/>
  <c r="F1322" i="1"/>
  <c r="H1322" i="1"/>
  <c r="E1323" i="1"/>
  <c r="F1323" i="1"/>
  <c r="H1323" i="1"/>
  <c r="E1324" i="1"/>
  <c r="F1324" i="1"/>
  <c r="H1324" i="1"/>
  <c r="E1325" i="1"/>
  <c r="F1325" i="1"/>
  <c r="H1325" i="1"/>
  <c r="E1326" i="1"/>
  <c r="F1326" i="1"/>
  <c r="H1326" i="1"/>
  <c r="E1327" i="1"/>
  <c r="F1327" i="1"/>
  <c r="H1327" i="1"/>
  <c r="E1328" i="1"/>
  <c r="F1328" i="1"/>
  <c r="H1328" i="1"/>
  <c r="E1329" i="1"/>
  <c r="F1329" i="1"/>
  <c r="H1329" i="1"/>
  <c r="E1330" i="1"/>
  <c r="F1330" i="1"/>
  <c r="H1330" i="1"/>
  <c r="E1331" i="1"/>
  <c r="F1331" i="1"/>
  <c r="H1331" i="1"/>
  <c r="E1332" i="1"/>
  <c r="F1332" i="1"/>
  <c r="H1332" i="1"/>
  <c r="E1333" i="1"/>
  <c r="F1333" i="1"/>
  <c r="H1333" i="1"/>
  <c r="E1334" i="1"/>
  <c r="F1334" i="1"/>
  <c r="H1334" i="1"/>
  <c r="E1335" i="1"/>
  <c r="F1335" i="1"/>
  <c r="H1335" i="1"/>
  <c r="E1336" i="1"/>
  <c r="F1336" i="1"/>
  <c r="H1336" i="1"/>
  <c r="E1337" i="1"/>
  <c r="F1337" i="1"/>
  <c r="H1337" i="1"/>
  <c r="E1338" i="1"/>
  <c r="F1338" i="1"/>
  <c r="H1338" i="1"/>
  <c r="E1339" i="1"/>
  <c r="F1339" i="1"/>
  <c r="H1339" i="1"/>
  <c r="E1340" i="1"/>
  <c r="F1340" i="1"/>
  <c r="H1340" i="1"/>
  <c r="E1341" i="1"/>
  <c r="F1341" i="1"/>
  <c r="H1341" i="1"/>
  <c r="E1342" i="1"/>
  <c r="F1342" i="1"/>
  <c r="H1342" i="1"/>
  <c r="E1343" i="1"/>
  <c r="F1343" i="1"/>
  <c r="H1343" i="1"/>
  <c r="E1344" i="1"/>
  <c r="F1344" i="1"/>
  <c r="H1344" i="1"/>
  <c r="E1345" i="1"/>
  <c r="F1345" i="1"/>
  <c r="H1345" i="1"/>
  <c r="E1346" i="1"/>
  <c r="F1346" i="1"/>
  <c r="H1346" i="1"/>
  <c r="E1347" i="1"/>
  <c r="F1347" i="1"/>
  <c r="H1347" i="1"/>
  <c r="E1348" i="1"/>
  <c r="F1348" i="1"/>
  <c r="H1348" i="1"/>
  <c r="E1349" i="1"/>
  <c r="F1349" i="1"/>
  <c r="H1349" i="1"/>
  <c r="E1350" i="1"/>
  <c r="F1350" i="1"/>
  <c r="H1350" i="1"/>
  <c r="E1351" i="1"/>
  <c r="F1351" i="1"/>
  <c r="H1351" i="1"/>
  <c r="E1352" i="1"/>
  <c r="F1352" i="1"/>
  <c r="H1352" i="1"/>
  <c r="E1353" i="1"/>
  <c r="F1353" i="1"/>
  <c r="H1353" i="1"/>
  <c r="E1354" i="1"/>
  <c r="F1354" i="1"/>
  <c r="H1354" i="1"/>
  <c r="E1355" i="1"/>
  <c r="F1355" i="1"/>
  <c r="H1355" i="1"/>
  <c r="E1356" i="1"/>
  <c r="F1356" i="1"/>
  <c r="H1356" i="1"/>
  <c r="E1357" i="1"/>
  <c r="F1357" i="1"/>
  <c r="H1357" i="1"/>
  <c r="E1358" i="1"/>
  <c r="F1358" i="1"/>
  <c r="H1358" i="1"/>
  <c r="E1359" i="1"/>
  <c r="F1359" i="1"/>
  <c r="H1359" i="1"/>
  <c r="E1360" i="1"/>
  <c r="F1360" i="1"/>
  <c r="H1360" i="1"/>
  <c r="E1361" i="1"/>
  <c r="F1361" i="1"/>
  <c r="H1361" i="1"/>
  <c r="E1362" i="1"/>
  <c r="F1362" i="1"/>
  <c r="H1362" i="1"/>
  <c r="E1363" i="1"/>
  <c r="F1363" i="1"/>
  <c r="H1363" i="1"/>
  <c r="E1364" i="1"/>
  <c r="F1364" i="1"/>
  <c r="H1364" i="1"/>
  <c r="E1365" i="1"/>
  <c r="F1365" i="1"/>
  <c r="H1365" i="1"/>
  <c r="E1366" i="1"/>
  <c r="F1366" i="1"/>
  <c r="H1366" i="1"/>
  <c r="E1367" i="1"/>
  <c r="F1367" i="1"/>
  <c r="H1367" i="1"/>
  <c r="E1368" i="1"/>
  <c r="F1368" i="1"/>
  <c r="H1368" i="1"/>
  <c r="E1369" i="1"/>
  <c r="F1369" i="1"/>
  <c r="H1369" i="1"/>
  <c r="E1370" i="1"/>
  <c r="F1370" i="1"/>
  <c r="H1370" i="1"/>
  <c r="E1371" i="1"/>
  <c r="F1371" i="1"/>
  <c r="H1371" i="1"/>
  <c r="E1372" i="1"/>
  <c r="F1372" i="1"/>
  <c r="H1372" i="1"/>
  <c r="E1373" i="1"/>
  <c r="F1373" i="1"/>
  <c r="H1373" i="1"/>
  <c r="E1374" i="1"/>
  <c r="F1374" i="1"/>
  <c r="H1374" i="1"/>
  <c r="E1375" i="1"/>
  <c r="F1375" i="1"/>
  <c r="H1375" i="1"/>
  <c r="E1376" i="1"/>
  <c r="F1376" i="1"/>
  <c r="H1376" i="1"/>
  <c r="E1377" i="1"/>
  <c r="F1377" i="1"/>
  <c r="H1377" i="1"/>
  <c r="E1378" i="1"/>
  <c r="F1378" i="1"/>
  <c r="H1378" i="1"/>
  <c r="E1379" i="1"/>
  <c r="F1379" i="1"/>
  <c r="H1379" i="1"/>
  <c r="E1380" i="1"/>
  <c r="F1380" i="1"/>
  <c r="H1380" i="1"/>
  <c r="E1381" i="1"/>
  <c r="F1381" i="1"/>
  <c r="H1381" i="1"/>
  <c r="E1382" i="1"/>
  <c r="F1382" i="1"/>
  <c r="H1382" i="1"/>
  <c r="E1383" i="1"/>
  <c r="F1383" i="1"/>
  <c r="H1383" i="1"/>
  <c r="E1384" i="1"/>
  <c r="F1384" i="1"/>
  <c r="H1384" i="1"/>
  <c r="E1385" i="1"/>
  <c r="F1385" i="1"/>
  <c r="H1385" i="1"/>
  <c r="E1386" i="1"/>
  <c r="F1386" i="1"/>
  <c r="H1386" i="1"/>
  <c r="E1387" i="1"/>
  <c r="F1387" i="1"/>
  <c r="H1387" i="1"/>
  <c r="E1388" i="1"/>
  <c r="F1388" i="1"/>
  <c r="H1388" i="1"/>
  <c r="E1389" i="1"/>
  <c r="F1389" i="1"/>
  <c r="H1389" i="1"/>
  <c r="E1390" i="1"/>
  <c r="F1390" i="1"/>
  <c r="H1390" i="1"/>
  <c r="E1391" i="1"/>
  <c r="F1391" i="1"/>
  <c r="H1391" i="1"/>
  <c r="E1392" i="1"/>
  <c r="F1392" i="1"/>
  <c r="H1392" i="1"/>
  <c r="E1393" i="1"/>
  <c r="F1393" i="1"/>
  <c r="H1393" i="1"/>
  <c r="E1394" i="1"/>
  <c r="F1394" i="1"/>
  <c r="H1394" i="1"/>
  <c r="E1395" i="1"/>
  <c r="F1395" i="1"/>
  <c r="H1395" i="1"/>
  <c r="E1396" i="1"/>
  <c r="F1396" i="1"/>
  <c r="H1396" i="1"/>
  <c r="E1397" i="1"/>
  <c r="F1397" i="1"/>
  <c r="H1397" i="1"/>
  <c r="E1398" i="1"/>
  <c r="F1398" i="1"/>
  <c r="H1398" i="1"/>
  <c r="E1399" i="1"/>
  <c r="F1399" i="1"/>
  <c r="H1399" i="1"/>
  <c r="E1400" i="1"/>
  <c r="F1400" i="1"/>
  <c r="H1400" i="1"/>
  <c r="E1401" i="1"/>
  <c r="F1401" i="1"/>
  <c r="H1401" i="1"/>
  <c r="E1402" i="1"/>
  <c r="F1402" i="1"/>
  <c r="H1402" i="1"/>
  <c r="E1403" i="1"/>
  <c r="F1403" i="1"/>
  <c r="H1403" i="1"/>
  <c r="E1404" i="1"/>
  <c r="F1404" i="1"/>
  <c r="H1404" i="1"/>
  <c r="E1405" i="1"/>
  <c r="F1405" i="1"/>
  <c r="H1405" i="1"/>
  <c r="E1406" i="1"/>
  <c r="F1406" i="1"/>
  <c r="H1406" i="1"/>
  <c r="E1407" i="1"/>
  <c r="F1407" i="1"/>
  <c r="H1407" i="1"/>
  <c r="E1408" i="1"/>
  <c r="F1408" i="1"/>
  <c r="H1408" i="1"/>
  <c r="E1409" i="1"/>
  <c r="F1409" i="1"/>
  <c r="H1409" i="1"/>
  <c r="E1410" i="1"/>
  <c r="F1410" i="1"/>
  <c r="H1410" i="1"/>
  <c r="E1411" i="1"/>
  <c r="F1411" i="1"/>
  <c r="H1411" i="1"/>
  <c r="E1412" i="1"/>
  <c r="F1412" i="1"/>
  <c r="H1412" i="1"/>
  <c r="E1413" i="1"/>
  <c r="F1413" i="1"/>
  <c r="H1413" i="1"/>
  <c r="E1414" i="1"/>
  <c r="F1414" i="1"/>
  <c r="H1414" i="1"/>
  <c r="E1415" i="1"/>
  <c r="F1415" i="1"/>
  <c r="H1415" i="1"/>
  <c r="E1416" i="1"/>
  <c r="F1416" i="1"/>
  <c r="H1416" i="1"/>
  <c r="E1417" i="1"/>
  <c r="F1417" i="1"/>
  <c r="H1417" i="1"/>
  <c r="E1418" i="1"/>
  <c r="F1418" i="1"/>
  <c r="H1418" i="1"/>
  <c r="E1419" i="1"/>
  <c r="F1419" i="1"/>
  <c r="H1419" i="1"/>
  <c r="E1420" i="1"/>
  <c r="F1420" i="1"/>
  <c r="H1420" i="1"/>
  <c r="E1421" i="1"/>
  <c r="F1421" i="1"/>
  <c r="H1421" i="1"/>
  <c r="E1422" i="1"/>
  <c r="F1422" i="1"/>
  <c r="H1422" i="1"/>
  <c r="E1423" i="1"/>
  <c r="F1423" i="1"/>
  <c r="H1423" i="1"/>
  <c r="E1424" i="1"/>
  <c r="F1424" i="1"/>
  <c r="H1424" i="1"/>
  <c r="E1425" i="1"/>
  <c r="F1425" i="1"/>
  <c r="H1425" i="1"/>
  <c r="E1426" i="1"/>
  <c r="F1426" i="1"/>
  <c r="H1426" i="1"/>
  <c r="E1427" i="1"/>
  <c r="F1427" i="1"/>
  <c r="H1427" i="1"/>
  <c r="E1428" i="1"/>
  <c r="F1428" i="1"/>
  <c r="H1428" i="1"/>
  <c r="E1429" i="1"/>
  <c r="F1429" i="1"/>
  <c r="H1429" i="1"/>
  <c r="E1430" i="1"/>
  <c r="F1430" i="1"/>
  <c r="H1430" i="1"/>
  <c r="E1431" i="1"/>
  <c r="F1431" i="1"/>
  <c r="H1431" i="1"/>
  <c r="E1432" i="1"/>
  <c r="F1432" i="1"/>
  <c r="H1432" i="1"/>
  <c r="E1433" i="1"/>
  <c r="F1433" i="1"/>
  <c r="H1433" i="1"/>
  <c r="E1434" i="1"/>
  <c r="F1434" i="1"/>
  <c r="H1434" i="1"/>
  <c r="E1435" i="1"/>
  <c r="F1435" i="1"/>
  <c r="H1435" i="1"/>
  <c r="E1436" i="1"/>
  <c r="F1436" i="1"/>
  <c r="H1436" i="1"/>
  <c r="E1437" i="1"/>
  <c r="F1437" i="1"/>
  <c r="H1437" i="1"/>
  <c r="E1438" i="1"/>
  <c r="F1438" i="1"/>
  <c r="H1438" i="1"/>
  <c r="E1439" i="1"/>
  <c r="F1439" i="1"/>
  <c r="H1439" i="1"/>
  <c r="E1440" i="1"/>
  <c r="F1440" i="1"/>
  <c r="H1440" i="1"/>
  <c r="E1441" i="1"/>
  <c r="F1441" i="1"/>
  <c r="H1441" i="1"/>
  <c r="E1442" i="1"/>
  <c r="F1442" i="1"/>
  <c r="H1442" i="1"/>
  <c r="E1443" i="1"/>
  <c r="F1443" i="1"/>
  <c r="H1443" i="1"/>
  <c r="E1444" i="1"/>
  <c r="F1444" i="1"/>
  <c r="H1444" i="1"/>
  <c r="E1445" i="1"/>
  <c r="F1445" i="1"/>
  <c r="H1445" i="1"/>
  <c r="E1446" i="1"/>
  <c r="F1446" i="1"/>
  <c r="H1446" i="1"/>
  <c r="E1447" i="1"/>
  <c r="F1447" i="1"/>
  <c r="H1447" i="1"/>
  <c r="E1448" i="1"/>
  <c r="F1448" i="1"/>
  <c r="H1448" i="1"/>
  <c r="E1449" i="1"/>
  <c r="F1449" i="1"/>
  <c r="H1449" i="1"/>
  <c r="E1450" i="1"/>
  <c r="F1450" i="1"/>
  <c r="H1450" i="1"/>
  <c r="E1451" i="1"/>
  <c r="F1451" i="1"/>
  <c r="H1451" i="1"/>
  <c r="E1452" i="1"/>
  <c r="F1452" i="1"/>
  <c r="H1452" i="1"/>
  <c r="E1453" i="1"/>
  <c r="F1453" i="1"/>
  <c r="H1453" i="1"/>
  <c r="E1454" i="1"/>
  <c r="F1454" i="1"/>
  <c r="H1454" i="1"/>
  <c r="G1455" i="1"/>
  <c r="H1455" i="1"/>
  <c r="I1455" i="1"/>
  <c r="G1456" i="1"/>
  <c r="H1456" i="1"/>
  <c r="I1456" i="1"/>
  <c r="E1457" i="1"/>
  <c r="F1457" i="1"/>
  <c r="H1457" i="1"/>
  <c r="E1458" i="1"/>
  <c r="F1458" i="1"/>
  <c r="H1458" i="1"/>
  <c r="E1459" i="1"/>
  <c r="F1459" i="1"/>
  <c r="H1459" i="1"/>
  <c r="E1460" i="1"/>
  <c r="F1460" i="1"/>
  <c r="H1460" i="1"/>
  <c r="E1461" i="1"/>
  <c r="F1461" i="1"/>
  <c r="H1461" i="1"/>
  <c r="E1462" i="1"/>
  <c r="F1462" i="1"/>
  <c r="H1462" i="1"/>
  <c r="E1463" i="1"/>
  <c r="F1463" i="1"/>
  <c r="H1463" i="1"/>
  <c r="E1464" i="1"/>
  <c r="F1464" i="1"/>
  <c r="H1464" i="1"/>
  <c r="E1465" i="1"/>
  <c r="F1465" i="1"/>
  <c r="H1465" i="1"/>
  <c r="E1466" i="1"/>
  <c r="F1466" i="1"/>
  <c r="H1466" i="1"/>
  <c r="E1467" i="1"/>
  <c r="F1467" i="1"/>
  <c r="H1467" i="1"/>
  <c r="E1468" i="1"/>
  <c r="F1468" i="1"/>
  <c r="H1468" i="1"/>
  <c r="E1469" i="1"/>
  <c r="F1469" i="1"/>
  <c r="H1469" i="1"/>
  <c r="E1470" i="1"/>
  <c r="F1470" i="1"/>
  <c r="H1470" i="1"/>
  <c r="E1471" i="1"/>
  <c r="F1471" i="1"/>
  <c r="H1471" i="1"/>
  <c r="E1472" i="1"/>
  <c r="F1472" i="1"/>
  <c r="H1472" i="1"/>
  <c r="E1473" i="1"/>
  <c r="F1473" i="1"/>
  <c r="H1473" i="1"/>
  <c r="E1474" i="1"/>
  <c r="F1474" i="1"/>
  <c r="H1474" i="1"/>
  <c r="E1475" i="1"/>
  <c r="F1475" i="1"/>
  <c r="H1475" i="1"/>
  <c r="E1476" i="1"/>
  <c r="F1476" i="1"/>
  <c r="H1476" i="1"/>
  <c r="E1477" i="1"/>
  <c r="F1477" i="1"/>
  <c r="H1477" i="1"/>
  <c r="E1478" i="1"/>
  <c r="F1478" i="1"/>
  <c r="H1478" i="1"/>
  <c r="E1479" i="1"/>
  <c r="F1479" i="1"/>
  <c r="H1479" i="1"/>
  <c r="E1480" i="1"/>
  <c r="F1480" i="1"/>
  <c r="H1480" i="1"/>
  <c r="E1481" i="1"/>
  <c r="F1481" i="1"/>
  <c r="H1481" i="1"/>
  <c r="E1482" i="1"/>
  <c r="F1482" i="1"/>
  <c r="H1482" i="1"/>
  <c r="E1483" i="1"/>
  <c r="F1483" i="1"/>
  <c r="H1483" i="1"/>
  <c r="E1484" i="1"/>
  <c r="F1484" i="1"/>
  <c r="H1484" i="1"/>
  <c r="E1485" i="1"/>
  <c r="F1485" i="1"/>
  <c r="H1485" i="1"/>
  <c r="E1486" i="1"/>
  <c r="F1486" i="1"/>
  <c r="H1486" i="1"/>
  <c r="E1487" i="1"/>
  <c r="F1487" i="1"/>
  <c r="H1487" i="1"/>
  <c r="E1488" i="1"/>
  <c r="F1488" i="1"/>
  <c r="H1488" i="1"/>
  <c r="E1489" i="1"/>
  <c r="F1489" i="1"/>
  <c r="H1489" i="1"/>
  <c r="E1490" i="1"/>
  <c r="F1490" i="1"/>
  <c r="H1490" i="1"/>
  <c r="E1491" i="1"/>
  <c r="F1491" i="1"/>
  <c r="H1491" i="1"/>
  <c r="E1492" i="1"/>
  <c r="F1492" i="1"/>
  <c r="H1492" i="1"/>
  <c r="E1493" i="1"/>
  <c r="F1493" i="1"/>
  <c r="H1493" i="1"/>
  <c r="E1494" i="1"/>
  <c r="F1494" i="1"/>
  <c r="H1494" i="1"/>
  <c r="E1495" i="1"/>
  <c r="F1495" i="1"/>
  <c r="H1495" i="1"/>
  <c r="E1496" i="1"/>
  <c r="F1496" i="1"/>
  <c r="H1496" i="1"/>
  <c r="E1497" i="1"/>
  <c r="F1497" i="1"/>
  <c r="H1497" i="1"/>
  <c r="E1498" i="1"/>
  <c r="F1498" i="1"/>
  <c r="H1498" i="1"/>
  <c r="E1499" i="1"/>
  <c r="F1499" i="1"/>
  <c r="H1499" i="1"/>
  <c r="E1500" i="1"/>
  <c r="F1500" i="1"/>
  <c r="H1500" i="1"/>
  <c r="E1501" i="1"/>
  <c r="F1501" i="1"/>
  <c r="H1501" i="1"/>
  <c r="E1502" i="1"/>
  <c r="F1502" i="1"/>
  <c r="H1502" i="1"/>
  <c r="E1503" i="1"/>
  <c r="F1503" i="1"/>
  <c r="H1503" i="1"/>
  <c r="E1504" i="1"/>
  <c r="F1504" i="1"/>
  <c r="H1504" i="1"/>
  <c r="E1505" i="1"/>
  <c r="F1505" i="1"/>
  <c r="H1505" i="1"/>
  <c r="E1506" i="1"/>
  <c r="F1506" i="1"/>
  <c r="H1506" i="1"/>
  <c r="E1507" i="1"/>
  <c r="F1507" i="1"/>
  <c r="H1507" i="1"/>
  <c r="E1508" i="1"/>
  <c r="F1508" i="1"/>
  <c r="H1508" i="1"/>
  <c r="E1509" i="1"/>
  <c r="F1509" i="1"/>
  <c r="H1509" i="1"/>
  <c r="E1510" i="1"/>
  <c r="F1510" i="1"/>
  <c r="H1510" i="1"/>
  <c r="E1511" i="1"/>
  <c r="F1511" i="1"/>
  <c r="H1511" i="1"/>
  <c r="E1512" i="1"/>
  <c r="F1512" i="1"/>
  <c r="H1512" i="1"/>
  <c r="E1513" i="1"/>
  <c r="F1513" i="1"/>
  <c r="H1513" i="1"/>
  <c r="E1514" i="1"/>
  <c r="F1514" i="1"/>
  <c r="H1514" i="1"/>
  <c r="E1515" i="1"/>
  <c r="F1515" i="1"/>
  <c r="H1515" i="1"/>
  <c r="E1516" i="1"/>
  <c r="F1516" i="1"/>
  <c r="H1516" i="1"/>
  <c r="E1517" i="1"/>
  <c r="F1517" i="1"/>
  <c r="H1517" i="1"/>
  <c r="E1518" i="1"/>
  <c r="F1518" i="1"/>
  <c r="H1518" i="1"/>
  <c r="E1519" i="1"/>
  <c r="F1519" i="1"/>
  <c r="H1519" i="1"/>
  <c r="E1520" i="1"/>
  <c r="F1520" i="1"/>
  <c r="H1520" i="1"/>
  <c r="E1521" i="1"/>
  <c r="F1521" i="1"/>
  <c r="H1521" i="1"/>
  <c r="E1522" i="1"/>
  <c r="F1522" i="1"/>
  <c r="H1522" i="1"/>
  <c r="E1523" i="1"/>
  <c r="F1523" i="1"/>
  <c r="H1523" i="1"/>
  <c r="E1524" i="1"/>
  <c r="F1524" i="1"/>
  <c r="H1524" i="1"/>
  <c r="E1525" i="1"/>
  <c r="F1525" i="1"/>
  <c r="H1525" i="1"/>
  <c r="E1526" i="1"/>
  <c r="F1526" i="1"/>
  <c r="H1526" i="1"/>
  <c r="E1527" i="1"/>
  <c r="F1527" i="1"/>
  <c r="H1527" i="1"/>
  <c r="E1528" i="1"/>
  <c r="F1528" i="1"/>
  <c r="H1528" i="1"/>
  <c r="E1529" i="1"/>
  <c r="F1529" i="1"/>
  <c r="H1529" i="1"/>
  <c r="E1530" i="1"/>
  <c r="F1530" i="1"/>
  <c r="H1530" i="1"/>
  <c r="E1531" i="1"/>
  <c r="F1531" i="1"/>
  <c r="H1531" i="1"/>
  <c r="E1532" i="1"/>
  <c r="F1532" i="1"/>
  <c r="H1532" i="1"/>
  <c r="E1533" i="1"/>
  <c r="F1533" i="1"/>
  <c r="H1533" i="1"/>
  <c r="E1534" i="1"/>
  <c r="F1534" i="1"/>
  <c r="H1534" i="1"/>
  <c r="E1535" i="1"/>
  <c r="F1535" i="1"/>
  <c r="H1535" i="1"/>
  <c r="E1536" i="1"/>
  <c r="F1536" i="1"/>
  <c r="H1536" i="1"/>
  <c r="E1537" i="1"/>
  <c r="F1537" i="1"/>
  <c r="H1537" i="1"/>
  <c r="E1538" i="1"/>
  <c r="F1538" i="1"/>
  <c r="H1538" i="1"/>
  <c r="E1539" i="1"/>
  <c r="F1539" i="1"/>
  <c r="H1539" i="1"/>
  <c r="E1540" i="1"/>
  <c r="F1540" i="1"/>
  <c r="H1540" i="1"/>
  <c r="E1541" i="1"/>
  <c r="F1541" i="1"/>
  <c r="H1541" i="1"/>
  <c r="E1542" i="1"/>
  <c r="F1542" i="1"/>
  <c r="H1542" i="1"/>
  <c r="E1543" i="1"/>
  <c r="F1543" i="1"/>
  <c r="H1543" i="1"/>
  <c r="E1544" i="1"/>
  <c r="F1544" i="1"/>
  <c r="H1544" i="1"/>
  <c r="E1545" i="1"/>
  <c r="F1545" i="1"/>
  <c r="H1545" i="1"/>
  <c r="E1546" i="1"/>
  <c r="F1546" i="1"/>
  <c r="H1546" i="1"/>
  <c r="E1547" i="1"/>
  <c r="F1547" i="1"/>
  <c r="H1547" i="1"/>
  <c r="E1548" i="1"/>
  <c r="F1548" i="1"/>
  <c r="H1548" i="1"/>
  <c r="E1549" i="1"/>
  <c r="F1549" i="1"/>
  <c r="H1549" i="1"/>
  <c r="E1550" i="1"/>
  <c r="F1550" i="1"/>
  <c r="H1550" i="1"/>
  <c r="E1551" i="1"/>
  <c r="F1551" i="1"/>
  <c r="H1551" i="1"/>
  <c r="E1552" i="1"/>
  <c r="F1552" i="1"/>
  <c r="H1552" i="1"/>
  <c r="E1553" i="1"/>
  <c r="F1553" i="1"/>
  <c r="H1553" i="1"/>
  <c r="E1554" i="1"/>
  <c r="F1554" i="1"/>
  <c r="H1554" i="1"/>
  <c r="E1555" i="1"/>
  <c r="F1555" i="1"/>
  <c r="H1555" i="1"/>
  <c r="E1556" i="1"/>
  <c r="F1556" i="1"/>
  <c r="H1556" i="1"/>
  <c r="E1557" i="1"/>
  <c r="F1557" i="1"/>
  <c r="H1557" i="1"/>
  <c r="E1558" i="1"/>
  <c r="F1558" i="1"/>
  <c r="H1558" i="1"/>
  <c r="E1559" i="1"/>
  <c r="F1559" i="1"/>
  <c r="H1559" i="1"/>
  <c r="E1560" i="1"/>
  <c r="F1560" i="1"/>
  <c r="H1560" i="1"/>
  <c r="E1561" i="1"/>
  <c r="F1561" i="1"/>
  <c r="H1561" i="1"/>
  <c r="E1562" i="1"/>
  <c r="F1562" i="1"/>
  <c r="H1562" i="1"/>
  <c r="E1563" i="1"/>
  <c r="F1563" i="1"/>
  <c r="H1563" i="1"/>
  <c r="E1564" i="1"/>
  <c r="F1564" i="1"/>
  <c r="H1564" i="1"/>
  <c r="E1565" i="1"/>
  <c r="F1565" i="1"/>
  <c r="H1565" i="1"/>
  <c r="E1566" i="1"/>
  <c r="F1566" i="1"/>
  <c r="H1566" i="1"/>
  <c r="E1567" i="1"/>
  <c r="F1567" i="1"/>
  <c r="E1568" i="1"/>
  <c r="F1568" i="1"/>
  <c r="H1568" i="1"/>
  <c r="E1569" i="1"/>
  <c r="F1569" i="1"/>
  <c r="H1569" i="1"/>
  <c r="E1570" i="1"/>
  <c r="F1570" i="1"/>
  <c r="H1570" i="1"/>
  <c r="E1571" i="1"/>
  <c r="F1571" i="1"/>
  <c r="H1571" i="1"/>
  <c r="E1572" i="1"/>
  <c r="F1572" i="1"/>
  <c r="H1572" i="1"/>
  <c r="E1573" i="1"/>
  <c r="F1573" i="1"/>
  <c r="H1573" i="1"/>
  <c r="E1574" i="1"/>
  <c r="F1574" i="1"/>
  <c r="H1574" i="1"/>
  <c r="E1575" i="1"/>
  <c r="F1575" i="1"/>
  <c r="H1575" i="1"/>
  <c r="E1576" i="1"/>
  <c r="F1576" i="1"/>
  <c r="H1576" i="1"/>
  <c r="E1577" i="1"/>
  <c r="F1577" i="1"/>
  <c r="H1577" i="1"/>
  <c r="E1578" i="1"/>
  <c r="F1578" i="1"/>
  <c r="H1578" i="1"/>
  <c r="E1579" i="1"/>
  <c r="F1579" i="1"/>
  <c r="H1579" i="1"/>
  <c r="E1580" i="1"/>
  <c r="F1580" i="1"/>
  <c r="H1580" i="1"/>
  <c r="E1581" i="1"/>
  <c r="F1581" i="1"/>
  <c r="H1581" i="1"/>
  <c r="E1582" i="1"/>
  <c r="F1582" i="1"/>
  <c r="H1582" i="1"/>
  <c r="E1583" i="1"/>
  <c r="F1583" i="1"/>
  <c r="H1583" i="1"/>
  <c r="E1584" i="1"/>
  <c r="F1584" i="1"/>
  <c r="H1584" i="1"/>
  <c r="E1585" i="1"/>
  <c r="F1585" i="1"/>
  <c r="H1585" i="1"/>
  <c r="E1586" i="1"/>
  <c r="F1586" i="1"/>
  <c r="H1586" i="1"/>
  <c r="E1587" i="1"/>
  <c r="F1587" i="1"/>
  <c r="H1587" i="1"/>
  <c r="E1588" i="1"/>
  <c r="F1588" i="1"/>
  <c r="H1588" i="1"/>
  <c r="E1589" i="1"/>
  <c r="F1589" i="1"/>
  <c r="H1589" i="1"/>
  <c r="E1590" i="1"/>
  <c r="F1590" i="1"/>
  <c r="H1590" i="1"/>
  <c r="E1591" i="1"/>
  <c r="F1591" i="1"/>
  <c r="H1591" i="1"/>
  <c r="E1592" i="1"/>
  <c r="F1592" i="1"/>
  <c r="H1592" i="1"/>
  <c r="E1593" i="1"/>
  <c r="F1593" i="1"/>
  <c r="H1593" i="1"/>
  <c r="E1594" i="1"/>
  <c r="F1594" i="1"/>
  <c r="H1594" i="1"/>
  <c r="E1595" i="1"/>
  <c r="F1595" i="1"/>
  <c r="H1595" i="1"/>
  <c r="E1596" i="1"/>
  <c r="F1596" i="1"/>
  <c r="H1596" i="1"/>
  <c r="E1597" i="1"/>
  <c r="F1597" i="1"/>
  <c r="H1597" i="1"/>
  <c r="E1598" i="1"/>
  <c r="F1598" i="1"/>
  <c r="H1598" i="1"/>
  <c r="E1599" i="1"/>
  <c r="F1599" i="1"/>
  <c r="H1599" i="1"/>
  <c r="E1600" i="1"/>
  <c r="F1600" i="1"/>
  <c r="H1600" i="1"/>
  <c r="E1601" i="1"/>
  <c r="F1601" i="1"/>
  <c r="H1601" i="1"/>
  <c r="E1602" i="1"/>
  <c r="F1602" i="1"/>
  <c r="H1602" i="1"/>
  <c r="E1603" i="1"/>
  <c r="F1603" i="1"/>
  <c r="H1603" i="1"/>
  <c r="E1604" i="1"/>
  <c r="F1604" i="1"/>
  <c r="H1604" i="1"/>
  <c r="E1605" i="1"/>
  <c r="F1605" i="1"/>
  <c r="H1605" i="1"/>
  <c r="E1606" i="1"/>
  <c r="F1606" i="1"/>
  <c r="H1606" i="1"/>
  <c r="E1607" i="1"/>
  <c r="F1607" i="1"/>
  <c r="H1607" i="1"/>
  <c r="E1608" i="1"/>
  <c r="F1608" i="1"/>
  <c r="H1608" i="1"/>
  <c r="E1609" i="1"/>
  <c r="F1609" i="1"/>
  <c r="H1609" i="1"/>
  <c r="E1610" i="1"/>
  <c r="F1610" i="1"/>
  <c r="H1610" i="1"/>
  <c r="E1611" i="1"/>
  <c r="F1611" i="1"/>
  <c r="H1611" i="1"/>
  <c r="E1612" i="1"/>
  <c r="F1612" i="1"/>
  <c r="H1612" i="1"/>
  <c r="E1613" i="1"/>
  <c r="F1613" i="1"/>
  <c r="H1613" i="1"/>
  <c r="E1614" i="1"/>
  <c r="F1614" i="1"/>
  <c r="H1614" i="1"/>
  <c r="E1615" i="1"/>
  <c r="F1615" i="1"/>
  <c r="H1615" i="1"/>
  <c r="E1616" i="1"/>
  <c r="F1616" i="1"/>
  <c r="H1616" i="1"/>
  <c r="E1617" i="1"/>
  <c r="F1617" i="1"/>
  <c r="H1617" i="1"/>
  <c r="E1618" i="1"/>
  <c r="F1618" i="1"/>
  <c r="H1618" i="1"/>
  <c r="E1619" i="1"/>
  <c r="F1619" i="1"/>
  <c r="H1619" i="1"/>
  <c r="E1620" i="1"/>
  <c r="F1620" i="1"/>
  <c r="H1620" i="1"/>
  <c r="E1621" i="1"/>
  <c r="F1621" i="1"/>
  <c r="H1621" i="1"/>
  <c r="E1622" i="1"/>
  <c r="F1622" i="1"/>
  <c r="H1622" i="1"/>
  <c r="E1623" i="1"/>
  <c r="F1623" i="1"/>
  <c r="H1623" i="1"/>
  <c r="E1624" i="1"/>
  <c r="F1624" i="1"/>
  <c r="H1624" i="1"/>
  <c r="E1625" i="1"/>
  <c r="F1625" i="1"/>
  <c r="H1625" i="1"/>
  <c r="E1626" i="1"/>
  <c r="F1626" i="1"/>
  <c r="H1626" i="1"/>
  <c r="E1627" i="1"/>
  <c r="F1627" i="1"/>
  <c r="H1627" i="1"/>
  <c r="E1628" i="1"/>
  <c r="F1628" i="1"/>
  <c r="H1628" i="1"/>
  <c r="E1629" i="1"/>
  <c r="F1629" i="1"/>
  <c r="H1629" i="1"/>
  <c r="E1630" i="1"/>
  <c r="F1630" i="1"/>
  <c r="H1630" i="1"/>
  <c r="E1631" i="1"/>
  <c r="F1631" i="1"/>
  <c r="H1631" i="1"/>
  <c r="E1632" i="1"/>
  <c r="F1632" i="1"/>
  <c r="H1632" i="1"/>
  <c r="E1633" i="1"/>
  <c r="F1633" i="1"/>
  <c r="H1633" i="1"/>
  <c r="E1634" i="1"/>
  <c r="F1634" i="1"/>
  <c r="H1634" i="1"/>
  <c r="E1635" i="1"/>
  <c r="F1635" i="1"/>
  <c r="H1635" i="1"/>
  <c r="E1636" i="1"/>
  <c r="F1636" i="1"/>
  <c r="H1636" i="1"/>
  <c r="E1637" i="1"/>
  <c r="F1637" i="1"/>
  <c r="H1637" i="1"/>
  <c r="E1638" i="1"/>
  <c r="F1638" i="1"/>
  <c r="H1638" i="1"/>
  <c r="E1639" i="1"/>
  <c r="F1639" i="1"/>
  <c r="H1639" i="1"/>
  <c r="E1640" i="1"/>
  <c r="F1640" i="1"/>
  <c r="H1640" i="1"/>
  <c r="E1641" i="1"/>
  <c r="F1641" i="1"/>
  <c r="H1641" i="1"/>
  <c r="E1642" i="1"/>
  <c r="F1642" i="1"/>
  <c r="H1642" i="1"/>
  <c r="E1643" i="1"/>
  <c r="F1643" i="1"/>
  <c r="H1643" i="1"/>
  <c r="E1644" i="1"/>
  <c r="F1644" i="1"/>
  <c r="H1644" i="1"/>
  <c r="E1645" i="1"/>
  <c r="F1645" i="1"/>
  <c r="H1645" i="1"/>
  <c r="E1646" i="1"/>
  <c r="F1646" i="1"/>
  <c r="H1646" i="1"/>
  <c r="E1647" i="1"/>
  <c r="F1647" i="1"/>
  <c r="H1647" i="1"/>
  <c r="E1648" i="1"/>
  <c r="F1648" i="1"/>
  <c r="H1648" i="1"/>
  <c r="E1649" i="1"/>
  <c r="F1649" i="1"/>
  <c r="H1649" i="1"/>
  <c r="E1650" i="1"/>
  <c r="F1650" i="1"/>
  <c r="H1650" i="1"/>
  <c r="E1651" i="1"/>
  <c r="F1651" i="1"/>
  <c r="H1651" i="1"/>
  <c r="E1652" i="1"/>
  <c r="F1652" i="1"/>
  <c r="E1653" i="1"/>
  <c r="F1653" i="1"/>
  <c r="E1654" i="1"/>
  <c r="F1654" i="1"/>
  <c r="E1655" i="1"/>
  <c r="F1655" i="1"/>
  <c r="H1655" i="1"/>
  <c r="E1656" i="1"/>
  <c r="F1656" i="1"/>
  <c r="H1656" i="1"/>
  <c r="E1657" i="1"/>
  <c r="F1657" i="1"/>
  <c r="H1657" i="1"/>
  <c r="E1658" i="1"/>
  <c r="F1658" i="1"/>
  <c r="H1658" i="1"/>
  <c r="E1659" i="1"/>
  <c r="F1659" i="1"/>
  <c r="H1659" i="1"/>
  <c r="E1660" i="1"/>
  <c r="F1660" i="1"/>
  <c r="H1660" i="1"/>
  <c r="E1661" i="1"/>
  <c r="F1661" i="1"/>
  <c r="H1661" i="1"/>
  <c r="E1662" i="1"/>
  <c r="F1662" i="1"/>
  <c r="H1662" i="1"/>
  <c r="E1663" i="1"/>
  <c r="F1663" i="1"/>
  <c r="H1663" i="1"/>
  <c r="E1664" i="1"/>
  <c r="F1664" i="1"/>
  <c r="H1664" i="1"/>
  <c r="E1665" i="1"/>
  <c r="F1665" i="1"/>
  <c r="H1665" i="1"/>
  <c r="E1666" i="1"/>
  <c r="F1666" i="1"/>
  <c r="H1666" i="1"/>
  <c r="E1667" i="1"/>
  <c r="F1667" i="1"/>
  <c r="H1667" i="1"/>
  <c r="E1668" i="1"/>
  <c r="F1668" i="1"/>
  <c r="H1668" i="1"/>
  <c r="E1669" i="1"/>
  <c r="F1669" i="1"/>
  <c r="H1669" i="1"/>
  <c r="E1670" i="1"/>
  <c r="F1670" i="1"/>
  <c r="H1670" i="1"/>
  <c r="E1671" i="1"/>
  <c r="F1671" i="1"/>
  <c r="H1671" i="1"/>
  <c r="E1672" i="1"/>
  <c r="F1672" i="1"/>
  <c r="H1672" i="1"/>
  <c r="E1673" i="1"/>
  <c r="F1673" i="1"/>
  <c r="H1673" i="1"/>
  <c r="E1674" i="1"/>
  <c r="F1674" i="1"/>
  <c r="H1674" i="1"/>
  <c r="E1675" i="1"/>
  <c r="F1675" i="1"/>
  <c r="H1675" i="1"/>
  <c r="E1676" i="1"/>
  <c r="F1676" i="1"/>
  <c r="H1676" i="1"/>
  <c r="E1677" i="1"/>
  <c r="F1677" i="1"/>
  <c r="H1677" i="1"/>
  <c r="E1678" i="1"/>
  <c r="F1678" i="1"/>
  <c r="H1678" i="1"/>
  <c r="E1679" i="1"/>
  <c r="F1679" i="1"/>
  <c r="H1679" i="1"/>
  <c r="E1680" i="1"/>
  <c r="F1680" i="1"/>
  <c r="H1680" i="1"/>
  <c r="E1681" i="1"/>
  <c r="F1681" i="1"/>
  <c r="H1681" i="1"/>
  <c r="E1682" i="1"/>
  <c r="F1682" i="1"/>
  <c r="H1682" i="1"/>
  <c r="E1683" i="1"/>
  <c r="F1683" i="1"/>
  <c r="H1683" i="1"/>
  <c r="E1684" i="1"/>
  <c r="F1684" i="1"/>
  <c r="H1684" i="1"/>
  <c r="E1685" i="1"/>
  <c r="F1685" i="1"/>
  <c r="H1685" i="1"/>
  <c r="E1686" i="1"/>
  <c r="F1686" i="1"/>
  <c r="H1686" i="1"/>
  <c r="E1687" i="1"/>
  <c r="F1687" i="1"/>
  <c r="H1687" i="1"/>
  <c r="E1688" i="1"/>
  <c r="F1688" i="1"/>
  <c r="H1688" i="1"/>
  <c r="E1689" i="1"/>
  <c r="F1689" i="1"/>
  <c r="H1689" i="1"/>
  <c r="E1690" i="1"/>
  <c r="F1690" i="1"/>
  <c r="H1690" i="1"/>
  <c r="E1691" i="1"/>
  <c r="F1691" i="1"/>
  <c r="H1691" i="1"/>
  <c r="E1692" i="1"/>
  <c r="F1692" i="1"/>
  <c r="H1692" i="1"/>
  <c r="E1693" i="1"/>
  <c r="F1693" i="1"/>
  <c r="H1693" i="1"/>
  <c r="E1694" i="1"/>
  <c r="F1694" i="1"/>
  <c r="H1694" i="1"/>
  <c r="E1695" i="1"/>
  <c r="F1695" i="1"/>
  <c r="H1695" i="1"/>
  <c r="E1696" i="1"/>
  <c r="F1696" i="1"/>
  <c r="H1696" i="1"/>
  <c r="E1697" i="1"/>
  <c r="F1697" i="1"/>
  <c r="H1697" i="1"/>
  <c r="E1698" i="1"/>
  <c r="F1698" i="1"/>
  <c r="H1698" i="1"/>
  <c r="E1699" i="1"/>
  <c r="F1699" i="1"/>
  <c r="H1699" i="1"/>
  <c r="E1700" i="1"/>
  <c r="F1700" i="1"/>
  <c r="H1700" i="1"/>
  <c r="E1701" i="1"/>
  <c r="F1701" i="1"/>
  <c r="H1701" i="1"/>
  <c r="E1702" i="1"/>
  <c r="F1702" i="1"/>
  <c r="H1702" i="1"/>
  <c r="E1703" i="1"/>
  <c r="F1703" i="1"/>
  <c r="H1703" i="1"/>
  <c r="E1704" i="1"/>
  <c r="F1704" i="1"/>
  <c r="H1704" i="1"/>
  <c r="E1705" i="1"/>
  <c r="F1705" i="1"/>
  <c r="H1705" i="1"/>
  <c r="E1706" i="1"/>
  <c r="F1706" i="1"/>
  <c r="H1706" i="1"/>
  <c r="E1707" i="1"/>
  <c r="F1707" i="1"/>
  <c r="H1707" i="1"/>
  <c r="E1708" i="1"/>
  <c r="F1708" i="1"/>
  <c r="H1708" i="1"/>
  <c r="E1709" i="1"/>
  <c r="F1709" i="1"/>
  <c r="H1709" i="1"/>
  <c r="E1710" i="1"/>
  <c r="F1710" i="1"/>
  <c r="H1710" i="1"/>
  <c r="E1711" i="1"/>
  <c r="F1711" i="1"/>
  <c r="H1711" i="1"/>
  <c r="E1712" i="1"/>
  <c r="F1712" i="1"/>
  <c r="H1712" i="1"/>
  <c r="E1713" i="1"/>
  <c r="F1713" i="1"/>
  <c r="H1713" i="1"/>
  <c r="E1714" i="1"/>
  <c r="F1714" i="1"/>
  <c r="H1714" i="1"/>
  <c r="E1715" i="1"/>
  <c r="F1715" i="1"/>
  <c r="H1715" i="1"/>
  <c r="E1716" i="1"/>
  <c r="F1716" i="1"/>
  <c r="H1716" i="1"/>
  <c r="E1717" i="1"/>
  <c r="F1717" i="1"/>
  <c r="H1717" i="1"/>
  <c r="E1718" i="1"/>
  <c r="F1718" i="1"/>
  <c r="H1718" i="1"/>
  <c r="E1719" i="1"/>
  <c r="F1719" i="1"/>
  <c r="H1719" i="1"/>
  <c r="E1720" i="1"/>
  <c r="F1720" i="1"/>
  <c r="H1720" i="1"/>
  <c r="E1721" i="1"/>
  <c r="F1721" i="1"/>
  <c r="H1721" i="1"/>
  <c r="E1722" i="1"/>
  <c r="F1722" i="1"/>
  <c r="H1722" i="1"/>
  <c r="E1723" i="1"/>
  <c r="F1723" i="1"/>
  <c r="H1723" i="1"/>
  <c r="E1724" i="1"/>
  <c r="F1724" i="1"/>
  <c r="H1724" i="1"/>
  <c r="E1725" i="1"/>
  <c r="F1725" i="1"/>
  <c r="H1725" i="1"/>
  <c r="E1726" i="1"/>
  <c r="F1726" i="1"/>
  <c r="H1726" i="1"/>
  <c r="E1727" i="1"/>
  <c r="F1727" i="1"/>
  <c r="H1727" i="1"/>
  <c r="E1728" i="1"/>
  <c r="F1728" i="1"/>
  <c r="H1728" i="1"/>
  <c r="E1729" i="1"/>
  <c r="F1729" i="1"/>
  <c r="H1729" i="1"/>
  <c r="E1730" i="1"/>
  <c r="F1730" i="1"/>
  <c r="H1730" i="1"/>
  <c r="E1731" i="1"/>
  <c r="F1731" i="1"/>
  <c r="H1731" i="1"/>
  <c r="E1732" i="1"/>
  <c r="F1732" i="1"/>
  <c r="H1732" i="1"/>
  <c r="E1733" i="1"/>
  <c r="F1733" i="1"/>
  <c r="H1733" i="1"/>
  <c r="E1734" i="1"/>
  <c r="F1734" i="1"/>
  <c r="H1734" i="1"/>
  <c r="E1735" i="1"/>
  <c r="F1735" i="1"/>
  <c r="H1735" i="1"/>
  <c r="E1736" i="1"/>
  <c r="F1736" i="1"/>
  <c r="H1736" i="1"/>
  <c r="E1737" i="1"/>
  <c r="F1737" i="1"/>
  <c r="H1737" i="1"/>
  <c r="E1738" i="1"/>
  <c r="F1738" i="1"/>
  <c r="H1738" i="1"/>
  <c r="E1739" i="1"/>
  <c r="F1739" i="1"/>
  <c r="H1739" i="1"/>
  <c r="E1740" i="1"/>
  <c r="F1740" i="1"/>
  <c r="H1740" i="1"/>
  <c r="E1741" i="1"/>
  <c r="F1741" i="1"/>
  <c r="H1741" i="1"/>
  <c r="E1742" i="1"/>
  <c r="F1742" i="1"/>
  <c r="H1742" i="1"/>
  <c r="E1743" i="1"/>
  <c r="F1743" i="1"/>
  <c r="H1743" i="1"/>
  <c r="E1744" i="1"/>
  <c r="F1744" i="1"/>
  <c r="H1744" i="1"/>
  <c r="E1745" i="1"/>
  <c r="F1745" i="1"/>
  <c r="H1745" i="1"/>
  <c r="E1746" i="1"/>
  <c r="F1746" i="1"/>
  <c r="H1746" i="1"/>
  <c r="E1747" i="1"/>
  <c r="F1747" i="1"/>
  <c r="H1747" i="1"/>
  <c r="E1748" i="1"/>
  <c r="F1748" i="1"/>
  <c r="H1748" i="1"/>
  <c r="E1749" i="1"/>
  <c r="F1749" i="1"/>
  <c r="H1749" i="1"/>
  <c r="E1750" i="1"/>
  <c r="F1750" i="1"/>
  <c r="H1750" i="1"/>
  <c r="E1751" i="1"/>
  <c r="F1751" i="1"/>
  <c r="H1751" i="1"/>
  <c r="E1752" i="1"/>
  <c r="F1752" i="1"/>
  <c r="H1752" i="1"/>
  <c r="E1753" i="1"/>
  <c r="F1753" i="1"/>
  <c r="H1753" i="1"/>
  <c r="E1754" i="1"/>
  <c r="F1754" i="1"/>
  <c r="H1754" i="1"/>
  <c r="E1755" i="1"/>
  <c r="F1755" i="1"/>
  <c r="H1755" i="1"/>
  <c r="E1756" i="1"/>
  <c r="F1756" i="1"/>
  <c r="H1756" i="1"/>
  <c r="E1757" i="1"/>
  <c r="F1757" i="1"/>
  <c r="H1757" i="1"/>
  <c r="E1758" i="1"/>
  <c r="F1758" i="1"/>
  <c r="H1758" i="1"/>
  <c r="E1759" i="1"/>
  <c r="F1759" i="1"/>
  <c r="H1759" i="1"/>
  <c r="E1760" i="1"/>
  <c r="F1760" i="1"/>
  <c r="H1760" i="1"/>
  <c r="E1761" i="1"/>
  <c r="F1761" i="1"/>
  <c r="H1761" i="1"/>
  <c r="E1762" i="1"/>
  <c r="F1762" i="1"/>
  <c r="H1762" i="1"/>
  <c r="E1763" i="1"/>
  <c r="F1763" i="1"/>
  <c r="H1763" i="1"/>
  <c r="E1764" i="1"/>
  <c r="F1764" i="1"/>
  <c r="H1764" i="1"/>
  <c r="E1765" i="1"/>
  <c r="F1765" i="1"/>
  <c r="H1765" i="1"/>
  <c r="E1766" i="1"/>
  <c r="F1766" i="1"/>
  <c r="H1766" i="1"/>
  <c r="E1767" i="1"/>
  <c r="F1767" i="1"/>
  <c r="H1767" i="1"/>
  <c r="E1768" i="1"/>
  <c r="F1768" i="1"/>
  <c r="H1768" i="1"/>
  <c r="E1769" i="1"/>
  <c r="F1769" i="1"/>
  <c r="H1769" i="1"/>
  <c r="E1770" i="1"/>
  <c r="F1770" i="1"/>
  <c r="H1770" i="1"/>
  <c r="E1771" i="1"/>
  <c r="F1771" i="1"/>
  <c r="H1771" i="1"/>
  <c r="E1772" i="1"/>
  <c r="F1772" i="1"/>
  <c r="H1772" i="1"/>
  <c r="E1773" i="1"/>
  <c r="F1773" i="1"/>
  <c r="H1773" i="1"/>
  <c r="E1774" i="1"/>
  <c r="F1774" i="1"/>
  <c r="H1774" i="1"/>
  <c r="E1775" i="1"/>
  <c r="F1775" i="1"/>
  <c r="H1775" i="1"/>
  <c r="E1776" i="1"/>
  <c r="F1776" i="1"/>
  <c r="H1776" i="1"/>
  <c r="E1777" i="1"/>
  <c r="F1777" i="1"/>
  <c r="H1777" i="1"/>
  <c r="E1778" i="1"/>
  <c r="F1778" i="1"/>
  <c r="H1778" i="1"/>
  <c r="E1779" i="1"/>
  <c r="F1779" i="1"/>
  <c r="H1779" i="1"/>
  <c r="E1780" i="1"/>
  <c r="F1780" i="1"/>
  <c r="H1780" i="1"/>
  <c r="E1781" i="1"/>
  <c r="F1781" i="1"/>
  <c r="H1781" i="1"/>
  <c r="E1782" i="1"/>
  <c r="F1782" i="1"/>
  <c r="H1782" i="1"/>
  <c r="E1783" i="1"/>
  <c r="F1783" i="1"/>
  <c r="H1783" i="1"/>
  <c r="E1784" i="1"/>
  <c r="F1784" i="1"/>
  <c r="H1784" i="1"/>
  <c r="E1785" i="1"/>
  <c r="F1785" i="1"/>
  <c r="H1785" i="1"/>
  <c r="E1786" i="1"/>
  <c r="F1786" i="1"/>
  <c r="H1786" i="1"/>
  <c r="E1787" i="1"/>
  <c r="F1787" i="1"/>
  <c r="H1787" i="1"/>
  <c r="E1788" i="1"/>
  <c r="F1788" i="1"/>
  <c r="H1788" i="1"/>
  <c r="E1789" i="1"/>
  <c r="F1789" i="1"/>
  <c r="H1789" i="1"/>
  <c r="E1790" i="1"/>
  <c r="F1790" i="1"/>
  <c r="H1790" i="1"/>
  <c r="E1791" i="1"/>
  <c r="F1791" i="1"/>
  <c r="H1791" i="1"/>
  <c r="E1792" i="1"/>
  <c r="F1792" i="1"/>
  <c r="H1792" i="1"/>
  <c r="E1793" i="1"/>
  <c r="F1793" i="1"/>
  <c r="H1793" i="1"/>
  <c r="E1794" i="1"/>
  <c r="F1794" i="1"/>
  <c r="H1794" i="1"/>
  <c r="E1795" i="1"/>
  <c r="F1795" i="1"/>
  <c r="H1795" i="1"/>
  <c r="E1796" i="1"/>
  <c r="F1796" i="1"/>
  <c r="H1796" i="1"/>
  <c r="E1797" i="1"/>
  <c r="F1797" i="1"/>
  <c r="H1797" i="1"/>
  <c r="E1798" i="1"/>
  <c r="F1798" i="1"/>
  <c r="H1798" i="1"/>
  <c r="E1799" i="1"/>
  <c r="F1799" i="1"/>
  <c r="H1799" i="1"/>
  <c r="E1800" i="1"/>
  <c r="F1800" i="1"/>
  <c r="H1800" i="1"/>
  <c r="E1801" i="1"/>
  <c r="F1801" i="1"/>
  <c r="H1801" i="1"/>
  <c r="E1802" i="1"/>
  <c r="F1802" i="1"/>
  <c r="H1802" i="1"/>
  <c r="E1803" i="1"/>
  <c r="F1803" i="1"/>
  <c r="H1803" i="1"/>
  <c r="E1804" i="1"/>
  <c r="F1804" i="1"/>
  <c r="H1804" i="1"/>
  <c r="E1805" i="1"/>
  <c r="F1805" i="1"/>
  <c r="H1805" i="1"/>
  <c r="E1806" i="1"/>
  <c r="F1806" i="1"/>
  <c r="H1806" i="1"/>
  <c r="E1807" i="1"/>
  <c r="F1807" i="1"/>
  <c r="H1807" i="1"/>
  <c r="E1808" i="1"/>
  <c r="F1808" i="1"/>
  <c r="H1808" i="1"/>
  <c r="E1809" i="1"/>
  <c r="F1809" i="1"/>
  <c r="H1809" i="1"/>
  <c r="E1810" i="1"/>
  <c r="F1810" i="1"/>
  <c r="H1810" i="1"/>
  <c r="E1811" i="1"/>
  <c r="F1811" i="1"/>
  <c r="H1811" i="1"/>
  <c r="E1812" i="1"/>
  <c r="F1812" i="1"/>
  <c r="H1812" i="1"/>
  <c r="E1813" i="1"/>
  <c r="F1813" i="1"/>
  <c r="H1813" i="1"/>
  <c r="E1814" i="1"/>
  <c r="F1814" i="1"/>
  <c r="H1814" i="1"/>
  <c r="E1815" i="1"/>
  <c r="F1815" i="1"/>
  <c r="H1815" i="1"/>
  <c r="E1816" i="1"/>
  <c r="F1816" i="1"/>
  <c r="H1816" i="1"/>
  <c r="E1817" i="1"/>
  <c r="F1817" i="1"/>
  <c r="H1817" i="1"/>
  <c r="E1818" i="1"/>
  <c r="F1818" i="1"/>
  <c r="H1818" i="1"/>
  <c r="E1819" i="1"/>
  <c r="F1819" i="1"/>
  <c r="H1819" i="1"/>
  <c r="E1820" i="1"/>
  <c r="F1820" i="1"/>
  <c r="H1820" i="1"/>
  <c r="E1821" i="1"/>
  <c r="F1821" i="1"/>
  <c r="H1821" i="1"/>
  <c r="E1822" i="1"/>
  <c r="F1822" i="1"/>
  <c r="H1822" i="1"/>
  <c r="E1823" i="1"/>
  <c r="F1823" i="1"/>
  <c r="H1823" i="1"/>
  <c r="E1824" i="1"/>
  <c r="F1824" i="1"/>
  <c r="H1824" i="1"/>
  <c r="E1825" i="1"/>
  <c r="F1825" i="1"/>
  <c r="H1825" i="1"/>
  <c r="E1826" i="1"/>
  <c r="F1826" i="1"/>
  <c r="H1826" i="1"/>
  <c r="E1827" i="1"/>
  <c r="F1827" i="1"/>
  <c r="H1827" i="1"/>
  <c r="E1828" i="1"/>
  <c r="F1828" i="1"/>
  <c r="H1828" i="1"/>
  <c r="E1829" i="1"/>
  <c r="F1829" i="1"/>
  <c r="H1829" i="1"/>
  <c r="E1830" i="1"/>
  <c r="F1830" i="1"/>
  <c r="H1830" i="1"/>
  <c r="E1831" i="1"/>
  <c r="F1831" i="1"/>
  <c r="H1831" i="1"/>
  <c r="E1832" i="1"/>
  <c r="F1832" i="1"/>
  <c r="H1832" i="1"/>
  <c r="E1833" i="1"/>
  <c r="F1833" i="1"/>
  <c r="H1833" i="1"/>
  <c r="E1834" i="1"/>
  <c r="F1834" i="1"/>
  <c r="H1834" i="1"/>
  <c r="E1835" i="1"/>
  <c r="F1835" i="1"/>
  <c r="H1835" i="1"/>
  <c r="E1836" i="1"/>
  <c r="F1836" i="1"/>
  <c r="H1836" i="1"/>
  <c r="E1837" i="1"/>
  <c r="F1837" i="1"/>
  <c r="H1837" i="1"/>
  <c r="E1838" i="1"/>
  <c r="F1838" i="1"/>
  <c r="H1838" i="1"/>
  <c r="E1839" i="1"/>
  <c r="F1839" i="1"/>
  <c r="H1839" i="1"/>
  <c r="E1840" i="1"/>
  <c r="F1840" i="1"/>
  <c r="H1840" i="1"/>
  <c r="E1841" i="1"/>
  <c r="F1841" i="1"/>
  <c r="H1841" i="1"/>
  <c r="E1842" i="1"/>
  <c r="F1842" i="1"/>
  <c r="H1842" i="1"/>
  <c r="E1843" i="1"/>
  <c r="F1843" i="1"/>
  <c r="H1843" i="1"/>
  <c r="E1844" i="1"/>
  <c r="F1844" i="1"/>
  <c r="H1844" i="1"/>
  <c r="E1845" i="1"/>
  <c r="F1845" i="1"/>
  <c r="H1845" i="1"/>
  <c r="E1846" i="1"/>
  <c r="F1846" i="1"/>
  <c r="H1846" i="1"/>
  <c r="E1847" i="1"/>
  <c r="F1847" i="1"/>
  <c r="H1847" i="1"/>
  <c r="E1848" i="1"/>
  <c r="F1848" i="1"/>
  <c r="H1848" i="1"/>
  <c r="E1849" i="1"/>
  <c r="F1849" i="1"/>
  <c r="H1849" i="1"/>
  <c r="E1850" i="1"/>
  <c r="F1850" i="1"/>
  <c r="H1850" i="1"/>
  <c r="E1851" i="1"/>
  <c r="F1851" i="1"/>
  <c r="H1851" i="1"/>
  <c r="E1852" i="1"/>
  <c r="F1852" i="1"/>
  <c r="H1852" i="1"/>
  <c r="E1853" i="1"/>
  <c r="F1853" i="1"/>
  <c r="H1853" i="1"/>
  <c r="E1854" i="1"/>
  <c r="F1854" i="1"/>
  <c r="H1854" i="1"/>
  <c r="E1855" i="1"/>
  <c r="F1855" i="1"/>
  <c r="H1855" i="1"/>
  <c r="E1856" i="1"/>
  <c r="F1856" i="1"/>
  <c r="H1856" i="1"/>
  <c r="E1857" i="1"/>
  <c r="F1857" i="1"/>
  <c r="H1857" i="1"/>
  <c r="E1858" i="1"/>
  <c r="F1858" i="1"/>
  <c r="H1858" i="1"/>
  <c r="E1859" i="1"/>
  <c r="F1859" i="1"/>
  <c r="H1859" i="1"/>
  <c r="E1860" i="1"/>
  <c r="F1860" i="1"/>
  <c r="H1860" i="1"/>
  <c r="E1861" i="1"/>
  <c r="F1861" i="1"/>
  <c r="H1861" i="1"/>
  <c r="E1862" i="1"/>
  <c r="F1862" i="1"/>
  <c r="H1862" i="1"/>
  <c r="E1863" i="1"/>
  <c r="F1863" i="1"/>
  <c r="H1863" i="1"/>
  <c r="E1864" i="1"/>
  <c r="F1864" i="1"/>
  <c r="H1864" i="1"/>
  <c r="E1865" i="1"/>
  <c r="F1865" i="1"/>
  <c r="H1865" i="1"/>
  <c r="E1866" i="1"/>
  <c r="F1866" i="1"/>
  <c r="H1866" i="1"/>
  <c r="E1867" i="1"/>
  <c r="F1867" i="1"/>
  <c r="H1867" i="1"/>
  <c r="E1868" i="1"/>
  <c r="F1868" i="1"/>
  <c r="H1868" i="1"/>
  <c r="E1869" i="1"/>
  <c r="F1869" i="1"/>
  <c r="H1869" i="1"/>
  <c r="E1870" i="1"/>
  <c r="F1870" i="1"/>
  <c r="H1870" i="1"/>
  <c r="E1871" i="1"/>
  <c r="F1871" i="1"/>
  <c r="H1871" i="1"/>
  <c r="E1872" i="1"/>
  <c r="F1872" i="1"/>
  <c r="H1872" i="1"/>
  <c r="E1873" i="1"/>
  <c r="F1873" i="1"/>
  <c r="H1873" i="1"/>
  <c r="E1874" i="1"/>
  <c r="F1874" i="1"/>
  <c r="H1874" i="1"/>
  <c r="E1875" i="1"/>
  <c r="F1875" i="1"/>
  <c r="H1875" i="1"/>
  <c r="E1876" i="1"/>
  <c r="F1876" i="1"/>
  <c r="H1876" i="1"/>
  <c r="E1877" i="1"/>
  <c r="F1877" i="1"/>
  <c r="H1877" i="1"/>
  <c r="E1878" i="1"/>
  <c r="F1878" i="1"/>
  <c r="H1878" i="1"/>
  <c r="E1879" i="1"/>
  <c r="F1879" i="1"/>
  <c r="H1879" i="1"/>
  <c r="E1880" i="1"/>
  <c r="F1880" i="1"/>
  <c r="H1880" i="1"/>
  <c r="E1881" i="1"/>
  <c r="F1881" i="1"/>
  <c r="H1881" i="1"/>
  <c r="E1882" i="1"/>
  <c r="F1882" i="1"/>
  <c r="H1882" i="1"/>
  <c r="E1883" i="1"/>
  <c r="F1883" i="1"/>
  <c r="H1883" i="1"/>
  <c r="E1884" i="1"/>
  <c r="F1884" i="1"/>
  <c r="H1884" i="1"/>
  <c r="E1885" i="1"/>
  <c r="F1885" i="1"/>
  <c r="H1885" i="1"/>
  <c r="E1886" i="1"/>
  <c r="F1886" i="1"/>
  <c r="H1886" i="1"/>
  <c r="E1887" i="1"/>
  <c r="F1887" i="1"/>
  <c r="H1887" i="1"/>
  <c r="E1888" i="1"/>
  <c r="F1888" i="1"/>
  <c r="H1888" i="1"/>
  <c r="E1889" i="1"/>
  <c r="F1889" i="1"/>
  <c r="H1889" i="1"/>
  <c r="E1890" i="1"/>
  <c r="F1890" i="1"/>
  <c r="H1890" i="1"/>
  <c r="E1891" i="1"/>
  <c r="F1891" i="1"/>
  <c r="H1891" i="1"/>
  <c r="E1892" i="1"/>
  <c r="F1892" i="1"/>
  <c r="H1892" i="1"/>
  <c r="E1893" i="1"/>
  <c r="F1893" i="1"/>
  <c r="H1893" i="1"/>
  <c r="E1894" i="1"/>
  <c r="F1894" i="1"/>
  <c r="H1894" i="1"/>
  <c r="E1895" i="1"/>
  <c r="F1895" i="1"/>
  <c r="H1895" i="1"/>
  <c r="E1896" i="1"/>
  <c r="F1896" i="1"/>
  <c r="H1896" i="1"/>
  <c r="E1897" i="1"/>
  <c r="F1897" i="1"/>
  <c r="H1897" i="1"/>
  <c r="E1898" i="1"/>
  <c r="F1898" i="1"/>
  <c r="H1898" i="1"/>
  <c r="E1899" i="1"/>
  <c r="F1899" i="1"/>
  <c r="H1899" i="1"/>
  <c r="E1900" i="1"/>
  <c r="F1900" i="1"/>
  <c r="H1900" i="1"/>
  <c r="E1901" i="1"/>
  <c r="F1901" i="1"/>
  <c r="H1901" i="1"/>
  <c r="E1902" i="1"/>
  <c r="F1902" i="1"/>
  <c r="H1902" i="1"/>
  <c r="E1903" i="1"/>
  <c r="F1903" i="1"/>
  <c r="H1903" i="1"/>
  <c r="E1904" i="1"/>
  <c r="F1904" i="1"/>
  <c r="H1904" i="1"/>
  <c r="E1905" i="1"/>
  <c r="F1905" i="1"/>
  <c r="H1905" i="1"/>
  <c r="E1906" i="1"/>
  <c r="F1906" i="1"/>
  <c r="H1906" i="1"/>
  <c r="E1907" i="1"/>
  <c r="F1907" i="1"/>
  <c r="H1907" i="1"/>
  <c r="E1908" i="1"/>
  <c r="F1908" i="1"/>
  <c r="H1908" i="1"/>
  <c r="E1909" i="1"/>
  <c r="F1909" i="1"/>
  <c r="H1909" i="1"/>
  <c r="E1910" i="1"/>
  <c r="F1910" i="1"/>
  <c r="H1910" i="1"/>
  <c r="E1911" i="1"/>
  <c r="F1911" i="1"/>
  <c r="H1911" i="1"/>
  <c r="E1912" i="1"/>
  <c r="F1912" i="1"/>
  <c r="H1912" i="1"/>
  <c r="E1913" i="1"/>
  <c r="F1913" i="1"/>
  <c r="H1913" i="1"/>
  <c r="E1914" i="1"/>
  <c r="F1914" i="1"/>
  <c r="H1914" i="1"/>
  <c r="E1915" i="1"/>
  <c r="F1915" i="1"/>
  <c r="H1915" i="1"/>
  <c r="E1916" i="1"/>
  <c r="F1916" i="1"/>
  <c r="H1916" i="1"/>
  <c r="E1917" i="1"/>
  <c r="F1917" i="1"/>
  <c r="H1917" i="1"/>
  <c r="E1918" i="1"/>
  <c r="F1918" i="1"/>
  <c r="H1918" i="1"/>
  <c r="E1919" i="1"/>
  <c r="F1919" i="1"/>
  <c r="H1919" i="1"/>
  <c r="E1920" i="1"/>
  <c r="F1920" i="1"/>
  <c r="H1920" i="1"/>
  <c r="E1921" i="1"/>
  <c r="F1921" i="1"/>
  <c r="H1921" i="1"/>
  <c r="E1922" i="1"/>
  <c r="F1922" i="1"/>
  <c r="H1922" i="1"/>
  <c r="E1923" i="1"/>
  <c r="F1923" i="1"/>
  <c r="H1923" i="1"/>
  <c r="E1924" i="1"/>
  <c r="F1924" i="1"/>
  <c r="H1924" i="1"/>
  <c r="E1925" i="1"/>
  <c r="F1925" i="1"/>
  <c r="H1925" i="1"/>
  <c r="E1926" i="1"/>
  <c r="F1926" i="1"/>
  <c r="H1926" i="1"/>
  <c r="E1927" i="1"/>
  <c r="F1927" i="1"/>
  <c r="H1927" i="1"/>
  <c r="E1928" i="1"/>
  <c r="F1928" i="1"/>
  <c r="H1928" i="1"/>
  <c r="E1929" i="1"/>
  <c r="F1929" i="1"/>
  <c r="H1929" i="1"/>
  <c r="E1930" i="1"/>
  <c r="F1930" i="1"/>
  <c r="H1930" i="1"/>
  <c r="E1931" i="1"/>
  <c r="F1931" i="1"/>
  <c r="H1931" i="1"/>
  <c r="E1932" i="1"/>
  <c r="F1932" i="1"/>
  <c r="H1932" i="1"/>
  <c r="E1933" i="1"/>
  <c r="F1933" i="1"/>
  <c r="H1933" i="1"/>
  <c r="E1934" i="1"/>
  <c r="F1934" i="1"/>
  <c r="H1934" i="1"/>
  <c r="E1935" i="1"/>
  <c r="F1935" i="1"/>
  <c r="H1935" i="1"/>
  <c r="E1936" i="1"/>
  <c r="F1936" i="1"/>
  <c r="H1936" i="1"/>
  <c r="E1937" i="1"/>
  <c r="F1937" i="1"/>
  <c r="H1937" i="1"/>
  <c r="E1938" i="1"/>
  <c r="F1938" i="1"/>
  <c r="H1938" i="1"/>
  <c r="E1939" i="1"/>
  <c r="F1939" i="1"/>
  <c r="H1939" i="1"/>
  <c r="E1940" i="1"/>
  <c r="F1940" i="1"/>
  <c r="H1940" i="1"/>
  <c r="E1941" i="1"/>
  <c r="F1941" i="1"/>
  <c r="H1941" i="1"/>
  <c r="E1942" i="1"/>
  <c r="F1942" i="1"/>
  <c r="H1942" i="1"/>
  <c r="E1943" i="1"/>
  <c r="F1943" i="1"/>
  <c r="H1943" i="1"/>
  <c r="E1944" i="1"/>
  <c r="F1944" i="1"/>
  <c r="H1944" i="1"/>
  <c r="E1945" i="1"/>
  <c r="F1945" i="1"/>
  <c r="H1945" i="1"/>
  <c r="E1946" i="1"/>
  <c r="F1946" i="1"/>
  <c r="H1946" i="1"/>
  <c r="E1947" i="1"/>
  <c r="F1947" i="1"/>
  <c r="H1947" i="1"/>
  <c r="E1948" i="1"/>
  <c r="F1948" i="1"/>
  <c r="H1948" i="1"/>
  <c r="E1949" i="1"/>
  <c r="F1949" i="1"/>
  <c r="H1949" i="1"/>
  <c r="E1950" i="1"/>
  <c r="F1950" i="1"/>
  <c r="H1950" i="1"/>
  <c r="E1951" i="1"/>
  <c r="F1951" i="1"/>
  <c r="H1951" i="1"/>
  <c r="E1952" i="1"/>
  <c r="F1952" i="1"/>
  <c r="H1952" i="1"/>
  <c r="E1953" i="1"/>
  <c r="F1953" i="1"/>
  <c r="H1953" i="1"/>
  <c r="E1954" i="1"/>
  <c r="F1954" i="1"/>
  <c r="H1954" i="1"/>
  <c r="E1955" i="1"/>
  <c r="F1955" i="1"/>
  <c r="H1955" i="1"/>
  <c r="E1956" i="1"/>
  <c r="F1956" i="1"/>
  <c r="H1956" i="1"/>
  <c r="E1957" i="1"/>
  <c r="F1957" i="1"/>
  <c r="H1957" i="1"/>
  <c r="E1958" i="1"/>
  <c r="F1958" i="1"/>
  <c r="H1958" i="1"/>
  <c r="E1959" i="1"/>
  <c r="F1959" i="1"/>
  <c r="H1959" i="1"/>
  <c r="E1960" i="1"/>
  <c r="F1960" i="1"/>
  <c r="H1960" i="1"/>
  <c r="E1961" i="1"/>
  <c r="F1961" i="1"/>
  <c r="H1961" i="1"/>
  <c r="E1962" i="1"/>
  <c r="F1962" i="1"/>
  <c r="H1962" i="1"/>
  <c r="E1963" i="1"/>
  <c r="F1963" i="1"/>
  <c r="H1963" i="1"/>
  <c r="E1964" i="1"/>
  <c r="F1964" i="1"/>
  <c r="H1964" i="1"/>
  <c r="E1965" i="1"/>
  <c r="F1965" i="1"/>
  <c r="H1965" i="1"/>
  <c r="E1966" i="1"/>
  <c r="F1966" i="1"/>
  <c r="H1966" i="1"/>
  <c r="E1967" i="1"/>
  <c r="F1967" i="1"/>
  <c r="H1967" i="1"/>
  <c r="E1968" i="1"/>
  <c r="F1968" i="1"/>
  <c r="H1968" i="1"/>
  <c r="E1969" i="1"/>
  <c r="F1969" i="1"/>
  <c r="H1969" i="1"/>
  <c r="E1970" i="1"/>
  <c r="F1970" i="1"/>
  <c r="H1970" i="1"/>
  <c r="E1971" i="1"/>
  <c r="F1971" i="1"/>
  <c r="H1971" i="1"/>
  <c r="E1972" i="1"/>
  <c r="F1972" i="1"/>
  <c r="H1972" i="1"/>
  <c r="E1973" i="1"/>
  <c r="F1973" i="1"/>
  <c r="H1973" i="1"/>
  <c r="E1974" i="1"/>
  <c r="F1974" i="1"/>
  <c r="H1974" i="1"/>
  <c r="E1975" i="1"/>
  <c r="F1975" i="1"/>
  <c r="H1975" i="1"/>
  <c r="E1976" i="1"/>
  <c r="F1976" i="1"/>
  <c r="H1976" i="1"/>
  <c r="E1977" i="1"/>
  <c r="F1977" i="1"/>
  <c r="H1977" i="1"/>
  <c r="E1978" i="1"/>
  <c r="F1978" i="1"/>
  <c r="H1978" i="1"/>
  <c r="E1979" i="1"/>
  <c r="F1979" i="1"/>
  <c r="H1979" i="1"/>
  <c r="E1980" i="1"/>
  <c r="F1980" i="1"/>
  <c r="H1980" i="1"/>
  <c r="E1981" i="1"/>
  <c r="F1981" i="1"/>
  <c r="H1981" i="1"/>
  <c r="E1982" i="1"/>
  <c r="F1982" i="1"/>
  <c r="H1982" i="1"/>
  <c r="E1983" i="1"/>
  <c r="F1983" i="1"/>
  <c r="H1983" i="1"/>
  <c r="E1984" i="1"/>
  <c r="F1984" i="1"/>
  <c r="H1984" i="1"/>
  <c r="E1985" i="1"/>
  <c r="F1985" i="1"/>
  <c r="H1985" i="1"/>
  <c r="E1986" i="1"/>
  <c r="F1986" i="1"/>
  <c r="H1986" i="1"/>
  <c r="E1987" i="1"/>
  <c r="F1987" i="1"/>
  <c r="H1987" i="1"/>
  <c r="E1988" i="1"/>
  <c r="F1988" i="1"/>
  <c r="H1988" i="1"/>
  <c r="E1989" i="1"/>
  <c r="F1989" i="1"/>
  <c r="H1989" i="1"/>
  <c r="E1990" i="1"/>
  <c r="F1990" i="1"/>
  <c r="H1990" i="1"/>
  <c r="E1991" i="1"/>
  <c r="F1991" i="1"/>
  <c r="H1991" i="1"/>
  <c r="E1992" i="1"/>
  <c r="F1992" i="1"/>
  <c r="H1992" i="1"/>
  <c r="E1993" i="1"/>
  <c r="F1993" i="1"/>
  <c r="H1993" i="1"/>
  <c r="E1994" i="1"/>
  <c r="F1994" i="1"/>
  <c r="H1994" i="1"/>
  <c r="E1995" i="1"/>
  <c r="F1995" i="1"/>
  <c r="H1995" i="1"/>
  <c r="E1996" i="1"/>
  <c r="F1996" i="1"/>
  <c r="H1996" i="1"/>
  <c r="E1997" i="1"/>
  <c r="F1997" i="1"/>
  <c r="H1997" i="1"/>
  <c r="E1998" i="1"/>
  <c r="F1998" i="1"/>
  <c r="H1998" i="1"/>
  <c r="E1999" i="1"/>
  <c r="F1999" i="1"/>
  <c r="H1999" i="1"/>
  <c r="E2000" i="1"/>
  <c r="F2000" i="1"/>
  <c r="H2000" i="1"/>
  <c r="E2001" i="1"/>
  <c r="F2001" i="1"/>
  <c r="H2001" i="1"/>
  <c r="E2002" i="1"/>
  <c r="F2002" i="1"/>
  <c r="H2002" i="1"/>
  <c r="E2003" i="1"/>
  <c r="F2003" i="1"/>
  <c r="H2003" i="1"/>
  <c r="E2004" i="1"/>
  <c r="F2004" i="1"/>
  <c r="H2004" i="1"/>
  <c r="E2005" i="1"/>
  <c r="F2005" i="1"/>
  <c r="H2005" i="1"/>
  <c r="E2006" i="1"/>
  <c r="F2006" i="1"/>
  <c r="H2006" i="1"/>
  <c r="E2007" i="1"/>
  <c r="F2007" i="1"/>
  <c r="H2007" i="1"/>
  <c r="E2008" i="1"/>
  <c r="F2008" i="1"/>
  <c r="H2008" i="1"/>
  <c r="E2009" i="1"/>
  <c r="F2009" i="1"/>
  <c r="H2009" i="1"/>
  <c r="E2010" i="1"/>
  <c r="F2010" i="1"/>
  <c r="H2010" i="1"/>
  <c r="E2011" i="1"/>
  <c r="F2011" i="1"/>
  <c r="H2011" i="1"/>
  <c r="E2012" i="1"/>
  <c r="F2012" i="1"/>
  <c r="H2012" i="1"/>
  <c r="E2013" i="1"/>
  <c r="F2013" i="1"/>
  <c r="H2013" i="1"/>
  <c r="E2014" i="1"/>
  <c r="F2014" i="1"/>
  <c r="H2014" i="1"/>
  <c r="E2015" i="1"/>
  <c r="F2015" i="1"/>
  <c r="H2015" i="1"/>
  <c r="E2016" i="1"/>
  <c r="F2016" i="1"/>
  <c r="H2016" i="1"/>
  <c r="E2017" i="1"/>
  <c r="F2017" i="1"/>
  <c r="H2017" i="1"/>
  <c r="E2018" i="1"/>
  <c r="F2018" i="1"/>
  <c r="H2018" i="1"/>
  <c r="E2019" i="1"/>
  <c r="F2019" i="1"/>
  <c r="H2019" i="1"/>
  <c r="E2020" i="1"/>
  <c r="F2020" i="1"/>
  <c r="H2020" i="1"/>
  <c r="E2021" i="1"/>
  <c r="F2021" i="1"/>
  <c r="H2021" i="1"/>
  <c r="E2022" i="1"/>
  <c r="F2022" i="1"/>
  <c r="H2022" i="1"/>
  <c r="E2023" i="1"/>
  <c r="F2023" i="1"/>
  <c r="H2023" i="1"/>
  <c r="E2024" i="1"/>
  <c r="F2024" i="1"/>
  <c r="H2024" i="1"/>
  <c r="E2025" i="1"/>
  <c r="F2025" i="1"/>
  <c r="H2025" i="1"/>
  <c r="E2026" i="1"/>
  <c r="F2026" i="1"/>
  <c r="H2026" i="1"/>
  <c r="E2027" i="1"/>
  <c r="F2027" i="1"/>
  <c r="H2027" i="1"/>
  <c r="E2028" i="1"/>
  <c r="F2028" i="1"/>
  <c r="H2028" i="1"/>
  <c r="E2029" i="1"/>
  <c r="F2029" i="1"/>
  <c r="H2029" i="1"/>
  <c r="E2030" i="1"/>
  <c r="F2030" i="1"/>
  <c r="H2030" i="1"/>
  <c r="E2031" i="1"/>
  <c r="F2031" i="1"/>
  <c r="H2031" i="1"/>
  <c r="E2032" i="1"/>
  <c r="F2032" i="1"/>
  <c r="H2032" i="1"/>
  <c r="E2033" i="1"/>
  <c r="F2033" i="1"/>
  <c r="H2033" i="1"/>
  <c r="E2034" i="1"/>
  <c r="F2034" i="1"/>
  <c r="H2034" i="1"/>
  <c r="E2035" i="1"/>
  <c r="F2035" i="1"/>
  <c r="H2035" i="1"/>
  <c r="E2036" i="1"/>
  <c r="F2036" i="1"/>
  <c r="H2036" i="1"/>
  <c r="E2037" i="1"/>
  <c r="F2037" i="1"/>
  <c r="H2037" i="1"/>
  <c r="E2038" i="1"/>
  <c r="F2038" i="1"/>
  <c r="H2038" i="1"/>
  <c r="E2039" i="1"/>
  <c r="F2039" i="1"/>
  <c r="H2039" i="1"/>
  <c r="E2040" i="1"/>
  <c r="F2040" i="1"/>
  <c r="H2040" i="1"/>
  <c r="E2041" i="1"/>
  <c r="F2041" i="1"/>
  <c r="H2041" i="1"/>
  <c r="E2042" i="1"/>
  <c r="F2042" i="1"/>
  <c r="H2042" i="1"/>
  <c r="E2043" i="1"/>
  <c r="F2043" i="1"/>
  <c r="H2043" i="1"/>
  <c r="E2044" i="1"/>
  <c r="F2044" i="1"/>
  <c r="H2044" i="1"/>
  <c r="E2045" i="1"/>
  <c r="F2045" i="1"/>
  <c r="H2045" i="1"/>
  <c r="E2046" i="1"/>
  <c r="F2046" i="1"/>
  <c r="H2046" i="1"/>
  <c r="E2047" i="1"/>
  <c r="F2047" i="1"/>
  <c r="H2047" i="1"/>
  <c r="E2048" i="1"/>
  <c r="F2048" i="1"/>
  <c r="H2048" i="1"/>
  <c r="E2049" i="1"/>
  <c r="F2049" i="1"/>
  <c r="H2049" i="1"/>
  <c r="E2050" i="1"/>
  <c r="F2050" i="1"/>
  <c r="H2050" i="1"/>
  <c r="E2051" i="1"/>
  <c r="F2051" i="1"/>
  <c r="H2051" i="1"/>
  <c r="E2052" i="1"/>
  <c r="F2052" i="1"/>
  <c r="H2052" i="1"/>
  <c r="E2053" i="1"/>
  <c r="F2053" i="1"/>
  <c r="H2053" i="1"/>
  <c r="E2054" i="1"/>
  <c r="F2054" i="1"/>
  <c r="H2054" i="1"/>
  <c r="E2055" i="1"/>
  <c r="F2055" i="1"/>
  <c r="H2055" i="1"/>
  <c r="E2056" i="1"/>
  <c r="F2056" i="1"/>
  <c r="H2056" i="1"/>
  <c r="E2057" i="1"/>
  <c r="F2057" i="1"/>
  <c r="H2057" i="1"/>
  <c r="E2058" i="1"/>
  <c r="F2058" i="1"/>
  <c r="H2058" i="1"/>
  <c r="E2059" i="1"/>
  <c r="F2059" i="1"/>
  <c r="H2059" i="1"/>
  <c r="E2060" i="1"/>
  <c r="F2060" i="1"/>
  <c r="H2060" i="1"/>
  <c r="E2061" i="1"/>
  <c r="F2061" i="1"/>
  <c r="H2061" i="1"/>
  <c r="E2062" i="1"/>
  <c r="F2062" i="1"/>
  <c r="H2062" i="1"/>
  <c r="E2063" i="1"/>
  <c r="F2063" i="1"/>
  <c r="H2063" i="1"/>
  <c r="E2064" i="1"/>
  <c r="F2064" i="1"/>
  <c r="H2064" i="1"/>
  <c r="E2065" i="1"/>
  <c r="F2065" i="1"/>
  <c r="H2065" i="1"/>
  <c r="E2066" i="1"/>
  <c r="F2066" i="1"/>
  <c r="H2066" i="1"/>
  <c r="E2067" i="1"/>
  <c r="F2067" i="1"/>
  <c r="H2067" i="1"/>
  <c r="E2068" i="1"/>
  <c r="F2068" i="1"/>
  <c r="H2068" i="1"/>
  <c r="E2069" i="1"/>
  <c r="F2069" i="1"/>
  <c r="H2069" i="1"/>
  <c r="E2070" i="1"/>
  <c r="F2070" i="1"/>
  <c r="H2070" i="1"/>
  <c r="E2071" i="1"/>
  <c r="F2071" i="1"/>
  <c r="H2071" i="1"/>
  <c r="E2072" i="1"/>
  <c r="F2072" i="1"/>
  <c r="H2072" i="1"/>
  <c r="E2073" i="1"/>
  <c r="F2073" i="1"/>
  <c r="H2073" i="1"/>
  <c r="E2074" i="1"/>
  <c r="F2074" i="1"/>
  <c r="H2074" i="1"/>
  <c r="E2075" i="1"/>
  <c r="F2075" i="1"/>
  <c r="H2075" i="1"/>
  <c r="E2076" i="1"/>
  <c r="F2076" i="1"/>
  <c r="H2076" i="1"/>
  <c r="E2077" i="1"/>
  <c r="F2077" i="1"/>
  <c r="H2077" i="1"/>
  <c r="E2078" i="1"/>
  <c r="F2078" i="1"/>
  <c r="H2078" i="1"/>
  <c r="E2079" i="1"/>
  <c r="F2079" i="1"/>
  <c r="H2079" i="1"/>
  <c r="E2080" i="1"/>
  <c r="F2080" i="1"/>
  <c r="H2080" i="1"/>
  <c r="E2081" i="1"/>
  <c r="F2081" i="1"/>
  <c r="H2081" i="1"/>
  <c r="E2082" i="1"/>
  <c r="F2082" i="1"/>
  <c r="H2082" i="1"/>
  <c r="E2083" i="1"/>
  <c r="F2083" i="1"/>
  <c r="H2083" i="1"/>
  <c r="E2084" i="1"/>
  <c r="F2084" i="1"/>
  <c r="H2084" i="1"/>
  <c r="E2085" i="1"/>
  <c r="F2085" i="1"/>
  <c r="H2085" i="1"/>
  <c r="E2086" i="1"/>
  <c r="F2086" i="1"/>
  <c r="H2086" i="1"/>
  <c r="E2087" i="1"/>
  <c r="F2087" i="1"/>
  <c r="H2087" i="1"/>
  <c r="E2088" i="1"/>
  <c r="F2088" i="1"/>
  <c r="H2088" i="1"/>
  <c r="E2089" i="1"/>
  <c r="F2089" i="1"/>
  <c r="H2089" i="1"/>
  <c r="E2090" i="1"/>
  <c r="F2090" i="1"/>
  <c r="H2090" i="1"/>
  <c r="E2091" i="1"/>
  <c r="F2091" i="1"/>
  <c r="H2091" i="1"/>
  <c r="E2092" i="1"/>
  <c r="F2092" i="1"/>
  <c r="H2092" i="1"/>
  <c r="E2093" i="1"/>
  <c r="F2093" i="1"/>
  <c r="H2093" i="1"/>
  <c r="E2094" i="1"/>
  <c r="F2094" i="1"/>
  <c r="H2094" i="1"/>
  <c r="E2095" i="1"/>
  <c r="F2095" i="1"/>
  <c r="H2095" i="1"/>
  <c r="E2096" i="1"/>
  <c r="F2096" i="1"/>
  <c r="H2096" i="1"/>
  <c r="E2097" i="1"/>
  <c r="F2097" i="1"/>
  <c r="H2097" i="1"/>
  <c r="E2098" i="1"/>
  <c r="F2098" i="1"/>
  <c r="H2098" i="1"/>
  <c r="E2099" i="1"/>
  <c r="F2099" i="1"/>
  <c r="H2099" i="1"/>
  <c r="E2100" i="1"/>
  <c r="F2100" i="1"/>
  <c r="H2100" i="1"/>
  <c r="E2101" i="1"/>
  <c r="F2101" i="1"/>
  <c r="H2101" i="1"/>
  <c r="E2102" i="1"/>
  <c r="F2102" i="1"/>
  <c r="H2102" i="1"/>
  <c r="E2103" i="1"/>
  <c r="F2103" i="1"/>
  <c r="H2103" i="1"/>
  <c r="E2104" i="1"/>
  <c r="F2104" i="1"/>
  <c r="H2104" i="1"/>
  <c r="E2105" i="1"/>
  <c r="F2105" i="1"/>
  <c r="H2105" i="1"/>
  <c r="E2106" i="1"/>
  <c r="F2106" i="1"/>
  <c r="H2106" i="1"/>
  <c r="E2107" i="1"/>
  <c r="F2107" i="1"/>
  <c r="H2107" i="1"/>
  <c r="E2108" i="1"/>
  <c r="F2108" i="1"/>
  <c r="H2108" i="1"/>
  <c r="E2109" i="1"/>
  <c r="F2109" i="1"/>
  <c r="H2109" i="1"/>
  <c r="E2110" i="1"/>
  <c r="F2110" i="1"/>
  <c r="H2110" i="1"/>
  <c r="E2111" i="1"/>
  <c r="F2111" i="1"/>
  <c r="H2111" i="1"/>
  <c r="E2112" i="1"/>
  <c r="F2112" i="1"/>
  <c r="H2112" i="1"/>
  <c r="E2113" i="1"/>
  <c r="F2113" i="1"/>
  <c r="H2113" i="1"/>
  <c r="E2114" i="1"/>
  <c r="F2114" i="1"/>
  <c r="H2114" i="1"/>
  <c r="E2115" i="1"/>
  <c r="F2115" i="1"/>
  <c r="H2115" i="1"/>
  <c r="E2116" i="1"/>
  <c r="F2116" i="1"/>
  <c r="H2116" i="1"/>
  <c r="E2117" i="1"/>
  <c r="F2117" i="1"/>
  <c r="H2117" i="1"/>
  <c r="E2118" i="1"/>
  <c r="F2118" i="1"/>
  <c r="H2118" i="1"/>
  <c r="E2119" i="1"/>
  <c r="F2119" i="1"/>
  <c r="H2119" i="1"/>
  <c r="E2120" i="1"/>
  <c r="F2120" i="1"/>
  <c r="H2120" i="1"/>
  <c r="E2121" i="1"/>
  <c r="F2121" i="1"/>
  <c r="H2121" i="1"/>
  <c r="E2122" i="1"/>
  <c r="F2122" i="1"/>
  <c r="H2122" i="1"/>
  <c r="E2123" i="1"/>
  <c r="F2123" i="1"/>
  <c r="H2123" i="1"/>
  <c r="E2124" i="1"/>
  <c r="F2124" i="1"/>
  <c r="H2124" i="1"/>
  <c r="E2125" i="1"/>
  <c r="F2125" i="1"/>
  <c r="H2125" i="1"/>
  <c r="E2126" i="1"/>
  <c r="F2126" i="1"/>
  <c r="H2126" i="1"/>
  <c r="E2127" i="1"/>
  <c r="F2127" i="1"/>
  <c r="H2127" i="1"/>
  <c r="E2128" i="1"/>
  <c r="F2128" i="1"/>
  <c r="H2128" i="1"/>
  <c r="E2129" i="1"/>
  <c r="F2129" i="1"/>
  <c r="H2129" i="1"/>
  <c r="E2130" i="1"/>
  <c r="F2130" i="1"/>
  <c r="H2130" i="1"/>
  <c r="E2131" i="1"/>
  <c r="F2131" i="1"/>
  <c r="H2131" i="1"/>
  <c r="E2132" i="1"/>
  <c r="F2132" i="1"/>
  <c r="H2132" i="1"/>
  <c r="E2133" i="1"/>
  <c r="F2133" i="1"/>
  <c r="H2133" i="1"/>
  <c r="E2134" i="1"/>
  <c r="F2134" i="1"/>
  <c r="H2134" i="1"/>
  <c r="E2135" i="1"/>
  <c r="F2135" i="1"/>
  <c r="H2135" i="1"/>
  <c r="E2136" i="1"/>
  <c r="F2136" i="1"/>
  <c r="H2136" i="1"/>
  <c r="E2137" i="1"/>
  <c r="F2137" i="1"/>
  <c r="H2137" i="1"/>
  <c r="E2138" i="1"/>
  <c r="F2138" i="1"/>
  <c r="H2138" i="1"/>
  <c r="E2139" i="1"/>
  <c r="F2139" i="1"/>
  <c r="H2139" i="1"/>
  <c r="E2140" i="1"/>
  <c r="F2140" i="1"/>
  <c r="H2140" i="1"/>
  <c r="E2141" i="1"/>
  <c r="F2141" i="1"/>
  <c r="H2141" i="1"/>
  <c r="E2142" i="1"/>
  <c r="F2142" i="1"/>
  <c r="H2142" i="1"/>
  <c r="E2143" i="1"/>
  <c r="F2143" i="1"/>
  <c r="H2143" i="1"/>
  <c r="E2144" i="1"/>
  <c r="F2144" i="1"/>
  <c r="H2144" i="1"/>
  <c r="E2145" i="1"/>
  <c r="F2145" i="1"/>
  <c r="H2145" i="1"/>
  <c r="E2146" i="1"/>
  <c r="F2146" i="1"/>
  <c r="H2146" i="1"/>
  <c r="E2147" i="1"/>
  <c r="F2147" i="1"/>
  <c r="H2147" i="1"/>
  <c r="E2148" i="1"/>
  <c r="F2148" i="1"/>
  <c r="H2148" i="1"/>
  <c r="E2149" i="1"/>
  <c r="F2149" i="1"/>
  <c r="H2149" i="1"/>
  <c r="E2150" i="1"/>
  <c r="F2150" i="1"/>
  <c r="H2150" i="1"/>
  <c r="E2151" i="1"/>
  <c r="F2151" i="1"/>
  <c r="H2151" i="1"/>
  <c r="E2152" i="1"/>
  <c r="F2152" i="1"/>
  <c r="H2152" i="1"/>
  <c r="E2153" i="1"/>
  <c r="F2153" i="1"/>
  <c r="H2153" i="1"/>
  <c r="E2154" i="1"/>
  <c r="F2154" i="1"/>
  <c r="H2154" i="1"/>
  <c r="E2155" i="1"/>
  <c r="F2155" i="1"/>
  <c r="H2155" i="1"/>
  <c r="E2156" i="1"/>
  <c r="F2156" i="1"/>
  <c r="H2156" i="1"/>
  <c r="E2157" i="1"/>
  <c r="F2157" i="1"/>
  <c r="H2157" i="1"/>
  <c r="E2158" i="1"/>
  <c r="F2158" i="1"/>
  <c r="H2158" i="1"/>
  <c r="E2159" i="1"/>
  <c r="F2159" i="1"/>
  <c r="H2159" i="1"/>
  <c r="E2160" i="1"/>
  <c r="F2160" i="1"/>
  <c r="H2160" i="1"/>
  <c r="E2161" i="1"/>
  <c r="F2161" i="1"/>
  <c r="H2161" i="1"/>
  <c r="E2162" i="1"/>
  <c r="F2162" i="1"/>
  <c r="H2162" i="1"/>
  <c r="E2163" i="1"/>
  <c r="F2163" i="1"/>
  <c r="H2163" i="1"/>
  <c r="E2164" i="1"/>
  <c r="F2164" i="1"/>
  <c r="H2164" i="1"/>
  <c r="E2165" i="1"/>
  <c r="F2165" i="1"/>
  <c r="H2165" i="1"/>
  <c r="E2166" i="1"/>
  <c r="F2166" i="1"/>
  <c r="H2166" i="1"/>
  <c r="E2167" i="1"/>
  <c r="F2167" i="1"/>
  <c r="H2167" i="1"/>
  <c r="E2168" i="1"/>
  <c r="F2168" i="1"/>
  <c r="H2168" i="1"/>
  <c r="E2169" i="1"/>
  <c r="F2169" i="1"/>
  <c r="H2169" i="1"/>
  <c r="E2170" i="1"/>
  <c r="F2170" i="1"/>
  <c r="H2170" i="1"/>
  <c r="E2171" i="1"/>
  <c r="F2171" i="1"/>
  <c r="H2171" i="1"/>
  <c r="E2172" i="1"/>
  <c r="F2172" i="1"/>
  <c r="H2172" i="1"/>
  <c r="E2173" i="1"/>
  <c r="F2173" i="1"/>
  <c r="H2173" i="1"/>
  <c r="E2174" i="1"/>
  <c r="F2174" i="1"/>
  <c r="H2174" i="1"/>
  <c r="E2175" i="1"/>
  <c r="F2175" i="1"/>
  <c r="H2175" i="1"/>
  <c r="E2176" i="1"/>
  <c r="F2176" i="1"/>
  <c r="H2176" i="1"/>
  <c r="E2177" i="1"/>
  <c r="F2177" i="1"/>
  <c r="H2177" i="1"/>
  <c r="E2178" i="1"/>
  <c r="F2178" i="1"/>
  <c r="H2178" i="1"/>
  <c r="E2179" i="1"/>
  <c r="F2179" i="1"/>
  <c r="H2179" i="1"/>
  <c r="E2180" i="1"/>
  <c r="F2180" i="1"/>
  <c r="H2180" i="1"/>
  <c r="E2181" i="1"/>
  <c r="F2181" i="1"/>
  <c r="H2181" i="1"/>
  <c r="E2182" i="1"/>
  <c r="F2182" i="1"/>
  <c r="H2182" i="1"/>
  <c r="E2183" i="1"/>
  <c r="F2183" i="1"/>
  <c r="H2183" i="1"/>
  <c r="E2184" i="1"/>
  <c r="F2184" i="1"/>
  <c r="H2184" i="1"/>
  <c r="E2185" i="1"/>
  <c r="F2185" i="1"/>
  <c r="H2185" i="1"/>
  <c r="E2186" i="1"/>
  <c r="F2186" i="1"/>
  <c r="H2186" i="1"/>
  <c r="E2187" i="1"/>
  <c r="F2187" i="1"/>
  <c r="H2187" i="1"/>
  <c r="E2188" i="1"/>
  <c r="F2188" i="1"/>
  <c r="H2188" i="1"/>
  <c r="E2189" i="1"/>
  <c r="F2189" i="1"/>
  <c r="H2189" i="1"/>
  <c r="E2190" i="1"/>
  <c r="F2190" i="1"/>
  <c r="H2190" i="1"/>
  <c r="E2191" i="1"/>
  <c r="F2191" i="1"/>
  <c r="H2191" i="1"/>
  <c r="E2192" i="1"/>
  <c r="F2192" i="1"/>
  <c r="H2192" i="1"/>
  <c r="E2193" i="1"/>
  <c r="F2193" i="1"/>
  <c r="H2193" i="1"/>
  <c r="E2194" i="1"/>
  <c r="F2194" i="1"/>
  <c r="H2194" i="1"/>
  <c r="E2195" i="1"/>
  <c r="F2195" i="1"/>
  <c r="H2195" i="1"/>
  <c r="E2196" i="1"/>
  <c r="F2196" i="1"/>
  <c r="H2196" i="1"/>
  <c r="E2197" i="1"/>
  <c r="F2197" i="1"/>
  <c r="H2197" i="1"/>
  <c r="E2198" i="1"/>
  <c r="F2198" i="1"/>
  <c r="H2198" i="1"/>
  <c r="E2199" i="1"/>
  <c r="F2199" i="1"/>
  <c r="H2199" i="1"/>
  <c r="E2200" i="1"/>
  <c r="F2200" i="1"/>
  <c r="H2200" i="1"/>
  <c r="E2201" i="1"/>
  <c r="F2201" i="1"/>
  <c r="H2201" i="1"/>
  <c r="E2202" i="1"/>
  <c r="F2202" i="1"/>
  <c r="H2202" i="1"/>
  <c r="E2203" i="1"/>
  <c r="F2203" i="1"/>
  <c r="H2203" i="1"/>
  <c r="E2204" i="1"/>
  <c r="F2204" i="1"/>
  <c r="H2204" i="1"/>
  <c r="E2205" i="1"/>
  <c r="F2205" i="1"/>
  <c r="H2205" i="1"/>
  <c r="E2206" i="1"/>
  <c r="F2206" i="1"/>
  <c r="H2206" i="1"/>
  <c r="E2207" i="1"/>
  <c r="F2207" i="1"/>
  <c r="H2207" i="1"/>
  <c r="E2208" i="1"/>
  <c r="F2208" i="1"/>
  <c r="H2208" i="1"/>
  <c r="E2209" i="1"/>
  <c r="F2209" i="1"/>
  <c r="H2209" i="1"/>
  <c r="E2210" i="1"/>
  <c r="F2210" i="1"/>
  <c r="H2210" i="1"/>
  <c r="E2211" i="1"/>
  <c r="F2211" i="1"/>
  <c r="H2211" i="1"/>
  <c r="E2212" i="1"/>
  <c r="F2212" i="1"/>
  <c r="H2212" i="1"/>
  <c r="E2213" i="1"/>
  <c r="F2213" i="1"/>
  <c r="H2213" i="1"/>
  <c r="E2214" i="1"/>
  <c r="F2214" i="1"/>
  <c r="H2214" i="1"/>
  <c r="E2215" i="1"/>
  <c r="F2215" i="1"/>
  <c r="H2215" i="1"/>
  <c r="E2216" i="1"/>
  <c r="F2216" i="1"/>
  <c r="H2216" i="1"/>
  <c r="E2217" i="1"/>
  <c r="F2217" i="1"/>
  <c r="H2217" i="1"/>
  <c r="E2218" i="1"/>
  <c r="F2218" i="1"/>
  <c r="H2218" i="1"/>
  <c r="E2219" i="1"/>
  <c r="F2219" i="1"/>
  <c r="H2219" i="1"/>
  <c r="E2220" i="1"/>
  <c r="F2220" i="1"/>
  <c r="H2220" i="1"/>
  <c r="E2221" i="1"/>
  <c r="F2221" i="1"/>
  <c r="H2221" i="1"/>
  <c r="E2222" i="1"/>
  <c r="F2222" i="1"/>
  <c r="H2222" i="1"/>
  <c r="E2223" i="1"/>
  <c r="F2223" i="1"/>
  <c r="H2223" i="1"/>
  <c r="E2224" i="1"/>
  <c r="F2224" i="1"/>
  <c r="H2224" i="1"/>
  <c r="E2225" i="1"/>
  <c r="F2225" i="1"/>
  <c r="H2225" i="1"/>
  <c r="E2226" i="1"/>
  <c r="F2226" i="1"/>
  <c r="H2226" i="1"/>
  <c r="E2227" i="1"/>
  <c r="F2227" i="1"/>
  <c r="H2227" i="1"/>
  <c r="E2228" i="1"/>
  <c r="F2228" i="1"/>
  <c r="H2228" i="1"/>
  <c r="E2229" i="1"/>
  <c r="F2229" i="1"/>
  <c r="H2229" i="1"/>
  <c r="E2230" i="1"/>
  <c r="F2230" i="1"/>
  <c r="H2230" i="1"/>
  <c r="E2231" i="1"/>
  <c r="F2231" i="1"/>
  <c r="H2231" i="1"/>
  <c r="E2232" i="1"/>
  <c r="F2232" i="1"/>
  <c r="H2232" i="1"/>
  <c r="E2233" i="1"/>
  <c r="F2233" i="1"/>
  <c r="H2233" i="1"/>
  <c r="E2234" i="1"/>
  <c r="F2234" i="1"/>
  <c r="H2234" i="1"/>
  <c r="E2235" i="1"/>
  <c r="F2235" i="1"/>
  <c r="H2235" i="1"/>
  <c r="E2236" i="1"/>
  <c r="F2236" i="1"/>
  <c r="H2236" i="1"/>
  <c r="E2237" i="1"/>
  <c r="F2237" i="1"/>
  <c r="H2237" i="1"/>
  <c r="E2238" i="1"/>
  <c r="F2238" i="1"/>
  <c r="H2238" i="1"/>
  <c r="E2239" i="1"/>
  <c r="F2239" i="1"/>
  <c r="H2239" i="1"/>
  <c r="E2240" i="1"/>
  <c r="F2240" i="1"/>
  <c r="H2240" i="1"/>
  <c r="E2241" i="1"/>
  <c r="F2241" i="1"/>
  <c r="H2241" i="1"/>
  <c r="E2242" i="1"/>
  <c r="F2242" i="1"/>
  <c r="H2242" i="1"/>
  <c r="E2243" i="1"/>
  <c r="F2243" i="1"/>
  <c r="H2243" i="1"/>
  <c r="E2244" i="1"/>
  <c r="F2244" i="1"/>
  <c r="H2244" i="1"/>
  <c r="E2245" i="1"/>
  <c r="F2245" i="1"/>
  <c r="H2245" i="1"/>
  <c r="E2246" i="1"/>
  <c r="F2246" i="1"/>
  <c r="H2246" i="1"/>
  <c r="E2247" i="1"/>
  <c r="F2247" i="1"/>
  <c r="H2247" i="1"/>
  <c r="E2248" i="1"/>
  <c r="F2248" i="1"/>
  <c r="H2248" i="1"/>
  <c r="E2249" i="1"/>
  <c r="F2249" i="1"/>
  <c r="H2249" i="1"/>
  <c r="E2250" i="1"/>
  <c r="F2250" i="1"/>
  <c r="H2250" i="1"/>
  <c r="E2251" i="1"/>
  <c r="F2251" i="1"/>
  <c r="H2251" i="1"/>
  <c r="E2252" i="1"/>
  <c r="F2252" i="1"/>
  <c r="H2252" i="1"/>
  <c r="E2253" i="1"/>
  <c r="F2253" i="1"/>
  <c r="H2253" i="1"/>
  <c r="E2254" i="1"/>
  <c r="F2254" i="1"/>
  <c r="H2254" i="1"/>
  <c r="E2255" i="1"/>
  <c r="F2255" i="1"/>
  <c r="H2255" i="1"/>
  <c r="E2256" i="1"/>
  <c r="F2256" i="1"/>
  <c r="H2256" i="1"/>
  <c r="E2257" i="1"/>
  <c r="F2257" i="1"/>
  <c r="H2257" i="1"/>
  <c r="E2258" i="1"/>
  <c r="F2258" i="1"/>
  <c r="H2258" i="1"/>
  <c r="E2259" i="1"/>
  <c r="F2259" i="1"/>
  <c r="H2259" i="1"/>
  <c r="E2260" i="1"/>
  <c r="F2260" i="1"/>
  <c r="H2260" i="1"/>
  <c r="E2261" i="1"/>
  <c r="F2261" i="1"/>
  <c r="H2261" i="1"/>
  <c r="E2262" i="1"/>
  <c r="F2262" i="1"/>
  <c r="H2262" i="1"/>
  <c r="E2263" i="1"/>
  <c r="F2263" i="1"/>
  <c r="H2263" i="1"/>
  <c r="E2264" i="1"/>
  <c r="F2264" i="1"/>
  <c r="H2264" i="1"/>
  <c r="E2265" i="1"/>
  <c r="F2265" i="1"/>
  <c r="H2265" i="1"/>
  <c r="E2266" i="1"/>
  <c r="F2266" i="1"/>
  <c r="H2266" i="1"/>
  <c r="E2267" i="1"/>
  <c r="F2267" i="1"/>
  <c r="H2267" i="1"/>
  <c r="E2268" i="1"/>
  <c r="F2268" i="1"/>
  <c r="H2268" i="1"/>
  <c r="E2269" i="1"/>
  <c r="F2269" i="1"/>
  <c r="H2269" i="1"/>
  <c r="E2270" i="1"/>
  <c r="F2270" i="1"/>
  <c r="H2270" i="1"/>
  <c r="E2271" i="1"/>
  <c r="F2271" i="1"/>
  <c r="H2271" i="1"/>
  <c r="E2272" i="1"/>
  <c r="F2272" i="1"/>
  <c r="H2272" i="1"/>
  <c r="E2273" i="1"/>
  <c r="F2273" i="1"/>
  <c r="H2273" i="1"/>
  <c r="E2274" i="1"/>
  <c r="F2274" i="1"/>
  <c r="H2274" i="1"/>
  <c r="E2275" i="1"/>
  <c r="F2275" i="1"/>
  <c r="H2275" i="1"/>
  <c r="E2276" i="1"/>
  <c r="F2276" i="1"/>
  <c r="H2276" i="1"/>
  <c r="E2277" i="1"/>
  <c r="F2277" i="1"/>
  <c r="H2277" i="1"/>
  <c r="E2278" i="1"/>
  <c r="F2278" i="1"/>
  <c r="H2278" i="1"/>
  <c r="E2279" i="1"/>
  <c r="F2279" i="1"/>
  <c r="H2279" i="1"/>
  <c r="E2280" i="1"/>
  <c r="F2280" i="1"/>
  <c r="H2280" i="1"/>
  <c r="E2281" i="1"/>
  <c r="F2281" i="1"/>
  <c r="H2281" i="1"/>
  <c r="E2282" i="1"/>
  <c r="F2282" i="1"/>
  <c r="H2282" i="1"/>
  <c r="E2283" i="1"/>
  <c r="F2283" i="1"/>
  <c r="H2283" i="1"/>
  <c r="E2284" i="1"/>
  <c r="F2284" i="1"/>
  <c r="H2284" i="1"/>
  <c r="E2285" i="1"/>
  <c r="F2285" i="1"/>
  <c r="H2285" i="1"/>
  <c r="E2286" i="1"/>
  <c r="F2286" i="1"/>
  <c r="H2286" i="1"/>
  <c r="E2287" i="1"/>
  <c r="F2287" i="1"/>
  <c r="H2287" i="1"/>
  <c r="E2288" i="1"/>
  <c r="F2288" i="1"/>
  <c r="H2288" i="1"/>
  <c r="E2289" i="1"/>
  <c r="F2289" i="1"/>
  <c r="H2289" i="1"/>
  <c r="E2290" i="1"/>
  <c r="F2290" i="1"/>
  <c r="H2290" i="1"/>
  <c r="E2291" i="1"/>
  <c r="F2291" i="1"/>
  <c r="H2291" i="1"/>
  <c r="E2292" i="1"/>
  <c r="F2292" i="1"/>
  <c r="H2292" i="1"/>
  <c r="E2293" i="1"/>
  <c r="F2293" i="1"/>
  <c r="H2293" i="1"/>
  <c r="E2294" i="1"/>
  <c r="F2294" i="1"/>
  <c r="H2294" i="1"/>
  <c r="E2295" i="1"/>
  <c r="F2295" i="1"/>
  <c r="H2295" i="1"/>
  <c r="E2296" i="1"/>
  <c r="F2296" i="1"/>
  <c r="H2296" i="1"/>
  <c r="E2297" i="1"/>
  <c r="F2297" i="1"/>
  <c r="H2297" i="1"/>
  <c r="E2298" i="1"/>
  <c r="F2298" i="1"/>
  <c r="H2298" i="1"/>
  <c r="E2299" i="1"/>
  <c r="F2299" i="1"/>
  <c r="H2299" i="1"/>
  <c r="E2300" i="1"/>
  <c r="F2300" i="1"/>
  <c r="H2300" i="1"/>
  <c r="E2301" i="1"/>
  <c r="F2301" i="1"/>
  <c r="H2301" i="1"/>
  <c r="E2302" i="1"/>
  <c r="F2302" i="1"/>
  <c r="H2302" i="1"/>
  <c r="E2303" i="1"/>
  <c r="F2303" i="1"/>
  <c r="H2303" i="1"/>
  <c r="E2304" i="1"/>
  <c r="F2304" i="1"/>
  <c r="H2304" i="1"/>
  <c r="E2305" i="1"/>
  <c r="F2305" i="1"/>
  <c r="H2305" i="1"/>
  <c r="E2306" i="1"/>
  <c r="F2306" i="1"/>
  <c r="H2306" i="1"/>
  <c r="E2307" i="1"/>
  <c r="F2307" i="1"/>
  <c r="H2307" i="1"/>
  <c r="E2308" i="1"/>
  <c r="F2308" i="1"/>
  <c r="H2308" i="1"/>
  <c r="E2309" i="1"/>
  <c r="F2309" i="1"/>
  <c r="H2309" i="1"/>
  <c r="E2310" i="1"/>
  <c r="F2310" i="1"/>
  <c r="H2310" i="1"/>
  <c r="E2311" i="1"/>
  <c r="F2311" i="1"/>
  <c r="H2311" i="1"/>
  <c r="E2312" i="1"/>
  <c r="F2312" i="1"/>
  <c r="H2312" i="1"/>
  <c r="E2313" i="1"/>
  <c r="F2313" i="1"/>
  <c r="H2313" i="1"/>
  <c r="E2314" i="1"/>
  <c r="F2314" i="1"/>
  <c r="H2314" i="1"/>
  <c r="E2315" i="1"/>
  <c r="F2315" i="1"/>
  <c r="H2315" i="1"/>
  <c r="E2316" i="1"/>
  <c r="F2316" i="1"/>
  <c r="H2316" i="1"/>
  <c r="E2317" i="1"/>
  <c r="F2317" i="1"/>
  <c r="H2317" i="1"/>
  <c r="E2318" i="1"/>
  <c r="F2318" i="1"/>
  <c r="H2318" i="1"/>
  <c r="E2319" i="1"/>
  <c r="F2319" i="1"/>
  <c r="H2319" i="1"/>
  <c r="E2320" i="1"/>
  <c r="F2320" i="1"/>
  <c r="H2320" i="1"/>
  <c r="E2321" i="1"/>
  <c r="F2321" i="1"/>
  <c r="H2321" i="1"/>
  <c r="E2322" i="1"/>
  <c r="F2322" i="1"/>
  <c r="H2322" i="1"/>
  <c r="E2323" i="1"/>
  <c r="F2323" i="1"/>
  <c r="H2323" i="1"/>
  <c r="E2324" i="1"/>
  <c r="F2324" i="1"/>
  <c r="H2324" i="1"/>
  <c r="E2325" i="1"/>
  <c r="F2325" i="1"/>
  <c r="H2325" i="1"/>
  <c r="E2326" i="1"/>
  <c r="F2326" i="1"/>
  <c r="H2326" i="1"/>
  <c r="E2327" i="1"/>
  <c r="F2327" i="1"/>
  <c r="H2327" i="1"/>
  <c r="E2328" i="1"/>
  <c r="F2328" i="1"/>
  <c r="H2328" i="1"/>
  <c r="E2329" i="1"/>
  <c r="F2329" i="1"/>
  <c r="H2329" i="1"/>
  <c r="E2330" i="1"/>
  <c r="F2330" i="1"/>
  <c r="H2330" i="1"/>
  <c r="E2331" i="1"/>
  <c r="F2331" i="1"/>
  <c r="H2331" i="1"/>
  <c r="E2332" i="1"/>
  <c r="F2332" i="1"/>
  <c r="H2332" i="1"/>
  <c r="E2333" i="1"/>
  <c r="F2333" i="1"/>
  <c r="H2333" i="1"/>
  <c r="E2334" i="1"/>
  <c r="F2334" i="1"/>
  <c r="H2334" i="1"/>
  <c r="E2335" i="1"/>
  <c r="F2335" i="1"/>
  <c r="H2335" i="1"/>
  <c r="E2336" i="1"/>
  <c r="F2336" i="1"/>
  <c r="H2336" i="1"/>
  <c r="E2337" i="1"/>
  <c r="F2337" i="1"/>
  <c r="H2337" i="1"/>
  <c r="E2338" i="1"/>
  <c r="F2338" i="1"/>
  <c r="H2338" i="1"/>
  <c r="E2339" i="1"/>
  <c r="F2339" i="1"/>
  <c r="H2339" i="1"/>
  <c r="E2340" i="1"/>
  <c r="F2340" i="1"/>
  <c r="H2340" i="1"/>
  <c r="E2341" i="1"/>
  <c r="F2341" i="1"/>
  <c r="H2341" i="1"/>
  <c r="E2342" i="1"/>
  <c r="F2342" i="1"/>
  <c r="H2342" i="1"/>
  <c r="E2343" i="1"/>
  <c r="F2343" i="1"/>
  <c r="H2343" i="1"/>
  <c r="E2344" i="1"/>
  <c r="F2344" i="1"/>
  <c r="H2344" i="1"/>
  <c r="E2345" i="1"/>
  <c r="F2345" i="1"/>
  <c r="H2345" i="1"/>
  <c r="E2346" i="1"/>
  <c r="F2346" i="1"/>
  <c r="H2346" i="1"/>
  <c r="E2347" i="1"/>
  <c r="F2347" i="1"/>
  <c r="H2347" i="1"/>
  <c r="E2348" i="1"/>
  <c r="F2348" i="1"/>
  <c r="H2348" i="1"/>
  <c r="E2349" i="1"/>
  <c r="F2349" i="1"/>
  <c r="H2349" i="1"/>
  <c r="E2350" i="1"/>
  <c r="F2350" i="1"/>
  <c r="H2350" i="1"/>
  <c r="E2351" i="1"/>
  <c r="F2351" i="1"/>
  <c r="H2351" i="1"/>
  <c r="E2352" i="1"/>
  <c r="F2352" i="1"/>
  <c r="H2352" i="1"/>
  <c r="E2353" i="1"/>
  <c r="F2353" i="1"/>
  <c r="H2353" i="1"/>
  <c r="E2354" i="1"/>
  <c r="F2354" i="1"/>
  <c r="H2354" i="1"/>
  <c r="E2355" i="1"/>
  <c r="F2355" i="1"/>
  <c r="H2355" i="1"/>
  <c r="E2356" i="1"/>
  <c r="F2356" i="1"/>
  <c r="H2356" i="1"/>
  <c r="E2357" i="1"/>
  <c r="F2357" i="1"/>
  <c r="H2357" i="1"/>
  <c r="E2358" i="1"/>
  <c r="F2358" i="1"/>
  <c r="H2358" i="1"/>
  <c r="E2359" i="1"/>
  <c r="F2359" i="1"/>
  <c r="H2359" i="1"/>
  <c r="E2360" i="1"/>
  <c r="F2360" i="1"/>
  <c r="H2360" i="1"/>
  <c r="E2361" i="1"/>
  <c r="F2361" i="1"/>
  <c r="H2361" i="1"/>
  <c r="E2362" i="1"/>
  <c r="F2362" i="1"/>
  <c r="H2362" i="1"/>
  <c r="E2363" i="1"/>
  <c r="F2363" i="1"/>
  <c r="H2363" i="1"/>
  <c r="E2364" i="1"/>
  <c r="F2364" i="1"/>
  <c r="H2364" i="1"/>
  <c r="E2365" i="1"/>
  <c r="F2365" i="1"/>
  <c r="H2365" i="1"/>
  <c r="E2366" i="1"/>
  <c r="F2366" i="1"/>
  <c r="H2366" i="1"/>
  <c r="E2367" i="1"/>
  <c r="F2367" i="1"/>
  <c r="H2367" i="1"/>
  <c r="E2368" i="1"/>
  <c r="F2368" i="1"/>
  <c r="H2368" i="1"/>
  <c r="E2369" i="1"/>
  <c r="F2369" i="1"/>
  <c r="H2369" i="1"/>
  <c r="E2370" i="1"/>
  <c r="F2370" i="1"/>
  <c r="H2370" i="1"/>
  <c r="E2371" i="1"/>
  <c r="F2371" i="1"/>
  <c r="H2371" i="1"/>
  <c r="E2372" i="1"/>
  <c r="F2372" i="1"/>
  <c r="H2372" i="1"/>
  <c r="E2373" i="1"/>
  <c r="F2373" i="1"/>
  <c r="H2373" i="1"/>
  <c r="E2374" i="1"/>
  <c r="F2374" i="1"/>
  <c r="H2374" i="1"/>
  <c r="E2375" i="1"/>
  <c r="F2375" i="1"/>
  <c r="H2375" i="1"/>
  <c r="E2376" i="1"/>
  <c r="F2376" i="1"/>
  <c r="H2376" i="1"/>
  <c r="E2377" i="1"/>
  <c r="F2377" i="1"/>
  <c r="H2377" i="1"/>
  <c r="E2378" i="1"/>
  <c r="F2378" i="1"/>
  <c r="H2378" i="1"/>
  <c r="E2379" i="1"/>
  <c r="F2379" i="1"/>
  <c r="H2379" i="1"/>
  <c r="E2380" i="1"/>
  <c r="F2380" i="1"/>
  <c r="H2380" i="1"/>
  <c r="E2381" i="1"/>
  <c r="F2381" i="1"/>
  <c r="H2381" i="1"/>
  <c r="E2382" i="1"/>
  <c r="F2382" i="1"/>
  <c r="H2382" i="1"/>
  <c r="E2383" i="1"/>
  <c r="F2383" i="1"/>
  <c r="H2383" i="1"/>
  <c r="E2384" i="1"/>
  <c r="F2384" i="1"/>
  <c r="H2384" i="1"/>
  <c r="E2385" i="1"/>
  <c r="F2385" i="1"/>
  <c r="H2385" i="1"/>
  <c r="E2386" i="1"/>
  <c r="F2386" i="1"/>
  <c r="H2386" i="1"/>
  <c r="E2387" i="1"/>
  <c r="F2387" i="1"/>
  <c r="H2387" i="1"/>
  <c r="E2388" i="1"/>
  <c r="F2388" i="1"/>
  <c r="H2388" i="1"/>
  <c r="E2389" i="1"/>
  <c r="F2389" i="1"/>
  <c r="H2389" i="1"/>
  <c r="E2390" i="1"/>
  <c r="F2390" i="1"/>
  <c r="H2390" i="1"/>
  <c r="E2391" i="1"/>
  <c r="F2391" i="1"/>
  <c r="H2391" i="1"/>
  <c r="E2392" i="1"/>
  <c r="F2392" i="1"/>
  <c r="H2392" i="1"/>
  <c r="E2393" i="1"/>
  <c r="F2393" i="1"/>
  <c r="H2393" i="1"/>
  <c r="E2394" i="1"/>
  <c r="F2394" i="1"/>
  <c r="H2394" i="1"/>
  <c r="E2395" i="1"/>
  <c r="F2395" i="1"/>
  <c r="H2395" i="1"/>
  <c r="E2396" i="1"/>
  <c r="F2396" i="1"/>
  <c r="H2396" i="1"/>
  <c r="E2397" i="1"/>
  <c r="F2397" i="1"/>
  <c r="H2397" i="1"/>
  <c r="E2398" i="1"/>
  <c r="F2398" i="1"/>
  <c r="H2398" i="1"/>
  <c r="E2399" i="1"/>
  <c r="F2399" i="1"/>
  <c r="H2399" i="1"/>
  <c r="E2400" i="1"/>
  <c r="F2400" i="1"/>
  <c r="H2400" i="1"/>
  <c r="E2401" i="1"/>
  <c r="F2401" i="1"/>
  <c r="H2401" i="1"/>
  <c r="E2402" i="1"/>
  <c r="F2402" i="1"/>
  <c r="H2402" i="1"/>
  <c r="E2403" i="1"/>
  <c r="F2403" i="1"/>
  <c r="H2403" i="1"/>
  <c r="E2404" i="1"/>
  <c r="F2404" i="1"/>
  <c r="H2404" i="1"/>
  <c r="E2405" i="1"/>
  <c r="F2405" i="1"/>
  <c r="H2405" i="1"/>
  <c r="E2406" i="1"/>
  <c r="F2406" i="1"/>
  <c r="H2406" i="1"/>
  <c r="E2407" i="1"/>
  <c r="F2407" i="1"/>
  <c r="H2407" i="1"/>
  <c r="E2408" i="1"/>
  <c r="F2408" i="1"/>
  <c r="H2408" i="1"/>
  <c r="E2409" i="1"/>
  <c r="F2409" i="1"/>
  <c r="H2409" i="1"/>
  <c r="E2410" i="1"/>
  <c r="F2410" i="1"/>
  <c r="H2410" i="1"/>
  <c r="E2411" i="1"/>
  <c r="F2411" i="1"/>
  <c r="H2411" i="1"/>
  <c r="E2412" i="1"/>
  <c r="F2412" i="1"/>
  <c r="H2412" i="1"/>
  <c r="E2413" i="1"/>
  <c r="F2413" i="1"/>
  <c r="H2413" i="1"/>
  <c r="E2414" i="1"/>
  <c r="F2414" i="1"/>
  <c r="H2414" i="1"/>
  <c r="E2415" i="1"/>
  <c r="F2415" i="1"/>
  <c r="H2415" i="1"/>
  <c r="E2416" i="1"/>
  <c r="F2416" i="1"/>
  <c r="H2416" i="1"/>
  <c r="E2417" i="1"/>
  <c r="F2417" i="1"/>
  <c r="H2417" i="1"/>
  <c r="E2418" i="1"/>
  <c r="F2418" i="1"/>
  <c r="H2418" i="1"/>
  <c r="E2419" i="1"/>
  <c r="F2419" i="1"/>
  <c r="H2419" i="1"/>
  <c r="E2420" i="1"/>
  <c r="F2420" i="1"/>
  <c r="H2420" i="1"/>
  <c r="E2421" i="1"/>
  <c r="F2421" i="1"/>
  <c r="H2421" i="1"/>
  <c r="E2422" i="1"/>
  <c r="F2422" i="1"/>
  <c r="H2422" i="1"/>
  <c r="E2423" i="1"/>
  <c r="F2423" i="1"/>
  <c r="H2423" i="1"/>
  <c r="E2424" i="1"/>
  <c r="F2424" i="1"/>
  <c r="H2424" i="1"/>
  <c r="E2425" i="1"/>
  <c r="F2425" i="1"/>
  <c r="H2425" i="1"/>
  <c r="E2426" i="1"/>
  <c r="F2426" i="1"/>
  <c r="H2426" i="1"/>
  <c r="E2427" i="1"/>
  <c r="F2427" i="1"/>
  <c r="H2427" i="1"/>
  <c r="E2428" i="1"/>
  <c r="F2428" i="1"/>
  <c r="H2428" i="1"/>
  <c r="E2429" i="1"/>
  <c r="F2429" i="1"/>
  <c r="H2429" i="1"/>
  <c r="E2430" i="1"/>
  <c r="F2430" i="1"/>
  <c r="H2430" i="1"/>
  <c r="E2431" i="1"/>
  <c r="F2431" i="1"/>
  <c r="H2431" i="1"/>
  <c r="E2432" i="1"/>
  <c r="F2432" i="1"/>
  <c r="H2432" i="1"/>
  <c r="E2433" i="1"/>
  <c r="F2433" i="1"/>
  <c r="H2433" i="1"/>
  <c r="E2434" i="1"/>
  <c r="F2434" i="1"/>
  <c r="H2434" i="1"/>
  <c r="E2435" i="1"/>
  <c r="F2435" i="1"/>
  <c r="H2435" i="1"/>
  <c r="E2436" i="1"/>
  <c r="F2436" i="1"/>
  <c r="H2436" i="1"/>
  <c r="E2437" i="1"/>
  <c r="F2437" i="1"/>
  <c r="H2437" i="1"/>
  <c r="E2438" i="1"/>
  <c r="F2438" i="1"/>
  <c r="H2438" i="1"/>
  <c r="E2439" i="1"/>
  <c r="F2439" i="1"/>
  <c r="H2439" i="1"/>
  <c r="E2440" i="1"/>
  <c r="F2440" i="1"/>
  <c r="H2440" i="1"/>
  <c r="E2441" i="1"/>
  <c r="F2441" i="1"/>
  <c r="H2441" i="1"/>
  <c r="E2442" i="1"/>
  <c r="F2442" i="1"/>
  <c r="H2442" i="1"/>
  <c r="E2443" i="1"/>
  <c r="F2443" i="1"/>
  <c r="H2443" i="1"/>
  <c r="E2444" i="1"/>
  <c r="F2444" i="1"/>
  <c r="H2444" i="1"/>
  <c r="E2445" i="1"/>
  <c r="F2445" i="1"/>
  <c r="H2445" i="1"/>
  <c r="E2446" i="1"/>
  <c r="F2446" i="1"/>
  <c r="H2446" i="1"/>
  <c r="E2447" i="1"/>
  <c r="F2447" i="1"/>
  <c r="H2447" i="1"/>
  <c r="E2448" i="1"/>
  <c r="F2448" i="1"/>
  <c r="H2448" i="1"/>
  <c r="E2449" i="1"/>
  <c r="F2449" i="1"/>
  <c r="H2449" i="1"/>
  <c r="E2450" i="1"/>
  <c r="F2450" i="1"/>
  <c r="H2450" i="1"/>
  <c r="E2451" i="1"/>
  <c r="F2451" i="1"/>
  <c r="H2451" i="1"/>
  <c r="E2452" i="1"/>
  <c r="F2452" i="1"/>
  <c r="H2452" i="1"/>
  <c r="E2453" i="1"/>
  <c r="F2453" i="1"/>
  <c r="H2453" i="1"/>
  <c r="E2454" i="1"/>
  <c r="F2454" i="1"/>
  <c r="H2454" i="1"/>
  <c r="E2455" i="1"/>
  <c r="F2455" i="1"/>
  <c r="H2455" i="1"/>
  <c r="E2456" i="1"/>
  <c r="F2456" i="1"/>
  <c r="H2456" i="1"/>
  <c r="E2457" i="1"/>
  <c r="F2457" i="1"/>
  <c r="H2457" i="1"/>
  <c r="E2458" i="1"/>
  <c r="F2458" i="1"/>
  <c r="H2458" i="1"/>
  <c r="E2459" i="1"/>
  <c r="F2459" i="1"/>
  <c r="H2459" i="1"/>
  <c r="E2460" i="1"/>
  <c r="F2460" i="1"/>
  <c r="H2460" i="1"/>
  <c r="E2461" i="1"/>
  <c r="F2461" i="1"/>
  <c r="H2461" i="1"/>
  <c r="E2462" i="1"/>
  <c r="F2462" i="1"/>
  <c r="H2462" i="1"/>
  <c r="E2463" i="1"/>
  <c r="F2463" i="1"/>
  <c r="H2463" i="1"/>
  <c r="E2464" i="1"/>
  <c r="F2464" i="1"/>
  <c r="H2464" i="1"/>
  <c r="E2465" i="1"/>
  <c r="F2465" i="1"/>
  <c r="H2465" i="1"/>
  <c r="E2466" i="1"/>
  <c r="F2466" i="1"/>
  <c r="H2466" i="1"/>
  <c r="E2467" i="1"/>
  <c r="F2467" i="1"/>
  <c r="H2467" i="1"/>
  <c r="E2468" i="1"/>
  <c r="F2468" i="1"/>
  <c r="H2468" i="1"/>
  <c r="E2469" i="1"/>
  <c r="F2469" i="1"/>
  <c r="H2469" i="1"/>
  <c r="E2470" i="1"/>
  <c r="F2470" i="1"/>
  <c r="H2470" i="1"/>
  <c r="E2471" i="1"/>
  <c r="F2471" i="1"/>
  <c r="H2471" i="1"/>
  <c r="E2472" i="1"/>
  <c r="F2472" i="1"/>
  <c r="H2472" i="1"/>
  <c r="E2473" i="1"/>
  <c r="F2473" i="1"/>
  <c r="H2473" i="1"/>
  <c r="E2474" i="1"/>
  <c r="F2474" i="1"/>
  <c r="H2474" i="1"/>
  <c r="E2475" i="1"/>
  <c r="F2475" i="1"/>
  <c r="H2475" i="1"/>
  <c r="E2476" i="1"/>
  <c r="F2476" i="1"/>
  <c r="H2476" i="1"/>
  <c r="E2477" i="1"/>
  <c r="F2477" i="1"/>
  <c r="H2477" i="1"/>
  <c r="E2478" i="1"/>
  <c r="F2478" i="1"/>
  <c r="H2478" i="1"/>
  <c r="E2479" i="1"/>
  <c r="F2479" i="1"/>
  <c r="H2479" i="1"/>
  <c r="E2480" i="1"/>
  <c r="F2480" i="1"/>
  <c r="H2480" i="1"/>
  <c r="E2481" i="1"/>
  <c r="F2481" i="1"/>
  <c r="H2481" i="1"/>
  <c r="E2482" i="1"/>
  <c r="F2482" i="1"/>
  <c r="H2482" i="1"/>
  <c r="E2483" i="1"/>
  <c r="F2483" i="1"/>
  <c r="H2483" i="1"/>
  <c r="E2484" i="1"/>
  <c r="F2484" i="1"/>
  <c r="H2484" i="1"/>
  <c r="E2485" i="1"/>
  <c r="F2485" i="1"/>
  <c r="H2485" i="1"/>
  <c r="E2486" i="1"/>
  <c r="F2486" i="1"/>
  <c r="H2486" i="1"/>
  <c r="E2487" i="1"/>
  <c r="F2487" i="1"/>
  <c r="H2487" i="1"/>
  <c r="E2488" i="1"/>
  <c r="F2488" i="1"/>
  <c r="H2488" i="1"/>
  <c r="E2489" i="1"/>
  <c r="F2489" i="1"/>
  <c r="H2489" i="1"/>
  <c r="E2490" i="1"/>
  <c r="F2490" i="1"/>
  <c r="H2490" i="1"/>
  <c r="E2491" i="1"/>
  <c r="F2491" i="1"/>
  <c r="H2491" i="1"/>
  <c r="E2492" i="1"/>
  <c r="F2492" i="1"/>
  <c r="H2492" i="1"/>
  <c r="E2493" i="1"/>
  <c r="F2493" i="1"/>
  <c r="H2493" i="1"/>
  <c r="E2494" i="1"/>
  <c r="F2494" i="1"/>
  <c r="H2494" i="1"/>
  <c r="E2495" i="1"/>
  <c r="F2495" i="1"/>
  <c r="H2495" i="1"/>
  <c r="E2496" i="1"/>
  <c r="F2496" i="1"/>
  <c r="H2496" i="1"/>
  <c r="E2497" i="1"/>
  <c r="F2497" i="1"/>
  <c r="H2497" i="1"/>
  <c r="E2498" i="1"/>
  <c r="F2498" i="1"/>
  <c r="H2498" i="1"/>
  <c r="E2499" i="1"/>
  <c r="F2499" i="1"/>
  <c r="H2499" i="1"/>
  <c r="E2500" i="1"/>
  <c r="F2500" i="1"/>
  <c r="H2500" i="1"/>
  <c r="E2501" i="1"/>
  <c r="F2501" i="1"/>
  <c r="H2501" i="1"/>
  <c r="E2502" i="1"/>
  <c r="F2502" i="1"/>
  <c r="H2502" i="1"/>
  <c r="E2503" i="1"/>
  <c r="F2503" i="1"/>
  <c r="H2503" i="1"/>
  <c r="E2504" i="1"/>
  <c r="F2504" i="1"/>
  <c r="H2504" i="1"/>
  <c r="E2505" i="1"/>
  <c r="F2505" i="1"/>
  <c r="H2505" i="1"/>
  <c r="E2506" i="1"/>
  <c r="F2506" i="1"/>
  <c r="H2506" i="1"/>
  <c r="E2507" i="1"/>
  <c r="F2507" i="1"/>
  <c r="H2507" i="1"/>
  <c r="E2508" i="1"/>
  <c r="F2508" i="1"/>
  <c r="H2508" i="1"/>
  <c r="E2509" i="1"/>
  <c r="F2509" i="1"/>
  <c r="H2509" i="1"/>
  <c r="E2510" i="1"/>
  <c r="F2510" i="1"/>
  <c r="H2510" i="1"/>
  <c r="E2511" i="1"/>
  <c r="F2511" i="1"/>
  <c r="H2511" i="1"/>
  <c r="E2512" i="1"/>
  <c r="F2512" i="1"/>
  <c r="H2512" i="1"/>
  <c r="E2513" i="1"/>
  <c r="F2513" i="1"/>
  <c r="H2513" i="1"/>
  <c r="E2514" i="1"/>
  <c r="F2514" i="1"/>
  <c r="H2514" i="1"/>
  <c r="E2515" i="1"/>
  <c r="F2515" i="1"/>
  <c r="H2515" i="1"/>
  <c r="E2516" i="1"/>
  <c r="F2516" i="1"/>
  <c r="H2516" i="1"/>
  <c r="E2517" i="1"/>
  <c r="F2517" i="1"/>
  <c r="H2517" i="1"/>
  <c r="E2518" i="1"/>
  <c r="F2518" i="1"/>
  <c r="H2518" i="1"/>
  <c r="E2519" i="1"/>
  <c r="F2519" i="1"/>
  <c r="H2519" i="1"/>
  <c r="E2520" i="1"/>
  <c r="F2520" i="1"/>
  <c r="H2520" i="1"/>
  <c r="E2521" i="1"/>
  <c r="F2521" i="1"/>
  <c r="H2521" i="1"/>
  <c r="E2522" i="1"/>
  <c r="F2522" i="1"/>
  <c r="H2522" i="1"/>
  <c r="E2523" i="1"/>
  <c r="F2523" i="1"/>
  <c r="H2523" i="1"/>
  <c r="E2524" i="1"/>
  <c r="F2524" i="1"/>
  <c r="H2524" i="1"/>
  <c r="E2525" i="1"/>
  <c r="F2525" i="1"/>
  <c r="H2525" i="1"/>
  <c r="E2526" i="1"/>
  <c r="F2526" i="1"/>
  <c r="H2526" i="1"/>
  <c r="E2527" i="1"/>
  <c r="F2527" i="1"/>
  <c r="H2527" i="1"/>
  <c r="E2528" i="1"/>
  <c r="F2528" i="1"/>
  <c r="H2528" i="1"/>
  <c r="E2529" i="1"/>
  <c r="F2529" i="1"/>
  <c r="H2529" i="1"/>
  <c r="E2530" i="1"/>
  <c r="F2530" i="1"/>
  <c r="H2530" i="1"/>
  <c r="E2531" i="1"/>
  <c r="F2531" i="1"/>
  <c r="H2531" i="1"/>
  <c r="E2532" i="1"/>
  <c r="F2532" i="1"/>
  <c r="H2532" i="1"/>
  <c r="E2533" i="1"/>
  <c r="F2533" i="1"/>
  <c r="H2533" i="1"/>
  <c r="E2534" i="1"/>
  <c r="F2534" i="1"/>
  <c r="H2534" i="1"/>
  <c r="E2535" i="1"/>
  <c r="F2535" i="1"/>
  <c r="H2535" i="1"/>
  <c r="E2536" i="1"/>
  <c r="F2536" i="1"/>
  <c r="H2536" i="1"/>
  <c r="E2537" i="1"/>
  <c r="F2537" i="1"/>
  <c r="H2537" i="1"/>
  <c r="E2538" i="1"/>
  <c r="F2538" i="1"/>
  <c r="H2538" i="1"/>
  <c r="E2539" i="1"/>
  <c r="F2539" i="1"/>
  <c r="H2539" i="1"/>
  <c r="E2540" i="1"/>
  <c r="F2540" i="1"/>
  <c r="H2540" i="1"/>
  <c r="E2541" i="1"/>
  <c r="F2541" i="1"/>
  <c r="H2541" i="1"/>
  <c r="E2542" i="1"/>
  <c r="F2542" i="1"/>
  <c r="H2542" i="1"/>
  <c r="E2543" i="1"/>
  <c r="F2543" i="1"/>
  <c r="H2543" i="1"/>
  <c r="E2544" i="1"/>
  <c r="F2544" i="1"/>
  <c r="H2544" i="1"/>
  <c r="E2545" i="1"/>
  <c r="F2545" i="1"/>
  <c r="H2545" i="1"/>
  <c r="E2546" i="1"/>
  <c r="F2546" i="1"/>
  <c r="H2546" i="1"/>
  <c r="E2547" i="1"/>
  <c r="F2547" i="1"/>
  <c r="H2547" i="1"/>
  <c r="E2548" i="1"/>
  <c r="F2548" i="1"/>
  <c r="H2548" i="1"/>
  <c r="E2549" i="1"/>
  <c r="F2549" i="1"/>
  <c r="H2549" i="1"/>
  <c r="E2550" i="1"/>
  <c r="F2550" i="1"/>
  <c r="H2550" i="1"/>
  <c r="E2551" i="1"/>
  <c r="F2551" i="1"/>
  <c r="H2551" i="1"/>
  <c r="E2552" i="1"/>
  <c r="F2552" i="1"/>
  <c r="H2552" i="1"/>
  <c r="E2553" i="1"/>
  <c r="F2553" i="1"/>
  <c r="H2553" i="1"/>
  <c r="E2554" i="1"/>
  <c r="F2554" i="1"/>
  <c r="H2554" i="1"/>
  <c r="E2555" i="1"/>
  <c r="F2555" i="1"/>
  <c r="H2555" i="1"/>
  <c r="E2556" i="1"/>
  <c r="F2556" i="1"/>
  <c r="H2556" i="1"/>
  <c r="E2557" i="1"/>
  <c r="F2557" i="1"/>
  <c r="H2557" i="1"/>
  <c r="E2558" i="1"/>
  <c r="F2558" i="1"/>
  <c r="H2558" i="1"/>
  <c r="E2559" i="1"/>
  <c r="F2559" i="1"/>
  <c r="H2559" i="1"/>
  <c r="E2560" i="1"/>
  <c r="F2560" i="1"/>
  <c r="H2560" i="1"/>
  <c r="E2561" i="1"/>
  <c r="F2561" i="1"/>
  <c r="H2561" i="1"/>
  <c r="E2562" i="1"/>
  <c r="F2562" i="1"/>
  <c r="H2562" i="1"/>
  <c r="E2563" i="1"/>
  <c r="F2563" i="1"/>
  <c r="H2563" i="1"/>
  <c r="E2564" i="1"/>
  <c r="F2564" i="1"/>
  <c r="H2564" i="1"/>
  <c r="E2565" i="1"/>
  <c r="F2565" i="1"/>
  <c r="H2565" i="1"/>
  <c r="E2566" i="1"/>
  <c r="F2566" i="1"/>
  <c r="H2566" i="1"/>
  <c r="E2567" i="1"/>
  <c r="F2567" i="1"/>
  <c r="H2567" i="1"/>
  <c r="E2568" i="1"/>
  <c r="F2568" i="1"/>
  <c r="H2568" i="1"/>
  <c r="E2569" i="1"/>
  <c r="F2569" i="1"/>
  <c r="H2569" i="1"/>
  <c r="E2570" i="1"/>
  <c r="F2570" i="1"/>
  <c r="H2570" i="1"/>
  <c r="E2571" i="1"/>
  <c r="F2571" i="1"/>
  <c r="H2571" i="1"/>
  <c r="E2572" i="1"/>
  <c r="F2572" i="1"/>
  <c r="H2572" i="1"/>
  <c r="E2573" i="1"/>
  <c r="F2573" i="1"/>
  <c r="H2573" i="1"/>
  <c r="E2574" i="1"/>
  <c r="F2574" i="1"/>
  <c r="H2574" i="1"/>
  <c r="E2575" i="1"/>
  <c r="F2575" i="1"/>
  <c r="H2575" i="1"/>
  <c r="E2576" i="1"/>
  <c r="F2576" i="1"/>
  <c r="H2576" i="1"/>
  <c r="E2577" i="1"/>
  <c r="F2577" i="1"/>
  <c r="H2577" i="1"/>
  <c r="E2578" i="1"/>
  <c r="F2578" i="1"/>
  <c r="H2578" i="1"/>
  <c r="E2579" i="1"/>
  <c r="F2579" i="1"/>
  <c r="H2579" i="1"/>
  <c r="E2580" i="1"/>
  <c r="F2580" i="1"/>
  <c r="H2580" i="1"/>
  <c r="E2581" i="1"/>
  <c r="F2581" i="1"/>
  <c r="H2581" i="1"/>
  <c r="E2582" i="1"/>
  <c r="F2582" i="1"/>
  <c r="H2582" i="1"/>
  <c r="E2583" i="1"/>
  <c r="F2583" i="1"/>
  <c r="H2583" i="1"/>
  <c r="E2584" i="1"/>
  <c r="F2584" i="1"/>
  <c r="H2584" i="1"/>
  <c r="E2585" i="1"/>
  <c r="F2585" i="1"/>
  <c r="H2585" i="1"/>
  <c r="E2586" i="1"/>
  <c r="F2586" i="1"/>
  <c r="H2586" i="1"/>
  <c r="E2587" i="1"/>
  <c r="F2587" i="1"/>
  <c r="H2587" i="1"/>
  <c r="E2588" i="1"/>
  <c r="F2588" i="1"/>
  <c r="H2588" i="1"/>
  <c r="E2589" i="1"/>
  <c r="F2589" i="1"/>
  <c r="H2589" i="1"/>
  <c r="E2590" i="1"/>
  <c r="F2590" i="1"/>
  <c r="H2590" i="1"/>
  <c r="E2591" i="1"/>
  <c r="F2591" i="1"/>
  <c r="H2591" i="1"/>
  <c r="E2592" i="1"/>
  <c r="F2592" i="1"/>
  <c r="H2592" i="1"/>
  <c r="E2593" i="1"/>
  <c r="F2593" i="1"/>
  <c r="H2593" i="1"/>
  <c r="E2594" i="1"/>
  <c r="F2594" i="1"/>
  <c r="H2594" i="1"/>
  <c r="E2595" i="1"/>
  <c r="F2595" i="1"/>
  <c r="H2595" i="1"/>
  <c r="E2596" i="1"/>
  <c r="F2596" i="1"/>
  <c r="H2596" i="1"/>
  <c r="E2597" i="1"/>
  <c r="F2597" i="1"/>
  <c r="H2597" i="1"/>
  <c r="E2598" i="1"/>
  <c r="F2598" i="1"/>
  <c r="H2598" i="1"/>
  <c r="E2599" i="1"/>
  <c r="F2599" i="1"/>
  <c r="H2599" i="1"/>
  <c r="E2600" i="1"/>
  <c r="F2600" i="1"/>
  <c r="H2600" i="1"/>
  <c r="E2601" i="1"/>
  <c r="F2601" i="1"/>
  <c r="H2601" i="1"/>
  <c r="E2602" i="1"/>
  <c r="F2602" i="1"/>
  <c r="H2602" i="1"/>
  <c r="E2603" i="1"/>
  <c r="F2603" i="1"/>
  <c r="H2603" i="1"/>
  <c r="E2604" i="1"/>
  <c r="F2604" i="1"/>
  <c r="H2604" i="1"/>
  <c r="E2605" i="1"/>
  <c r="F2605" i="1"/>
  <c r="H2605" i="1"/>
  <c r="E2606" i="1"/>
  <c r="F2606" i="1"/>
  <c r="H2606" i="1"/>
  <c r="E2607" i="1"/>
  <c r="F2607" i="1"/>
  <c r="H2607" i="1"/>
  <c r="E2608" i="1"/>
  <c r="F2608" i="1"/>
  <c r="H2608" i="1"/>
  <c r="E2609" i="1"/>
  <c r="F2609" i="1"/>
  <c r="H2609" i="1"/>
  <c r="E2610" i="1"/>
  <c r="F2610" i="1"/>
  <c r="H2610" i="1"/>
  <c r="E2611" i="1"/>
  <c r="F2611" i="1"/>
  <c r="H2611" i="1"/>
  <c r="E2612" i="1"/>
  <c r="F2612" i="1"/>
  <c r="H2612" i="1"/>
  <c r="E2613" i="1"/>
  <c r="F2613" i="1"/>
  <c r="H2613" i="1"/>
  <c r="E2614" i="1"/>
  <c r="F2614" i="1"/>
  <c r="H2614" i="1"/>
  <c r="E2615" i="1"/>
  <c r="F2615" i="1"/>
  <c r="H2615" i="1"/>
  <c r="E2616" i="1"/>
  <c r="F2616" i="1"/>
  <c r="H2616" i="1"/>
  <c r="E2617" i="1"/>
  <c r="F2617" i="1"/>
  <c r="H2617" i="1"/>
  <c r="E2618" i="1"/>
  <c r="F2618" i="1"/>
  <c r="H2618" i="1"/>
  <c r="E2619" i="1"/>
  <c r="F2619" i="1"/>
  <c r="H2619" i="1"/>
  <c r="E2620" i="1"/>
  <c r="F2620" i="1"/>
  <c r="H2620" i="1"/>
  <c r="E2621" i="1"/>
  <c r="F2621" i="1"/>
  <c r="H2621" i="1"/>
  <c r="E2622" i="1"/>
  <c r="F2622" i="1"/>
  <c r="H2622" i="1"/>
  <c r="E2623" i="1"/>
  <c r="F2623" i="1"/>
  <c r="H2623" i="1"/>
  <c r="E2624" i="1"/>
  <c r="F2624" i="1"/>
  <c r="H2624" i="1"/>
  <c r="E2625" i="1"/>
  <c r="F2625" i="1"/>
  <c r="H2625" i="1"/>
  <c r="E2626" i="1"/>
  <c r="F2626" i="1"/>
  <c r="H2626" i="1"/>
  <c r="E2627" i="1"/>
  <c r="F2627" i="1"/>
  <c r="H2627" i="1"/>
  <c r="E2628" i="1"/>
  <c r="F2628" i="1"/>
  <c r="H2628" i="1"/>
  <c r="E2629" i="1"/>
  <c r="F2629" i="1"/>
  <c r="H2629" i="1"/>
  <c r="E2630" i="1"/>
  <c r="F2630" i="1"/>
  <c r="H2630" i="1"/>
  <c r="E2631" i="1"/>
  <c r="F2631" i="1"/>
  <c r="H2631" i="1"/>
  <c r="E2632" i="1"/>
  <c r="F2632" i="1"/>
  <c r="H2632" i="1"/>
  <c r="E2633" i="1"/>
  <c r="F2633" i="1"/>
  <c r="H2633" i="1"/>
  <c r="E2634" i="1"/>
  <c r="F2634" i="1"/>
  <c r="H2634" i="1"/>
  <c r="E2635" i="1"/>
  <c r="F2635" i="1"/>
  <c r="H2635" i="1"/>
  <c r="E2636" i="1"/>
  <c r="F2636" i="1"/>
  <c r="H2636" i="1"/>
  <c r="E2637" i="1"/>
  <c r="F2637" i="1"/>
  <c r="H2637" i="1"/>
  <c r="E2638" i="1"/>
  <c r="F2638" i="1"/>
  <c r="H2638" i="1"/>
  <c r="E2639" i="1"/>
  <c r="F2639" i="1"/>
  <c r="H2639" i="1"/>
  <c r="E2640" i="1"/>
  <c r="F2640" i="1"/>
  <c r="H2640" i="1"/>
  <c r="E2641" i="1"/>
  <c r="F2641" i="1"/>
  <c r="H2641" i="1"/>
  <c r="E2642" i="1"/>
  <c r="F2642" i="1"/>
  <c r="H2642" i="1"/>
  <c r="E2643" i="1"/>
  <c r="F2643" i="1"/>
  <c r="H2643" i="1"/>
  <c r="E2644" i="1"/>
  <c r="F2644" i="1"/>
  <c r="H2644" i="1"/>
  <c r="E2645" i="1"/>
  <c r="F2645" i="1"/>
  <c r="H2645" i="1"/>
  <c r="E2646" i="1"/>
  <c r="F2646" i="1"/>
  <c r="H2646" i="1"/>
  <c r="E2647" i="1"/>
  <c r="F2647" i="1"/>
  <c r="H2647" i="1"/>
  <c r="E2648" i="1"/>
  <c r="F2648" i="1"/>
  <c r="H2648" i="1"/>
  <c r="E2649" i="1"/>
  <c r="F2649" i="1"/>
  <c r="H2649" i="1"/>
  <c r="E2650" i="1"/>
  <c r="F2650" i="1"/>
  <c r="H2650" i="1"/>
  <c r="E2651" i="1"/>
  <c r="F2651" i="1"/>
  <c r="H2651" i="1"/>
  <c r="E2652" i="1"/>
  <c r="F2652" i="1"/>
  <c r="H2652" i="1"/>
  <c r="E2653" i="1"/>
  <c r="F2653" i="1"/>
  <c r="H2653" i="1"/>
  <c r="E2654" i="1"/>
  <c r="F2654" i="1"/>
  <c r="H2654" i="1"/>
  <c r="E2655" i="1"/>
  <c r="F2655" i="1"/>
  <c r="H2655" i="1"/>
  <c r="E2656" i="1"/>
  <c r="F2656" i="1"/>
  <c r="H2656" i="1"/>
  <c r="E2657" i="1"/>
  <c r="F2657" i="1"/>
  <c r="H2657" i="1"/>
  <c r="E2658" i="1"/>
  <c r="F2658" i="1"/>
  <c r="H2658" i="1"/>
  <c r="E2659" i="1"/>
  <c r="F2659" i="1"/>
  <c r="H2659" i="1"/>
  <c r="E2660" i="1"/>
  <c r="F2660" i="1"/>
  <c r="H2660" i="1"/>
  <c r="E2661" i="1"/>
  <c r="F2661" i="1"/>
  <c r="H2661" i="1"/>
  <c r="E2662" i="1"/>
  <c r="F2662" i="1"/>
  <c r="H2662" i="1"/>
  <c r="E2663" i="1"/>
  <c r="F2663" i="1"/>
  <c r="H2663" i="1"/>
  <c r="E2664" i="1"/>
  <c r="F2664" i="1"/>
  <c r="H2664" i="1"/>
  <c r="E2665" i="1"/>
  <c r="F2665" i="1"/>
  <c r="H2665" i="1"/>
  <c r="E2666" i="1"/>
  <c r="F2666" i="1"/>
  <c r="H2666" i="1"/>
  <c r="E2667" i="1"/>
  <c r="F2667" i="1"/>
  <c r="H2667" i="1"/>
  <c r="E2668" i="1"/>
  <c r="F2668" i="1"/>
  <c r="H2668" i="1"/>
  <c r="E2669" i="1"/>
  <c r="F2669" i="1"/>
  <c r="H2669" i="1"/>
  <c r="E2670" i="1"/>
  <c r="F2670" i="1"/>
  <c r="H2670" i="1"/>
  <c r="E2671" i="1"/>
  <c r="F2671" i="1"/>
  <c r="H2671" i="1"/>
  <c r="E2672" i="1"/>
  <c r="F2672" i="1"/>
  <c r="H2672" i="1"/>
  <c r="E2673" i="1"/>
  <c r="F2673" i="1"/>
  <c r="H2673" i="1"/>
  <c r="E2674" i="1"/>
  <c r="F2674" i="1"/>
  <c r="H2674" i="1"/>
  <c r="E2675" i="1"/>
  <c r="F2675" i="1"/>
  <c r="H2675" i="1"/>
  <c r="E2676" i="1"/>
  <c r="F2676" i="1"/>
  <c r="H2676" i="1"/>
  <c r="E2677" i="1"/>
  <c r="F2677" i="1"/>
  <c r="H2677" i="1"/>
  <c r="E2678" i="1"/>
  <c r="F2678" i="1"/>
  <c r="H2678" i="1"/>
  <c r="E2679" i="1"/>
  <c r="F2679" i="1"/>
  <c r="H2679" i="1"/>
  <c r="E2680" i="1"/>
  <c r="F2680" i="1"/>
  <c r="H2680" i="1"/>
  <c r="E2681" i="1"/>
  <c r="F2681" i="1"/>
  <c r="H2681" i="1"/>
  <c r="E2682" i="1"/>
  <c r="F2682" i="1"/>
  <c r="H2682" i="1"/>
  <c r="E2683" i="1"/>
  <c r="F2683" i="1"/>
  <c r="H2683" i="1"/>
  <c r="E2684" i="1"/>
  <c r="F2684" i="1"/>
  <c r="H2684" i="1"/>
  <c r="E2685" i="1"/>
  <c r="F2685" i="1"/>
  <c r="H2685" i="1"/>
  <c r="E2686" i="1"/>
  <c r="F2686" i="1"/>
  <c r="H2686" i="1"/>
  <c r="E2687" i="1"/>
  <c r="F2687" i="1"/>
  <c r="H2687" i="1"/>
  <c r="E2688" i="1"/>
  <c r="F2688" i="1"/>
  <c r="H2688" i="1"/>
  <c r="E2689" i="1"/>
  <c r="F2689" i="1"/>
  <c r="H2689" i="1"/>
  <c r="E2690" i="1"/>
  <c r="F2690" i="1"/>
  <c r="H2690" i="1"/>
  <c r="E2691" i="1"/>
  <c r="F2691" i="1"/>
  <c r="H2691" i="1"/>
  <c r="E2692" i="1"/>
  <c r="F2692" i="1"/>
  <c r="H2692" i="1"/>
  <c r="E2693" i="1"/>
  <c r="F2693" i="1"/>
  <c r="H2693" i="1"/>
  <c r="E2694" i="1"/>
  <c r="F2694" i="1"/>
  <c r="H2694" i="1"/>
  <c r="E2695" i="1"/>
  <c r="F2695" i="1"/>
  <c r="H2695" i="1"/>
  <c r="E2696" i="1"/>
  <c r="F2696" i="1"/>
  <c r="H2696" i="1"/>
  <c r="E2697" i="1"/>
  <c r="F2697" i="1"/>
  <c r="H2697" i="1"/>
  <c r="E2698" i="1"/>
  <c r="F2698" i="1"/>
  <c r="H2698" i="1"/>
  <c r="E2699" i="1"/>
  <c r="F2699" i="1"/>
  <c r="H2699" i="1"/>
  <c r="E2700" i="1"/>
  <c r="F2700" i="1"/>
  <c r="H2700" i="1"/>
  <c r="E2701" i="1"/>
  <c r="F2701" i="1"/>
  <c r="H2701" i="1"/>
  <c r="E2702" i="1"/>
  <c r="F2702" i="1"/>
  <c r="H2702" i="1"/>
  <c r="E2703" i="1"/>
  <c r="F2703" i="1"/>
  <c r="H2703" i="1"/>
  <c r="E2704" i="1"/>
  <c r="F2704" i="1"/>
  <c r="H2704" i="1"/>
  <c r="E2705" i="1"/>
  <c r="F2705" i="1"/>
  <c r="H2705" i="1"/>
  <c r="E2706" i="1"/>
  <c r="F2706" i="1"/>
  <c r="H2706" i="1"/>
  <c r="E2707" i="1"/>
  <c r="F2707" i="1"/>
  <c r="H2707" i="1"/>
  <c r="E2708" i="1"/>
  <c r="F2708" i="1"/>
  <c r="H2708" i="1"/>
  <c r="E2709" i="1"/>
  <c r="F2709" i="1"/>
  <c r="H2709" i="1"/>
  <c r="E2710" i="1"/>
  <c r="F2710" i="1"/>
  <c r="H2710" i="1"/>
  <c r="E2711" i="1"/>
  <c r="F2711" i="1"/>
  <c r="H2711" i="1"/>
  <c r="E2712" i="1"/>
  <c r="F2712" i="1"/>
  <c r="H2712" i="1"/>
  <c r="E2713" i="1"/>
  <c r="F2713" i="1"/>
  <c r="H2713" i="1"/>
  <c r="E2714" i="1"/>
  <c r="F2714" i="1"/>
  <c r="H2714" i="1"/>
  <c r="E2715" i="1"/>
  <c r="F2715" i="1"/>
  <c r="H2715" i="1"/>
  <c r="E2716" i="1"/>
  <c r="F2716" i="1"/>
  <c r="H2716" i="1"/>
  <c r="E2717" i="1"/>
  <c r="F2717" i="1"/>
  <c r="H2717" i="1"/>
  <c r="E2718" i="1"/>
  <c r="F2718" i="1"/>
  <c r="H2718" i="1"/>
  <c r="E2719" i="1"/>
  <c r="F2719" i="1"/>
  <c r="H2719" i="1"/>
  <c r="E2720" i="1"/>
  <c r="F2720" i="1"/>
  <c r="H2720" i="1"/>
  <c r="E2721" i="1"/>
  <c r="F2721" i="1"/>
  <c r="H2721" i="1"/>
  <c r="E2722" i="1"/>
  <c r="F2722" i="1"/>
  <c r="H2722" i="1"/>
  <c r="E2723" i="1"/>
  <c r="F2723" i="1"/>
  <c r="H2723" i="1"/>
  <c r="E2724" i="1"/>
  <c r="F2724" i="1"/>
  <c r="H2724" i="1"/>
  <c r="E2725" i="1"/>
  <c r="F2725" i="1"/>
  <c r="H2725" i="1"/>
  <c r="E2726" i="1"/>
  <c r="F2726" i="1"/>
  <c r="H2726" i="1"/>
  <c r="E2727" i="1"/>
  <c r="F2727" i="1"/>
  <c r="H2727" i="1"/>
  <c r="E2728" i="1"/>
  <c r="F2728" i="1"/>
  <c r="H2728" i="1"/>
  <c r="E2729" i="1"/>
  <c r="F2729" i="1"/>
  <c r="H2729" i="1"/>
  <c r="E2730" i="1"/>
  <c r="F2730" i="1"/>
  <c r="H2730" i="1"/>
  <c r="E2731" i="1"/>
  <c r="F2731" i="1"/>
  <c r="H2731" i="1"/>
  <c r="E2732" i="1"/>
  <c r="F2732" i="1"/>
  <c r="H2732" i="1"/>
  <c r="E2733" i="1"/>
  <c r="F2733" i="1"/>
  <c r="H2733" i="1"/>
  <c r="E2734" i="1"/>
  <c r="F2734" i="1"/>
  <c r="H2734" i="1"/>
  <c r="E2735" i="1"/>
  <c r="F2735" i="1"/>
  <c r="H2735" i="1"/>
  <c r="E2736" i="1"/>
  <c r="F2736" i="1"/>
  <c r="H2736" i="1"/>
  <c r="E2737" i="1"/>
  <c r="F2737" i="1"/>
  <c r="H2737" i="1"/>
  <c r="E2738" i="1"/>
  <c r="F2738" i="1"/>
  <c r="H2738" i="1"/>
  <c r="E2739" i="1"/>
  <c r="F2739" i="1"/>
  <c r="H2739" i="1"/>
  <c r="E2740" i="1"/>
  <c r="F2740" i="1"/>
  <c r="H2740" i="1"/>
  <c r="E2741" i="1"/>
  <c r="F2741" i="1"/>
  <c r="H2741" i="1"/>
  <c r="E2742" i="1"/>
  <c r="F2742" i="1"/>
  <c r="H2742" i="1"/>
  <c r="E2743" i="1"/>
  <c r="F2743" i="1"/>
  <c r="H2743" i="1"/>
  <c r="E2744" i="1"/>
  <c r="F2744" i="1"/>
  <c r="H2744" i="1"/>
  <c r="E2745" i="1"/>
  <c r="F2745" i="1"/>
  <c r="H2745" i="1"/>
  <c r="E2746" i="1"/>
  <c r="F2746" i="1"/>
  <c r="H2746" i="1"/>
  <c r="E2747" i="1"/>
  <c r="F2747" i="1"/>
  <c r="H2747" i="1"/>
  <c r="E2748" i="1"/>
  <c r="F2748" i="1"/>
  <c r="H2748" i="1"/>
  <c r="E2749" i="1"/>
  <c r="F2749" i="1"/>
  <c r="H2749" i="1"/>
  <c r="E2750" i="1"/>
  <c r="F2750" i="1"/>
  <c r="H2750" i="1"/>
  <c r="E2751" i="1"/>
  <c r="F2751" i="1"/>
  <c r="H2751" i="1"/>
  <c r="E2752" i="1"/>
  <c r="F2752" i="1"/>
  <c r="H2752" i="1"/>
  <c r="E2753" i="1"/>
  <c r="F2753" i="1"/>
  <c r="H2753" i="1"/>
  <c r="E2754" i="1"/>
  <c r="F2754" i="1"/>
  <c r="H2754" i="1"/>
  <c r="E2755" i="1"/>
  <c r="F2755" i="1"/>
  <c r="H2755" i="1"/>
  <c r="E2756" i="1"/>
  <c r="F2756" i="1"/>
  <c r="H2756" i="1"/>
  <c r="E2757" i="1"/>
  <c r="F2757" i="1"/>
  <c r="H2757" i="1"/>
  <c r="E2758" i="1"/>
  <c r="F2758" i="1"/>
  <c r="H2758" i="1"/>
  <c r="E2759" i="1"/>
  <c r="F2759" i="1"/>
  <c r="H2759" i="1"/>
  <c r="E2760" i="1"/>
  <c r="F2760" i="1"/>
  <c r="H2760" i="1"/>
  <c r="E2761" i="1"/>
  <c r="F2761" i="1"/>
  <c r="H2761" i="1"/>
  <c r="E2762" i="1"/>
  <c r="F2762" i="1"/>
  <c r="H2762" i="1"/>
  <c r="E2763" i="1"/>
  <c r="F2763" i="1"/>
  <c r="H2763" i="1"/>
  <c r="E2764" i="1"/>
  <c r="F2764" i="1"/>
  <c r="H2764" i="1"/>
  <c r="E2765" i="1"/>
  <c r="F2765" i="1"/>
  <c r="H2765" i="1"/>
  <c r="E2766" i="1"/>
  <c r="F2766" i="1"/>
  <c r="H2766" i="1"/>
  <c r="E2767" i="1"/>
  <c r="F2767" i="1"/>
  <c r="H2767" i="1"/>
  <c r="E2768" i="1"/>
  <c r="F2768" i="1"/>
  <c r="H2768" i="1"/>
  <c r="E2769" i="1"/>
  <c r="F2769" i="1"/>
  <c r="H2769" i="1"/>
  <c r="E2770" i="1"/>
  <c r="F2770" i="1"/>
  <c r="H2770" i="1"/>
  <c r="E2771" i="1"/>
  <c r="F2771" i="1"/>
  <c r="H2771" i="1"/>
  <c r="E2772" i="1"/>
  <c r="F2772" i="1"/>
  <c r="H2772" i="1"/>
  <c r="E2773" i="1"/>
  <c r="F2773" i="1"/>
  <c r="H2773" i="1"/>
  <c r="E2774" i="1"/>
  <c r="F2774" i="1"/>
  <c r="H2774" i="1"/>
  <c r="E2775" i="1"/>
  <c r="F2775" i="1"/>
  <c r="H2775" i="1"/>
  <c r="E2776" i="1"/>
  <c r="F2776" i="1"/>
  <c r="H2776" i="1"/>
  <c r="E2777" i="1"/>
  <c r="F2777" i="1"/>
  <c r="H2777" i="1"/>
  <c r="E2778" i="1"/>
  <c r="F2778" i="1"/>
  <c r="H2778" i="1"/>
  <c r="E2779" i="1"/>
  <c r="F2779" i="1"/>
  <c r="H2779" i="1"/>
  <c r="E2780" i="1"/>
  <c r="F2780" i="1"/>
  <c r="H2780" i="1"/>
  <c r="E2781" i="1"/>
  <c r="F2781" i="1"/>
  <c r="H2781" i="1"/>
  <c r="E2782" i="1"/>
  <c r="F2782" i="1"/>
  <c r="H2782" i="1"/>
  <c r="E2783" i="1"/>
  <c r="F2783" i="1"/>
  <c r="H2783" i="1"/>
  <c r="E2784" i="1"/>
  <c r="F2784" i="1"/>
  <c r="H2784" i="1"/>
  <c r="E2785" i="1"/>
  <c r="F2785" i="1"/>
  <c r="H2785" i="1"/>
  <c r="E2786" i="1"/>
  <c r="F2786" i="1"/>
  <c r="H2786" i="1"/>
  <c r="E2787" i="1"/>
  <c r="F2787" i="1"/>
  <c r="H2787" i="1"/>
  <c r="E2788" i="1"/>
  <c r="F2788" i="1"/>
  <c r="H2788" i="1"/>
  <c r="E2789" i="1"/>
  <c r="F2789" i="1"/>
  <c r="H2789" i="1"/>
  <c r="E2790" i="1"/>
  <c r="F2790" i="1"/>
  <c r="H2790" i="1"/>
  <c r="E2791" i="1"/>
  <c r="F2791" i="1"/>
  <c r="H2791" i="1"/>
  <c r="E2792" i="1"/>
  <c r="F2792" i="1"/>
  <c r="H2792" i="1"/>
  <c r="E2793" i="1"/>
  <c r="F2793" i="1"/>
  <c r="H2793" i="1"/>
  <c r="E2794" i="1"/>
  <c r="F2794" i="1"/>
  <c r="H2794" i="1"/>
  <c r="E2795" i="1"/>
  <c r="F2795" i="1"/>
  <c r="H2795" i="1"/>
  <c r="E2796" i="1"/>
  <c r="F2796" i="1"/>
  <c r="H2796" i="1"/>
  <c r="E2797" i="1"/>
  <c r="F2797" i="1"/>
  <c r="H2797" i="1"/>
  <c r="E2798" i="1"/>
  <c r="F2798" i="1"/>
  <c r="H2798" i="1"/>
  <c r="E2799" i="1"/>
  <c r="F2799" i="1"/>
  <c r="H2799" i="1"/>
  <c r="E2800" i="1"/>
  <c r="F2800" i="1"/>
  <c r="H2800" i="1"/>
  <c r="E2801" i="1"/>
  <c r="F2801" i="1"/>
  <c r="H2801" i="1"/>
  <c r="E2802" i="1"/>
  <c r="F2802" i="1"/>
  <c r="H2802" i="1"/>
  <c r="E2803" i="1"/>
  <c r="F2803" i="1"/>
  <c r="H2803" i="1"/>
  <c r="E2804" i="1"/>
  <c r="F2804" i="1"/>
  <c r="H2804" i="1"/>
  <c r="E2805" i="1"/>
  <c r="F2805" i="1"/>
  <c r="H2805" i="1"/>
  <c r="E2806" i="1"/>
  <c r="F2806" i="1"/>
  <c r="H2806" i="1"/>
  <c r="E2807" i="1"/>
  <c r="F2807" i="1"/>
  <c r="H2807" i="1"/>
  <c r="E2808" i="1"/>
  <c r="F2808" i="1"/>
  <c r="H2808" i="1"/>
  <c r="E2809" i="1"/>
  <c r="F2809" i="1"/>
  <c r="H2809" i="1"/>
  <c r="E2810" i="1"/>
  <c r="F2810" i="1"/>
  <c r="H2810" i="1"/>
  <c r="E2811" i="1"/>
  <c r="F2811" i="1"/>
  <c r="H2811" i="1"/>
  <c r="E2812" i="1"/>
  <c r="F2812" i="1"/>
  <c r="H2812" i="1"/>
  <c r="E2813" i="1"/>
  <c r="F2813" i="1"/>
  <c r="H2813" i="1"/>
  <c r="E2814" i="1"/>
  <c r="F2814" i="1"/>
  <c r="H2814" i="1"/>
  <c r="E2815" i="1"/>
  <c r="F2815" i="1"/>
  <c r="H2815" i="1"/>
  <c r="E2816" i="1"/>
  <c r="F2816" i="1"/>
  <c r="H2816" i="1"/>
  <c r="E2817" i="1"/>
  <c r="F2817" i="1"/>
  <c r="H2817" i="1"/>
  <c r="E2818" i="1"/>
  <c r="F2818" i="1"/>
  <c r="H2818" i="1"/>
  <c r="E2819" i="1"/>
  <c r="F2819" i="1"/>
  <c r="H2819" i="1"/>
  <c r="E2820" i="1"/>
  <c r="F2820" i="1"/>
  <c r="H2820" i="1"/>
  <c r="E2821" i="1"/>
  <c r="F2821" i="1"/>
  <c r="H2821" i="1"/>
  <c r="E2822" i="1"/>
  <c r="F2822" i="1"/>
  <c r="H2822" i="1"/>
  <c r="E2823" i="1"/>
  <c r="F2823" i="1"/>
  <c r="H2823" i="1"/>
  <c r="E2824" i="1"/>
  <c r="F2824" i="1"/>
  <c r="H2824" i="1"/>
  <c r="E2825" i="1"/>
  <c r="F2825" i="1"/>
  <c r="H2825" i="1"/>
  <c r="E2826" i="1"/>
  <c r="F2826" i="1"/>
  <c r="H2826" i="1"/>
  <c r="E2827" i="1"/>
  <c r="F2827" i="1"/>
  <c r="H2827" i="1"/>
  <c r="E2828" i="1"/>
  <c r="F2828" i="1"/>
  <c r="H2828" i="1"/>
  <c r="E2829" i="1"/>
  <c r="F2829" i="1"/>
  <c r="H2829" i="1"/>
  <c r="E2830" i="1"/>
  <c r="F2830" i="1"/>
  <c r="H2830" i="1"/>
  <c r="E2831" i="1"/>
  <c r="F2831" i="1"/>
  <c r="H2831" i="1"/>
  <c r="E2832" i="1"/>
  <c r="F2832" i="1"/>
  <c r="H2832" i="1"/>
  <c r="E2833" i="1"/>
  <c r="F2833" i="1"/>
  <c r="H2833" i="1"/>
  <c r="E2834" i="1"/>
  <c r="F2834" i="1"/>
  <c r="H2834" i="1"/>
  <c r="E2835" i="1"/>
  <c r="F2835" i="1"/>
  <c r="H2835" i="1"/>
  <c r="E2836" i="1"/>
  <c r="F2836" i="1"/>
  <c r="H2836" i="1"/>
  <c r="E2837" i="1"/>
  <c r="F2837" i="1"/>
  <c r="H2837" i="1"/>
  <c r="E2838" i="1"/>
  <c r="F2838" i="1"/>
  <c r="H2838" i="1"/>
  <c r="E2839" i="1"/>
  <c r="F2839" i="1"/>
  <c r="H2839" i="1"/>
  <c r="E2840" i="1"/>
  <c r="F2840" i="1"/>
  <c r="H2840" i="1"/>
  <c r="E2841" i="1"/>
  <c r="F2841" i="1"/>
  <c r="H2841" i="1"/>
  <c r="E2842" i="1"/>
  <c r="F2842" i="1"/>
  <c r="H2842" i="1"/>
  <c r="E2843" i="1"/>
  <c r="F2843" i="1"/>
  <c r="H2843" i="1"/>
  <c r="E2844" i="1"/>
  <c r="F2844" i="1"/>
  <c r="H2844" i="1"/>
  <c r="E2845" i="1"/>
  <c r="F2845" i="1"/>
  <c r="H2845" i="1"/>
  <c r="E2846" i="1"/>
  <c r="F2846" i="1"/>
  <c r="H2846" i="1"/>
  <c r="E2847" i="1"/>
  <c r="F2847" i="1"/>
  <c r="H2847" i="1"/>
  <c r="E2848" i="1"/>
  <c r="F2848" i="1"/>
  <c r="H2848" i="1"/>
  <c r="E2849" i="1"/>
  <c r="F2849" i="1"/>
  <c r="H2849" i="1"/>
  <c r="E2850" i="1"/>
  <c r="F2850" i="1"/>
  <c r="H2850" i="1"/>
  <c r="E2851" i="1"/>
  <c r="F2851" i="1"/>
  <c r="H2851" i="1"/>
  <c r="E2852" i="1"/>
  <c r="F2852" i="1"/>
  <c r="H2852" i="1"/>
  <c r="E2853" i="1"/>
  <c r="F2853" i="1"/>
  <c r="H2853" i="1"/>
  <c r="E2854" i="1"/>
  <c r="F2854" i="1"/>
  <c r="H2854" i="1"/>
  <c r="E2855" i="1"/>
  <c r="F2855" i="1"/>
  <c r="H2855" i="1"/>
  <c r="E2856" i="1"/>
  <c r="F2856" i="1"/>
  <c r="H2856" i="1"/>
  <c r="E2857" i="1"/>
  <c r="F2857" i="1"/>
  <c r="H2857" i="1"/>
  <c r="E2858" i="1"/>
  <c r="F2858" i="1"/>
  <c r="H2858" i="1"/>
  <c r="E2859" i="1"/>
  <c r="F2859" i="1"/>
  <c r="H2859" i="1"/>
  <c r="E2860" i="1"/>
  <c r="F2860" i="1"/>
  <c r="H2860" i="1"/>
  <c r="E2861" i="1"/>
  <c r="F2861" i="1"/>
  <c r="H2861" i="1"/>
  <c r="E2862" i="1"/>
  <c r="F2862" i="1"/>
  <c r="H2862" i="1"/>
  <c r="E2863" i="1"/>
  <c r="F2863" i="1"/>
  <c r="H2863" i="1"/>
  <c r="E2864" i="1"/>
  <c r="F2864" i="1"/>
  <c r="H2864" i="1"/>
  <c r="E2865" i="1"/>
  <c r="F2865" i="1"/>
  <c r="H2865" i="1"/>
  <c r="E2866" i="1"/>
  <c r="F2866" i="1"/>
  <c r="H2866" i="1"/>
  <c r="E2867" i="1"/>
  <c r="F2867" i="1"/>
  <c r="H2867" i="1"/>
  <c r="E2868" i="1"/>
  <c r="F2868" i="1"/>
  <c r="H2868" i="1"/>
  <c r="E2869" i="1"/>
  <c r="F2869" i="1"/>
  <c r="H2869" i="1"/>
  <c r="E2870" i="1"/>
  <c r="F2870" i="1"/>
  <c r="H2870" i="1"/>
  <c r="E2871" i="1"/>
  <c r="F2871" i="1"/>
  <c r="H2871" i="1"/>
  <c r="E2872" i="1"/>
  <c r="F2872" i="1"/>
  <c r="H2872" i="1"/>
  <c r="E2873" i="1"/>
  <c r="F2873" i="1"/>
  <c r="H2873" i="1"/>
  <c r="E2874" i="1"/>
  <c r="F2874" i="1"/>
  <c r="H2874" i="1"/>
  <c r="E2875" i="1"/>
  <c r="F2875" i="1"/>
  <c r="H2875" i="1"/>
  <c r="E2876" i="1"/>
  <c r="F2876" i="1"/>
  <c r="H2876" i="1"/>
  <c r="E2877" i="1"/>
  <c r="F2877" i="1"/>
  <c r="H2877" i="1"/>
  <c r="E2878" i="1"/>
  <c r="F2878" i="1"/>
  <c r="H2878" i="1"/>
  <c r="E2879" i="1"/>
  <c r="F2879" i="1"/>
  <c r="H2879" i="1"/>
  <c r="E2880" i="1"/>
  <c r="F2880" i="1"/>
  <c r="H2880" i="1"/>
  <c r="E2881" i="1"/>
  <c r="F2881" i="1"/>
  <c r="H2881" i="1"/>
  <c r="E2882" i="1"/>
  <c r="F2882" i="1"/>
  <c r="H2882" i="1"/>
  <c r="E2883" i="1"/>
  <c r="F2883" i="1"/>
  <c r="H2883" i="1"/>
  <c r="E2884" i="1"/>
  <c r="F2884" i="1"/>
  <c r="H2884" i="1"/>
  <c r="E2885" i="1"/>
  <c r="F2885" i="1"/>
  <c r="H2885" i="1"/>
  <c r="E2886" i="1"/>
  <c r="F2886" i="1"/>
  <c r="H2886" i="1"/>
  <c r="E2887" i="1"/>
  <c r="F2887" i="1"/>
  <c r="H2887" i="1"/>
  <c r="E2888" i="1"/>
  <c r="F2888" i="1"/>
  <c r="H2888" i="1"/>
  <c r="E2889" i="1"/>
  <c r="F2889" i="1"/>
  <c r="H2889" i="1"/>
  <c r="E2890" i="1"/>
  <c r="F2890" i="1"/>
  <c r="H2890" i="1"/>
  <c r="E2891" i="1"/>
  <c r="F2891" i="1"/>
  <c r="H2891" i="1"/>
  <c r="E2892" i="1"/>
  <c r="F2892" i="1"/>
  <c r="H2892" i="1"/>
  <c r="E2893" i="1"/>
  <c r="F2893" i="1"/>
  <c r="H2893" i="1"/>
  <c r="E2894" i="1"/>
  <c r="F2894" i="1"/>
  <c r="H2894" i="1"/>
  <c r="E2895" i="1"/>
  <c r="F2895" i="1"/>
  <c r="H2895" i="1"/>
  <c r="E2896" i="1"/>
  <c r="F2896" i="1"/>
  <c r="H2896" i="1"/>
  <c r="E2897" i="1"/>
  <c r="F2897" i="1"/>
  <c r="H2897" i="1"/>
  <c r="E2898" i="1"/>
  <c r="F2898" i="1"/>
  <c r="H2898" i="1"/>
  <c r="E2899" i="1"/>
  <c r="F2899" i="1"/>
  <c r="H2899" i="1"/>
  <c r="E2900" i="1"/>
  <c r="F2900" i="1"/>
  <c r="H2900" i="1"/>
  <c r="E2901" i="1"/>
  <c r="F2901" i="1"/>
  <c r="H2901" i="1"/>
  <c r="E2902" i="1"/>
  <c r="F2902" i="1"/>
  <c r="H2902" i="1"/>
  <c r="E2903" i="1"/>
  <c r="F2903" i="1"/>
  <c r="H2903" i="1"/>
  <c r="E2904" i="1"/>
  <c r="F2904" i="1"/>
  <c r="H2904" i="1"/>
  <c r="E2905" i="1"/>
  <c r="F2905" i="1"/>
  <c r="H2905" i="1"/>
  <c r="E2906" i="1"/>
  <c r="F2906" i="1"/>
  <c r="H2906" i="1"/>
  <c r="E2907" i="1"/>
  <c r="F2907" i="1"/>
  <c r="H2907" i="1"/>
  <c r="E2908" i="1"/>
  <c r="F2908" i="1"/>
  <c r="H2908" i="1"/>
  <c r="E2909" i="1"/>
  <c r="F2909" i="1"/>
  <c r="H2909" i="1"/>
  <c r="E2910" i="1"/>
  <c r="F2910" i="1"/>
  <c r="H2910" i="1"/>
  <c r="E2911" i="1"/>
  <c r="F2911" i="1"/>
  <c r="H2911" i="1"/>
  <c r="E2912" i="1"/>
  <c r="F2912" i="1"/>
  <c r="H2912" i="1"/>
  <c r="E2913" i="1"/>
  <c r="F2913" i="1"/>
  <c r="H2913" i="1"/>
  <c r="E2914" i="1"/>
  <c r="F2914" i="1"/>
  <c r="H2914" i="1"/>
  <c r="E2915" i="1"/>
  <c r="F2915" i="1"/>
  <c r="H2915" i="1"/>
  <c r="E2916" i="1"/>
  <c r="F2916" i="1"/>
  <c r="H2916" i="1"/>
  <c r="E2917" i="1"/>
  <c r="F2917" i="1"/>
  <c r="H2917" i="1"/>
  <c r="E2918" i="1"/>
  <c r="F2918" i="1"/>
  <c r="H2918" i="1"/>
  <c r="E2919" i="1"/>
  <c r="F2919" i="1"/>
  <c r="H2919" i="1"/>
  <c r="E2920" i="1"/>
  <c r="F2920" i="1"/>
  <c r="H2920" i="1"/>
  <c r="E2921" i="1"/>
  <c r="F2921" i="1"/>
  <c r="H2921" i="1"/>
  <c r="E2922" i="1"/>
  <c r="F2922" i="1"/>
  <c r="H2922" i="1"/>
  <c r="E2923" i="1"/>
  <c r="F2923" i="1"/>
  <c r="H2923" i="1"/>
  <c r="E2924" i="1"/>
  <c r="F2924" i="1"/>
  <c r="H2924" i="1"/>
  <c r="E2925" i="1"/>
  <c r="F2925" i="1"/>
  <c r="H2925" i="1"/>
  <c r="E2926" i="1"/>
  <c r="F2926" i="1"/>
  <c r="H2926" i="1"/>
  <c r="E2927" i="1"/>
  <c r="F2927" i="1"/>
  <c r="H2927" i="1"/>
  <c r="E2928" i="1"/>
  <c r="F2928" i="1"/>
  <c r="H2928" i="1"/>
  <c r="E2929" i="1"/>
  <c r="F2929" i="1"/>
  <c r="H2929" i="1"/>
  <c r="E2930" i="1"/>
  <c r="F2930" i="1"/>
  <c r="H2930" i="1"/>
  <c r="E2931" i="1"/>
  <c r="F2931" i="1"/>
  <c r="H2931" i="1"/>
  <c r="E2932" i="1"/>
  <c r="F2932" i="1"/>
  <c r="H2932" i="1"/>
  <c r="E2933" i="1"/>
  <c r="F2933" i="1"/>
  <c r="H2933" i="1"/>
  <c r="E2934" i="1"/>
  <c r="F2934" i="1"/>
  <c r="H2934" i="1"/>
  <c r="E2935" i="1"/>
  <c r="F2935" i="1"/>
  <c r="H2935" i="1"/>
  <c r="E2936" i="1"/>
  <c r="F2936" i="1"/>
  <c r="H2936" i="1"/>
  <c r="E2937" i="1"/>
  <c r="F2937" i="1"/>
  <c r="H2937" i="1"/>
  <c r="E2938" i="1"/>
  <c r="F2938" i="1"/>
  <c r="H2938" i="1"/>
  <c r="E2939" i="1"/>
  <c r="F2939" i="1"/>
  <c r="H2939" i="1"/>
  <c r="E2940" i="1"/>
  <c r="F2940" i="1"/>
  <c r="H2940" i="1"/>
  <c r="E2941" i="1"/>
  <c r="F2941" i="1"/>
  <c r="H2941" i="1"/>
  <c r="E2942" i="1"/>
  <c r="F2942" i="1"/>
  <c r="H2942" i="1"/>
  <c r="E2943" i="1"/>
  <c r="F2943" i="1"/>
  <c r="H2943" i="1"/>
  <c r="E2944" i="1"/>
  <c r="F2944" i="1"/>
  <c r="H2944" i="1"/>
  <c r="E2945" i="1"/>
  <c r="F2945" i="1"/>
  <c r="H2945" i="1"/>
  <c r="E2946" i="1"/>
  <c r="F2946" i="1"/>
  <c r="H2946" i="1"/>
  <c r="E2947" i="1"/>
  <c r="F2947" i="1"/>
  <c r="H2947" i="1"/>
  <c r="E2948" i="1"/>
  <c r="F2948" i="1"/>
  <c r="H2948" i="1"/>
  <c r="E2949" i="1"/>
  <c r="F2949" i="1"/>
  <c r="H2949" i="1"/>
  <c r="E2950" i="1"/>
  <c r="F2950" i="1"/>
  <c r="H2950" i="1"/>
  <c r="E2951" i="1"/>
  <c r="F2951" i="1"/>
  <c r="H2951" i="1"/>
  <c r="E2952" i="1"/>
  <c r="F2952" i="1"/>
  <c r="H2952" i="1"/>
  <c r="E2953" i="1"/>
  <c r="F2953" i="1"/>
  <c r="H2953" i="1"/>
  <c r="E2954" i="1"/>
  <c r="F2954" i="1"/>
  <c r="H2954" i="1"/>
  <c r="E2955" i="1"/>
  <c r="F2955" i="1"/>
  <c r="H2955" i="1"/>
  <c r="E2956" i="1"/>
  <c r="F2956" i="1"/>
  <c r="H2956" i="1"/>
  <c r="E2957" i="1"/>
  <c r="F2957" i="1"/>
  <c r="H2957" i="1"/>
  <c r="E2958" i="1"/>
  <c r="F2958" i="1"/>
  <c r="H2958" i="1"/>
  <c r="E2959" i="1"/>
  <c r="F2959" i="1"/>
  <c r="H2959" i="1"/>
  <c r="E2960" i="1"/>
  <c r="F2960" i="1"/>
  <c r="H2960" i="1"/>
  <c r="E2961" i="1"/>
  <c r="F2961" i="1"/>
  <c r="H2961" i="1"/>
  <c r="E2962" i="1"/>
  <c r="F2962" i="1"/>
  <c r="H2962" i="1"/>
  <c r="E2963" i="1"/>
  <c r="F2963" i="1"/>
  <c r="H2963" i="1"/>
  <c r="E2964" i="1"/>
  <c r="F2964" i="1"/>
  <c r="H2964" i="1"/>
  <c r="E2965" i="1"/>
  <c r="F2965" i="1"/>
  <c r="H2965" i="1"/>
  <c r="E2966" i="1"/>
  <c r="F2966" i="1"/>
  <c r="H2966" i="1"/>
  <c r="E2967" i="1"/>
  <c r="F2967" i="1"/>
  <c r="H2967" i="1"/>
  <c r="E2968" i="1"/>
  <c r="F2968" i="1"/>
  <c r="H2968" i="1"/>
  <c r="E2969" i="1"/>
  <c r="F2969" i="1"/>
  <c r="H2969" i="1"/>
  <c r="E2970" i="1"/>
  <c r="F2970" i="1"/>
  <c r="H2970" i="1"/>
  <c r="E2971" i="1"/>
  <c r="F2971" i="1"/>
  <c r="H2971" i="1"/>
  <c r="E2972" i="1"/>
  <c r="F2972" i="1"/>
  <c r="H2972" i="1"/>
  <c r="E2973" i="1"/>
  <c r="F2973" i="1"/>
  <c r="H2973" i="1"/>
  <c r="E2974" i="1"/>
  <c r="F2974" i="1"/>
  <c r="H2974" i="1"/>
  <c r="E2975" i="1"/>
  <c r="F2975" i="1"/>
  <c r="H2975" i="1"/>
  <c r="E2976" i="1"/>
  <c r="F2976" i="1"/>
  <c r="H2976" i="1"/>
  <c r="E2977" i="1"/>
  <c r="F2977" i="1"/>
  <c r="H2977" i="1"/>
  <c r="E2978" i="1"/>
  <c r="F2978" i="1"/>
  <c r="H2978" i="1"/>
  <c r="E2979" i="1"/>
  <c r="F2979" i="1"/>
  <c r="H2979" i="1"/>
  <c r="E2980" i="1"/>
  <c r="F2980" i="1"/>
  <c r="H2980" i="1"/>
  <c r="E2981" i="1"/>
  <c r="F2981" i="1"/>
  <c r="H2981" i="1"/>
  <c r="E2982" i="1"/>
  <c r="F2982" i="1"/>
  <c r="H2982" i="1"/>
  <c r="E2983" i="1"/>
  <c r="F2983" i="1"/>
  <c r="H2983" i="1"/>
  <c r="E2984" i="1"/>
  <c r="F2984" i="1"/>
  <c r="H2984" i="1"/>
  <c r="E2985" i="1"/>
  <c r="F2985" i="1"/>
  <c r="H2985" i="1"/>
  <c r="E2986" i="1"/>
  <c r="F2986" i="1"/>
  <c r="H2986" i="1"/>
  <c r="E2987" i="1"/>
  <c r="F2987" i="1"/>
  <c r="H2987" i="1"/>
  <c r="E2988" i="1"/>
  <c r="F2988" i="1"/>
  <c r="H2988" i="1"/>
  <c r="E2989" i="1"/>
  <c r="F2989" i="1"/>
  <c r="H2989" i="1"/>
  <c r="E2990" i="1"/>
  <c r="F2990" i="1"/>
  <c r="H2990" i="1"/>
  <c r="E2991" i="1"/>
  <c r="F2991" i="1"/>
  <c r="H2991" i="1"/>
  <c r="E2992" i="1"/>
  <c r="F2992" i="1"/>
  <c r="H2992" i="1"/>
  <c r="E2993" i="1"/>
  <c r="F2993" i="1"/>
  <c r="H2993" i="1"/>
  <c r="E2994" i="1"/>
  <c r="F2994" i="1"/>
  <c r="H2994" i="1"/>
  <c r="E2995" i="1"/>
  <c r="F2995" i="1"/>
  <c r="H2995" i="1"/>
  <c r="E2996" i="1"/>
  <c r="F2996" i="1"/>
  <c r="H2996" i="1"/>
  <c r="E2997" i="1"/>
  <c r="F2997" i="1"/>
  <c r="H2997" i="1"/>
  <c r="E2998" i="1"/>
  <c r="F2998" i="1"/>
  <c r="H2998" i="1"/>
  <c r="E2999" i="1"/>
  <c r="F2999" i="1"/>
  <c r="H2999" i="1"/>
  <c r="E3000" i="1"/>
  <c r="F3000" i="1"/>
  <c r="H3000" i="1"/>
  <c r="E3001" i="1"/>
  <c r="F3001" i="1"/>
  <c r="H3001" i="1"/>
  <c r="E3002" i="1"/>
  <c r="F3002" i="1"/>
  <c r="H3002" i="1"/>
  <c r="E3003" i="1"/>
  <c r="F3003" i="1"/>
  <c r="H3003" i="1"/>
  <c r="E3004" i="1"/>
  <c r="F3004" i="1"/>
  <c r="H3004" i="1"/>
  <c r="E3005" i="1"/>
  <c r="F3005" i="1"/>
  <c r="H3005" i="1"/>
  <c r="E3006" i="1"/>
  <c r="F3006" i="1"/>
  <c r="H3006" i="1"/>
  <c r="E3007" i="1"/>
  <c r="F3007" i="1"/>
  <c r="H3007" i="1"/>
  <c r="E3008" i="1"/>
  <c r="F3008" i="1"/>
  <c r="H3008" i="1"/>
  <c r="E3009" i="1"/>
  <c r="F3009" i="1"/>
  <c r="H3009" i="1"/>
  <c r="E3010" i="1"/>
  <c r="F3010" i="1"/>
  <c r="H3010" i="1"/>
  <c r="E3011" i="1"/>
  <c r="F3011" i="1"/>
  <c r="H3011" i="1"/>
  <c r="E3012" i="1"/>
  <c r="F3012" i="1"/>
  <c r="H3012" i="1"/>
  <c r="E3013" i="1"/>
  <c r="F3013" i="1"/>
  <c r="H3013" i="1"/>
  <c r="E3014" i="1"/>
  <c r="F3014" i="1"/>
  <c r="H3014" i="1"/>
  <c r="E3015" i="1"/>
  <c r="F3015" i="1"/>
  <c r="H3015" i="1"/>
  <c r="E3016" i="1"/>
  <c r="F3016" i="1"/>
  <c r="H3016" i="1"/>
  <c r="E3017" i="1"/>
  <c r="F3017" i="1"/>
  <c r="H3017" i="1"/>
  <c r="E3018" i="1"/>
  <c r="F3018" i="1"/>
  <c r="H3018" i="1"/>
  <c r="E3019" i="1"/>
  <c r="F3019" i="1"/>
  <c r="H3019" i="1"/>
  <c r="E3020" i="1"/>
  <c r="F3020" i="1"/>
  <c r="H3020" i="1"/>
  <c r="E3021" i="1"/>
  <c r="F3021" i="1"/>
  <c r="H3021" i="1"/>
  <c r="E3022" i="1"/>
  <c r="F3022" i="1"/>
  <c r="H3022" i="1"/>
  <c r="E3023" i="1"/>
  <c r="F3023" i="1"/>
  <c r="H3023" i="1"/>
  <c r="E3024" i="1"/>
  <c r="F3024" i="1"/>
  <c r="H3024" i="1"/>
  <c r="E3025" i="1"/>
  <c r="F3025" i="1"/>
  <c r="H3025" i="1"/>
  <c r="E3026" i="1"/>
  <c r="F3026" i="1"/>
  <c r="H3026" i="1"/>
  <c r="E3027" i="1"/>
  <c r="F3027" i="1"/>
  <c r="H3027" i="1"/>
  <c r="E3028" i="1"/>
  <c r="F3028" i="1"/>
  <c r="H3028" i="1"/>
  <c r="E3029" i="1"/>
  <c r="F3029" i="1"/>
  <c r="H3029" i="1"/>
  <c r="E3030" i="1"/>
  <c r="F3030" i="1"/>
  <c r="H3030" i="1"/>
  <c r="E3031" i="1"/>
  <c r="F3031" i="1"/>
  <c r="H3031" i="1"/>
  <c r="E3032" i="1"/>
  <c r="F3032" i="1"/>
  <c r="H3032" i="1"/>
  <c r="E3033" i="1"/>
  <c r="F3033" i="1"/>
  <c r="H3033" i="1"/>
  <c r="E3034" i="1"/>
  <c r="F3034" i="1"/>
  <c r="H3034" i="1"/>
  <c r="E3035" i="1"/>
  <c r="F3035" i="1"/>
  <c r="H3035" i="1"/>
  <c r="E3036" i="1"/>
  <c r="F3036" i="1"/>
  <c r="H3036" i="1"/>
  <c r="E3037" i="1"/>
  <c r="F3037" i="1"/>
  <c r="H3037" i="1"/>
  <c r="E3038" i="1"/>
  <c r="F3038" i="1"/>
  <c r="H3038" i="1"/>
  <c r="E3039" i="1"/>
  <c r="F3039" i="1"/>
  <c r="H3039" i="1"/>
  <c r="E3040" i="1"/>
  <c r="F3040" i="1"/>
  <c r="H3040" i="1"/>
  <c r="E3041" i="1"/>
  <c r="F3041" i="1"/>
  <c r="H3041" i="1"/>
  <c r="E3042" i="1"/>
  <c r="F3042" i="1"/>
  <c r="H3042" i="1"/>
  <c r="E3043" i="1"/>
  <c r="F3043" i="1"/>
  <c r="H3043" i="1"/>
  <c r="E3044" i="1"/>
  <c r="F3044" i="1"/>
  <c r="H3044" i="1"/>
  <c r="E3045" i="1"/>
  <c r="F3045" i="1"/>
  <c r="H3045" i="1"/>
  <c r="E3046" i="1"/>
  <c r="F3046" i="1"/>
  <c r="H3046" i="1"/>
  <c r="E3047" i="1"/>
  <c r="F3047" i="1"/>
  <c r="H3047" i="1"/>
  <c r="E3048" i="1"/>
  <c r="F3048" i="1"/>
  <c r="H3048" i="1"/>
  <c r="E3049" i="1"/>
  <c r="F3049" i="1"/>
  <c r="H3049" i="1"/>
  <c r="E3050" i="1"/>
  <c r="F3050" i="1"/>
  <c r="H3050" i="1"/>
  <c r="E3051" i="1"/>
  <c r="F3051" i="1"/>
  <c r="H3051" i="1"/>
  <c r="E3052" i="1"/>
  <c r="F3052" i="1"/>
  <c r="H3052" i="1"/>
  <c r="E3053" i="1"/>
  <c r="F3053" i="1"/>
  <c r="H3053" i="1"/>
  <c r="E3054" i="1"/>
  <c r="F3054" i="1"/>
  <c r="H3054" i="1"/>
  <c r="E3055" i="1"/>
  <c r="F3055" i="1"/>
  <c r="H3055" i="1"/>
  <c r="E3056" i="1"/>
  <c r="F3056" i="1"/>
  <c r="H3056" i="1"/>
  <c r="E3057" i="1"/>
  <c r="F3057" i="1"/>
  <c r="H3057" i="1"/>
</calcChain>
</file>

<file path=xl/sharedStrings.xml><?xml version="1.0" encoding="utf-8"?>
<sst xmlns="http://schemas.openxmlformats.org/spreadsheetml/2006/main" count="737" uniqueCount="579">
  <si>
    <t>Name</t>
  </si>
  <si>
    <t>Check #</t>
  </si>
  <si>
    <t>Check Amount</t>
  </si>
  <si>
    <t>Check Date</t>
  </si>
  <si>
    <t>Invoice ID</t>
  </si>
  <si>
    <t>Invoice Desc</t>
  </si>
  <si>
    <t>Invoice Payment</t>
  </si>
  <si>
    <t>GL Description</t>
  </si>
  <si>
    <t>AIRPLEXUS  INC</t>
  </si>
  <si>
    <t>ALTICE USA INC</t>
  </si>
  <si>
    <t>BASTROP COPIER</t>
  </si>
  <si>
    <t>BLUEBONNET PETROLEUM INC</t>
  </si>
  <si>
    <t>CENTURYLINK COMMUNICATIONS  LLC</t>
  </si>
  <si>
    <t>CHARITY ROGERS</t>
  </si>
  <si>
    <t>CITIBANK NA</t>
  </si>
  <si>
    <t>CORRECTIONS SOFTWARE SOLUTIONS LP</t>
  </si>
  <si>
    <t>DANIELLE STARLING</t>
  </si>
  <si>
    <t>DONNA DAMON</t>
  </si>
  <si>
    <t>LEXISNEXIS RISK DATA MANAGEMENT INC</t>
  </si>
  <si>
    <t>MELINDA MUHL</t>
  </si>
  <si>
    <t>OFFICE DEPOT  INC</t>
  </si>
  <si>
    <t>ONE SOURCE TOXICOLOGY</t>
  </si>
  <si>
    <t>GE CAPITAL INFORMATION TECCHNOLOGY SOLUTIONS  INC</t>
  </si>
  <si>
    <t>ROBERT M &amp; DAN B ALFORD LLC</t>
  </si>
  <si>
    <t>SAM HOUSTON STATE UNIVERSITY</t>
  </si>
  <si>
    <t>SAMES BASTROP FORD INC</t>
  </si>
  <si>
    <t>CHARTER COMMUNICATIONS HOLDINGS  LLC</t>
  </si>
  <si>
    <t>TEXAS ASSOCIATION OF COUNTIES</t>
  </si>
  <si>
    <t>TIB-THE INDEPENDENT BANKERSBANK</t>
  </si>
  <si>
    <t>UBEO OF EAST TEXAS  INC.</t>
  </si>
  <si>
    <t>WALMART STORES TEXAS  LLC</t>
  </si>
  <si>
    <t>WORKERS ASSISTANCE PROGRAM</t>
  </si>
  <si>
    <t>CHRISTINA CANNON</t>
  </si>
  <si>
    <t>304 CONSTRUCTION LLC</t>
  </si>
  <si>
    <t>TROY HINDLE</t>
  </si>
  <si>
    <t>ARNOLD OIL COMPANY OF AUSTIN LP</t>
  </si>
  <si>
    <t>TIMOTHY HALL</t>
  </si>
  <si>
    <t>AARON CHAVEZ</t>
  </si>
  <si>
    <t>ABREO &amp; CARTER</t>
  </si>
  <si>
    <t>ADAM DAKOTA ROWINS</t>
  </si>
  <si>
    <t>ADAM MUERY</t>
  </si>
  <si>
    <t>ADENA LEWIS</t>
  </si>
  <si>
    <t>THE MARPA GROUP INC</t>
  </si>
  <si>
    <t>ADVOCACY OUTREACH</t>
  </si>
  <si>
    <t>ALBERT NEAL PFEIFFER</t>
  </si>
  <si>
    <t>ALEJANDRO RODRIGUEZ</t>
  </si>
  <si>
    <t>ALICIA MCCLURKAN</t>
  </si>
  <si>
    <t>TEXAS ENTERPRISES INC.</t>
  </si>
  <si>
    <t>AMANDA BRUCE</t>
  </si>
  <si>
    <t>S &amp; D PLUMBING-GIDDINGS LLC</t>
  </si>
  <si>
    <t>AMAZON CAPITAL SERVICES INC</t>
  </si>
  <si>
    <t>AMAZON.COM LLC</t>
  </si>
  <si>
    <t>AMERICAN ASSN OF NOTARIES</t>
  </si>
  <si>
    <t>AMERISOURCEBERGEN</t>
  </si>
  <si>
    <t>AMG PRINTING &amp; MAILING  LLC</t>
  </si>
  <si>
    <t>ANDERSON &amp; ANDERSON LAW FIRM PC</t>
  </si>
  <si>
    <t>C APPLEMAN ENT INC</t>
  </si>
  <si>
    <t>APRIL CAMPOS-GODWIN</t>
  </si>
  <si>
    <t>APRIL KUCK</t>
  </si>
  <si>
    <t>AQUA BEVERAGE COMPANY/OZARKA</t>
  </si>
  <si>
    <t>AQUA WATER SUPPLY CORPORATION</t>
  </si>
  <si>
    <t>EXACTBYTE INC</t>
  </si>
  <si>
    <t>THE ASSOCIATION OF RURAL COMMUNITIES IN TEXAS</t>
  </si>
  <si>
    <t>ARSENAL ADVERTISING LLC</t>
  </si>
  <si>
    <t>AT &amp; T</t>
  </si>
  <si>
    <t>AT&amp;T</t>
  </si>
  <si>
    <t>AT&amp;T MOBILITY</t>
  </si>
  <si>
    <t>AT&amp;T MOBILITY-W&amp;M</t>
  </si>
  <si>
    <t>THE AUBAINE SUPPLY COMPANY  INC</t>
  </si>
  <si>
    <t>GRAND JUNCTION NEWSPAPERS INC</t>
  </si>
  <si>
    <t>BUTLER &amp; BURNS EAR NOSE &amp; THROAT ASSO</t>
  </si>
  <si>
    <t>RALPH E BONNELL CIH</t>
  </si>
  <si>
    <t>AUSTIN GASTROENTERLOGY</t>
  </si>
  <si>
    <t>AUSTIN PATHOLOGY ASSOCIATES</t>
  </si>
  <si>
    <t>AUSTIN RADIOLOGICAL ASSOC</t>
  </si>
  <si>
    <t>AUSTIN REBUILDERS INC</t>
  </si>
  <si>
    <t>AUTOMATED LOGIC CONTRACTING SERVICES  INC</t>
  </si>
  <si>
    <t>AUTUMN J SMITH</t>
  </si>
  <si>
    <t>BARBARA GOMEZ</t>
  </si>
  <si>
    <t>MICHAEL OLDHAM TIRE INC</t>
  </si>
  <si>
    <t>EDUARDO BARRIENTOS</t>
  </si>
  <si>
    <t>BASTROP CHAMBER OF COMMERCE</t>
  </si>
  <si>
    <t>BASTROP COUNTY LONG TERM RECOVERY TEAM</t>
  </si>
  <si>
    <t>BASTROP COUNTY SHERIFF'S DEPT</t>
  </si>
  <si>
    <t>DANIEL L HEPKER</t>
  </si>
  <si>
    <t>BASTROP COUNTY CHILD PROTECTIVE SERVICES</t>
  </si>
  <si>
    <t>BASTROP COUNTY CARES</t>
  </si>
  <si>
    <t>BASTROP COUNTY MEDICAL ASSOC PA</t>
  </si>
  <si>
    <t>BASTROP MEDICAL CLINIC</t>
  </si>
  <si>
    <t>BASTROP POLICE DEPT</t>
  </si>
  <si>
    <t>BASTROP PROVIDENCE  LLC</t>
  </si>
  <si>
    <t>BASTROP SIGNS &amp; BANNERS</t>
  </si>
  <si>
    <t>BASTROP VETERINARY HOSPITAL  INC.</t>
  </si>
  <si>
    <t>BCEP PA</t>
  </si>
  <si>
    <t>DAVID H OUTON</t>
  </si>
  <si>
    <t>BEARD INTEGRATED SYSTEMS  INC.</t>
  </si>
  <si>
    <t>BELL COUNTY</t>
  </si>
  <si>
    <t>BELL COUNTY CONSTABLE 4</t>
  </si>
  <si>
    <t>BEN E KEITH CO.</t>
  </si>
  <si>
    <t>B C FOOD GROUP  LLC</t>
  </si>
  <si>
    <t>BETTY LOU GAINES</t>
  </si>
  <si>
    <t>BEXAR COUNTY SHERIFF</t>
  </si>
  <si>
    <t>BICKERSTAFF HEATH DELGADO ACOSTA LLP</t>
  </si>
  <si>
    <t>BIG WRENCH ROAD SERVICE INC</t>
  </si>
  <si>
    <t>BILLY JOSHUA GILL</t>
  </si>
  <si>
    <t>BIMBO FOODS INC</t>
  </si>
  <si>
    <t>BLAS J. COY  JR.</t>
  </si>
  <si>
    <t>BLUEBONNET AREA CRIME STOPPERS PROGRAM</t>
  </si>
  <si>
    <t>BLUEBONNET ELECTRIC COOPERATIVE  INC.</t>
  </si>
  <si>
    <t>BLUEBONNET TRAILS MHMR</t>
  </si>
  <si>
    <t>BOB BARKER COMPANY  INC.</t>
  </si>
  <si>
    <t>BOBBY BROWN</t>
  </si>
  <si>
    <t>BONNIE HELLUMS</t>
  </si>
  <si>
    <t>BOTACH INC.</t>
  </si>
  <si>
    <t>BOYS &amp; GIRLS CLUBS OF THE AUSTIN AREA</t>
  </si>
  <si>
    <t>BRAUNTEX MATERIALS INC</t>
  </si>
  <si>
    <t>BRYAN GOERTZ</t>
  </si>
  <si>
    <t>LAW OFFICE OF BRYAN W. MCDANIEL  P.C.</t>
  </si>
  <si>
    <t>BUBBA SNOWDEN</t>
  </si>
  <si>
    <t>BUREAU OF VITAL STATISTICS</t>
  </si>
  <si>
    <t>CAD SUPPLIES SPECIALTY  INC.</t>
  </si>
  <si>
    <t>CALDWELL COUNTY SHERIFF</t>
  </si>
  <si>
    <t>CAPITAL AREA COUNCIL OF GOVERNMENTS</t>
  </si>
  <si>
    <t>CAPITOL BEARING SERVICE OF AUSTIN  INC.</t>
  </si>
  <si>
    <t>TIB-THE INDEPENDENT BANKERS BANK</t>
  </si>
  <si>
    <t>CAPITAL AREA RURAL TRANSPORATION SYSTEM</t>
  </si>
  <si>
    <t>CASA OF BASTROP COUNTY</t>
  </si>
  <si>
    <t>CDCAT</t>
  </si>
  <si>
    <t>CDW GOVERNMENT INC</t>
  </si>
  <si>
    <t>CENTERPOINT ENERGY</t>
  </si>
  <si>
    <t>LARRY D. LYNN</t>
  </si>
  <si>
    <t>CENTEX MATERIALS LLC</t>
  </si>
  <si>
    <t>CENTRAL TEXAS BARRICADES INC</t>
  </si>
  <si>
    <t>CENTRAL TEXAS AUTOPSY</t>
  </si>
  <si>
    <t>CHARLES W CARVER</t>
  </si>
  <si>
    <t>CHARM-TEX</t>
  </si>
  <si>
    <t>CHRIS MATT DILLON</t>
  </si>
  <si>
    <t>CHRIS WOLF</t>
  </si>
  <si>
    <t>CHRISTINE P FILES</t>
  </si>
  <si>
    <t>CINTAS</t>
  </si>
  <si>
    <t>CINTAS CORPORATION</t>
  </si>
  <si>
    <t>CINTAS CORPORATION #86</t>
  </si>
  <si>
    <t>CISTERA NETWORKS  INC.</t>
  </si>
  <si>
    <t>CITY OF BASTROP</t>
  </si>
  <si>
    <t>="12</t>
  </si>
  <si>
    <t>756  09/21/18"</t>
  </si>
  <si>
    <t>CITY OF SMITHVILLE</t>
  </si>
  <si>
    <t>CLINICAL PATHOLOGY LABORATORIES INC</t>
  </si>
  <si>
    <t>CNA SURETY</t>
  </si>
  <si>
    <t>CONNIE CAMERON RABEL</t>
  </si>
  <si>
    <t>CONNIE SCHROEDER</t>
  </si>
  <si>
    <t>="13</t>
  </si>
  <si>
    <t>651  09/19/18"</t>
  </si>
  <si>
    <t>CONTECH ENGINEERED SOLUTIONS INC</t>
  </si>
  <si>
    <t>CORRECTIONAL MANAGEMENT INSTITUTE OF TX</t>
  </si>
  <si>
    <t>COTHRON SECURITY SOLUTIONS  LLC</t>
  </si>
  <si>
    <t>SAN MARCOS PLATINUM  LLC</t>
  </si>
  <si>
    <t>COVERT CHEVROLET-OLDS</t>
  </si>
  <si>
    <t>COVERTTRACK GROUP INC</t>
  </si>
  <si>
    <t>CRESSIDA EVELYN KWOLEK  Ph.D.</t>
  </si>
  <si>
    <t>CRISTAL ESPINOZA CAZARES</t>
  </si>
  <si>
    <t>DFW COMMUNICATIONS  INC.</t>
  </si>
  <si>
    <t>CRYSTAL DEAR</t>
  </si>
  <si>
    <t>D &amp; A WIRE ROPE  INC</t>
  </si>
  <si>
    <t>DALLAS COUNTY CONSTABLE PCT 1</t>
  </si>
  <si>
    <t>DAVID B BROOKS</t>
  </si>
  <si>
    <t>DAVID GOERTZ</t>
  </si>
  <si>
    <t>DAVID LEWIS</t>
  </si>
  <si>
    <t>DAVID M COLLINS</t>
  </si>
  <si>
    <t>DELL</t>
  </si>
  <si>
    <t>DENTRUST DENTAL TX PC</t>
  </si>
  <si>
    <t>DESMAR WALKES  MD  PA</t>
  </si>
  <si>
    <t>DICKENS LOCKSMITH INC</t>
  </si>
  <si>
    <t>DEPARTMENT OF INFORMATION RESOURCES</t>
  </si>
  <si>
    <t>DISCOUNT DOOR &amp; METAL  LLC</t>
  </si>
  <si>
    <t>DISCOUNT FEEDS &amp; SUPPLIES</t>
  </si>
  <si>
    <t>DOLAN CONSULTING GROUP  LLC</t>
  </si>
  <si>
    <t>DONNIE STARK</t>
  </si>
  <si>
    <t>DOUBLE D INTERNATIONAL FOOD CO.  INC.</t>
  </si>
  <si>
    <t>DUNNE &amp; JUAREZ L.L.C.</t>
  </si>
  <si>
    <t>DURAN GRAVEL CO. INC</t>
  </si>
  <si>
    <t>ECOLAB INC</t>
  </si>
  <si>
    <t>ELECTION SYSTEMS &amp; SOFTWARE INC</t>
  </si>
  <si>
    <t>ELECTION WORKS INC</t>
  </si>
  <si>
    <t>ELGIN COMMUNITY CUPBOARD</t>
  </si>
  <si>
    <t>RALPH DAVID GLASS</t>
  </si>
  <si>
    <t>ELGIN POLICE DEPARTMENT</t>
  </si>
  <si>
    <t>CITY OF ELGIN UTILITIES</t>
  </si>
  <si>
    <t>ELLIOTT ELECTRIC SUPPLY INC</t>
  </si>
  <si>
    <t>ENVIRONMENTAL SYSTEMS RESEARCH INSTITUTE  INC</t>
  </si>
  <si>
    <t>ERGON ASPHALT &amp; EMULSIONS INC</t>
  </si>
  <si>
    <t>EVANGELINA HERRERA-GARZA</t>
  </si>
  <si>
    <t>EWALD KUBOTA  INC.</t>
  </si>
  <si>
    <t>EZTASK.COM INC.</t>
  </si>
  <si>
    <t>BASTROP COUNTY WOMEN'S SHELTER</t>
  </si>
  <si>
    <t>FAMILY HEALTH CENTER OF BASTROP PLLC</t>
  </si>
  <si>
    <t>FAYETTE COUNTY SHERIFF</t>
  </si>
  <si>
    <t>FAYETTE MEDICAL SUPPLY</t>
  </si>
  <si>
    <t>FEDERAL EXPRESS</t>
  </si>
  <si>
    <t>FIRST NATIONAL BANK BASTROP</t>
  </si>
  <si>
    <t>="14</t>
  </si>
  <si>
    <t>861  09/19/18"</t>
  </si>
  <si>
    <t>FLASHBACK DATA  LLC</t>
  </si>
  <si>
    <t>FLEET COR TECHNOLOGIES INC</t>
  </si>
  <si>
    <t>FLEETPRIDE</t>
  </si>
  <si>
    <t>FLORENCE BEHAVIN</t>
  </si>
  <si>
    <t>FORREST L. SANDERSON</t>
  </si>
  <si>
    <t>AUSTIN TRUCK &amp; EQUIPMENT  LTD</t>
  </si>
  <si>
    <t>EUGENE W BRIGGS JR</t>
  </si>
  <si>
    <t>GALLS PARENT HOLDINGS LLC</t>
  </si>
  <si>
    <t>GARLAND/DBS  INC.</t>
  </si>
  <si>
    <t>MARRIOTT HOTEL SERVICES INC</t>
  </si>
  <si>
    <t>BRIDGESTONE AMERICAS INC</t>
  </si>
  <si>
    <t>GERALD L. BYINGTON</t>
  </si>
  <si>
    <t>GIPSON PENDERGRASS PEOPLE'S MORTUARY LLC</t>
  </si>
  <si>
    <t>GRAND JUNCTION NEWSPAPERS</t>
  </si>
  <si>
    <t>GT DISTRIBUTORS  INC.</t>
  </si>
  <si>
    <t>GULF COAST PAPER CO. INC.</t>
  </si>
  <si>
    <t>VERTEX ENERGY  INC.</t>
  </si>
  <si>
    <t>H&amp;PB BASCO FAMILY PROPERTIES</t>
  </si>
  <si>
    <t>HALFF ASSOCIATES</t>
  </si>
  <si>
    <t>BUCKSTAFF PUBLIC SAFETY  INC.</t>
  </si>
  <si>
    <t>HANNAH QUACKENBUSH</t>
  </si>
  <si>
    <t>HARRIS COUNTY CONSTABLE PCT 8</t>
  </si>
  <si>
    <t>HARRIS COUNTY CONSTABLE PCT 1</t>
  </si>
  <si>
    <t>HAYS COUNTY CONSTABLE PCT 1</t>
  </si>
  <si>
    <t>HEADSETS DIRECT INC.</t>
  </si>
  <si>
    <t>HEART OF THE PINES VFD</t>
  </si>
  <si>
    <t>HENNA CHEVROLET</t>
  </si>
  <si>
    <t>BUTLER ANIMAL HEALTH</t>
  </si>
  <si>
    <t>HERSHCAP BACKHOE &amp; DITCHING  INC.</t>
  </si>
  <si>
    <t>="10</t>
  </si>
  <si>
    <t>658  09/13/18"</t>
  </si>
  <si>
    <t>BASCOM L HODGES JR</t>
  </si>
  <si>
    <t>HODGSON G ECKEL</t>
  </si>
  <si>
    <t>HOLLY TUCKER</t>
  </si>
  <si>
    <t>BD HOLT CO</t>
  </si>
  <si>
    <t>CITIBANK (SOUTH DAKOTA)N.A./THE HOME DEPOT</t>
  </si>
  <si>
    <t>HOSPITAL INTERNISTS OF AUSTIN</t>
  </si>
  <si>
    <t>HOTEL GALVEZ</t>
  </si>
  <si>
    <t>HUDSON ENERGY CORP</t>
  </si>
  <si>
    <t>HYDRAULIC HOUSE INC</t>
  </si>
  <si>
    <t>IDW LLC</t>
  </si>
  <si>
    <t>INDIGENT HEALTHCARE SOLUTIONS</t>
  </si>
  <si>
    <t>INTAB  LLC</t>
  </si>
  <si>
    <t>IRON MOUNTAIN RECORDS MGMT INC</t>
  </si>
  <si>
    <t>ISHA REALTY INC</t>
  </si>
  <si>
    <t>ISON BODY AND PAINT</t>
  </si>
  <si>
    <t>JACO INDUSTRIAL SUPPLY  INC</t>
  </si>
  <si>
    <t>JAMES ALLEN</t>
  </si>
  <si>
    <t>JAMES K REGIER</t>
  </si>
  <si>
    <t>JANET L. LYNN</t>
  </si>
  <si>
    <t>JAY'S TIRE &amp; AUTOMOTIVE REPAIR INC</t>
  </si>
  <si>
    <t>JENKINS &amp; JENKINS LLP</t>
  </si>
  <si>
    <t>JENNIFER BURGAN-BATES</t>
  </si>
  <si>
    <t>JAMES MORGAN</t>
  </si>
  <si>
    <t>JOHN C KUHN</t>
  </si>
  <si>
    <t>JOHN DEERE FINANCIAL f.s.b.</t>
  </si>
  <si>
    <t>JOHN MATTHEW FABIAN  PSY.D. J.D. LLC.</t>
  </si>
  <si>
    <t>JOSEPHINE MORALES</t>
  </si>
  <si>
    <t>="15</t>
  </si>
  <si>
    <t>204  09/05/18"</t>
  </si>
  <si>
    <t>JULIE SOMMERFELD</t>
  </si>
  <si>
    <t>JUSTIN MATARRESE</t>
  </si>
  <si>
    <t>JUSTIN MATTHEW FOHN</t>
  </si>
  <si>
    <t>KEITH HELFORD</t>
  </si>
  <si>
    <t>KAMRON T SAUNDERS</t>
  </si>
  <si>
    <t>KAREL ZALESKI</t>
  </si>
  <si>
    <t>KAREN STARKS</t>
  </si>
  <si>
    <t>="8</t>
  </si>
  <si>
    <t>898  09/10/18"</t>
  </si>
  <si>
    <t>KATHY G. REEVES</t>
  </si>
  <si>
    <t>393  09/28/18"</t>
  </si>
  <si>
    <t>KENNETH GONSOULIN</t>
  </si>
  <si>
    <t>="16</t>
  </si>
  <si>
    <t>181  09/18/18"</t>
  </si>
  <si>
    <t>KENNETH LIMUEL</t>
  </si>
  <si>
    <t>KENT BROUSSARD TOWER RENTAL INC</t>
  </si>
  <si>
    <t>KEVIN BERRY</t>
  </si>
  <si>
    <t>KING'S PORTABLE THRONES</t>
  </si>
  <si>
    <t>KLEIBER FORD TRACTOR  INC.</t>
  </si>
  <si>
    <t>KOETTER FIRE PROTECTION OF AUSTIN  LLC</t>
  </si>
  <si>
    <t>KRISTIN BURNS</t>
  </si>
  <si>
    <t>LONGHORN INTERNATIONAL TRUCKS LTD</t>
  </si>
  <si>
    <t>THE LA GRANGE PARTS HOUSE INC</t>
  </si>
  <si>
    <t>LABATT INSTITUTIONAL SUPPLY CO</t>
  </si>
  <si>
    <t>LAW ENFORCEMENT RISK MANAGEMENT GROUP  INC.</t>
  </si>
  <si>
    <t>J. MARQUE MOORE</t>
  </si>
  <si>
    <t>LUCIO LEAL</t>
  </si>
  <si>
    <t>LEE COUNTY WATER SUPPLY CORP</t>
  </si>
  <si>
    <t>LEIF JOHNSON FORD II LTD</t>
  </si>
  <si>
    <t>LENNOX INDUSTRIES INC</t>
  </si>
  <si>
    <t>LES FOEHR</t>
  </si>
  <si>
    <t>LEXISNEXIS RISK DATA MGMT INC</t>
  </si>
  <si>
    <t>LIBERTY TIRE RECYCLING</t>
  </si>
  <si>
    <t>LINDA HARMON-TAX ASSESSOR</t>
  </si>
  <si>
    <t>LINDSEY SIMMONS</t>
  </si>
  <si>
    <t>LISA BARRIGA</t>
  </si>
  <si>
    <t>LISA MILLER</t>
  </si>
  <si>
    <t>LONE STAR CIRCLE OF CARE</t>
  </si>
  <si>
    <t>UNITED KWB COLLABORATIONS LLC</t>
  </si>
  <si>
    <t>LONESTAR HOSPITAL MEDICINE ASSOCIATES PA</t>
  </si>
  <si>
    <t>LONESTAR FREIGHTLINER GROUP  LLC</t>
  </si>
  <si>
    <t>LONGHORN EMERGENCY MEDICAL ASSOC PA</t>
  </si>
  <si>
    <t>LONNIE LAWRENCE DAVIS JR</t>
  </si>
  <si>
    <t>SCOTT BRYANT</t>
  </si>
  <si>
    <t>LOWE'S</t>
  </si>
  <si>
    <t>LUBBOCK COUNTY SHERIFF</t>
  </si>
  <si>
    <t>MARIA ANFOSSO</t>
  </si>
  <si>
    <t>MARIO GINTELLA</t>
  </si>
  <si>
    <t>MARK WHITE</t>
  </si>
  <si>
    <t>JOHN W GASPARINI INC</t>
  </si>
  <si>
    <t>MARY BETH SCOTT</t>
  </si>
  <si>
    <t>MATHESON TRI-GAS INC</t>
  </si>
  <si>
    <t>McCOY'S BUILDING SUPPLY CENTER</t>
  </si>
  <si>
    <t>McCREARY  VESELKA  BRAGG &amp; ALLEN P</t>
  </si>
  <si>
    <t>MEDIMPACT HEALTHCARE SYSTEMS INC</t>
  </si>
  <si>
    <t>MINORITIES FOR EQUALITY IN EMPLOYMENT</t>
  </si>
  <si>
    <t>MEGAN FAITH BROWN</t>
  </si>
  <si>
    <t>MELISSA A MEADOR</t>
  </si>
  <si>
    <t>MENTALIX INC</t>
  </si>
  <si>
    <t>MERCHANTS BONDING COMPANY (MUTUTAL)</t>
  </si>
  <si>
    <t>MICHELE FRITSCHE C.S.R.</t>
  </si>
  <si>
    <t>MIDTEX MATERIALS</t>
  </si>
  <si>
    <t>GALLS  LLC</t>
  </si>
  <si>
    <t>GERALD RAY STRONG</t>
  </si>
  <si>
    <t>DUSTIN JOSIAH HAINES</t>
  </si>
  <si>
    <t>KERRI LYNETTE WASHINGTON</t>
  </si>
  <si>
    <t>SHARI JO WYATT</t>
  </si>
  <si>
    <t>HILLARY MARIE KVAMME</t>
  </si>
  <si>
    <t>DONNA RAE NONDORF</t>
  </si>
  <si>
    <t>DENA MARIE POUDRIER</t>
  </si>
  <si>
    <t>CAROL ANN DARLING</t>
  </si>
  <si>
    <t>DAVID GOSTECNIK</t>
  </si>
  <si>
    <t>Child Protective Services</t>
  </si>
  <si>
    <t>COURT APPOINTED SPECIAL ADVOCA</t>
  </si>
  <si>
    <t>Family Crisis Center</t>
  </si>
  <si>
    <t>Children's Advocacy Center</t>
  </si>
  <si>
    <t>DEBORAH MALDONADO</t>
  </si>
  <si>
    <t>JOEL ANDREW HOFFMEISTER</t>
  </si>
  <si>
    <t>PATRICIA KAY FRANEY</t>
  </si>
  <si>
    <t>CHARLES DAVID THOMPSON</t>
  </si>
  <si>
    <t>NEVA HAMMACK RANDALL</t>
  </si>
  <si>
    <t>MICKEY JOSEPH CONCIENNE</t>
  </si>
  <si>
    <t>DAVID CHRISTIAN MOHR</t>
  </si>
  <si>
    <t>ELIZABETH MARIE CALDWELL</t>
  </si>
  <si>
    <t>HEATHER DAWN MEDINA</t>
  </si>
  <si>
    <t>KELLI FLOWERS HOBBS</t>
  </si>
  <si>
    <t>KAREN W CARTER</t>
  </si>
  <si>
    <t>KYLE DAVID JENKINS</t>
  </si>
  <si>
    <t>MICHAEL GLEN KINSLOW</t>
  </si>
  <si>
    <t>TERRY ALLAN BURGAN</t>
  </si>
  <si>
    <t>MYLES JORDAN DESHAY</t>
  </si>
  <si>
    <t>SCOTT ALAN UNDERWOOD</t>
  </si>
  <si>
    <t>WILLIAM BRIAN HORTON</t>
  </si>
  <si>
    <t>KUSUMBEN B PATEL</t>
  </si>
  <si>
    <t>DILLAN JAMES BARNARD</t>
  </si>
  <si>
    <t>THERESA P CHRISTENSEN</t>
  </si>
  <si>
    <t>GARY WARREN NULL</t>
  </si>
  <si>
    <t>LYSSETT SERAFIN</t>
  </si>
  <si>
    <t>TAYLOR NICOLE SMALLEY</t>
  </si>
  <si>
    <t>TIFFANY CHAVON ROMAN</t>
  </si>
  <si>
    <t>DANNY LEN THOMAS</t>
  </si>
  <si>
    <t>VERONICA ELAINE NAVEJAS</t>
  </si>
  <si>
    <t>DAVID EDWARD SWOPE</t>
  </si>
  <si>
    <t>CAROL L CAMPBELL-SCHERER</t>
  </si>
  <si>
    <t>DOUGLAS CHARLES ROGERS</t>
  </si>
  <si>
    <t>ALAN MICHAEL REDUS</t>
  </si>
  <si>
    <t>ALEXANDRIA VENDRELL WEST</t>
  </si>
  <si>
    <t>LONNIE DAVID SWONKE</t>
  </si>
  <si>
    <t>BILLY WAYNE HORKY</t>
  </si>
  <si>
    <t>DEBRA A GROENEVELD</t>
  </si>
  <si>
    <t>EDUARDO AGUIRRE</t>
  </si>
  <si>
    <t>CATHY BEAUDRY TIEMAN</t>
  </si>
  <si>
    <t>GERALD S LATHEM</t>
  </si>
  <si>
    <t>KELLEY ELIZABETH PRICE</t>
  </si>
  <si>
    <t>CHRIS TINA NATOLI</t>
  </si>
  <si>
    <t>RACHEL DENISE BRYANT</t>
  </si>
  <si>
    <t>DENNIS JAMES GOERLITZ</t>
  </si>
  <si>
    <t>PRICE B MIDDLEBROOK IV</t>
  </si>
  <si>
    <t>JANET LEA ROHDE</t>
  </si>
  <si>
    <t>JUAN ARTHURO CERVANTES</t>
  </si>
  <si>
    <t>SUSAN MARIE DICKENS</t>
  </si>
  <si>
    <t>LESLIE PAUL MOYER</t>
  </si>
  <si>
    <t>RONALD C COLEMAN</t>
  </si>
  <si>
    <t>ROBERT LESTER GILLESPIE</t>
  </si>
  <si>
    <t>MAURO RODRIGUEZ JR</t>
  </si>
  <si>
    <t>RAEQUAN MALIK HOLIWELL-POWELL</t>
  </si>
  <si>
    <t>SHALANTHIA GABRIELLE LEWIS</t>
  </si>
  <si>
    <t>WILLIAM LEROY BLACKWELL</t>
  </si>
  <si>
    <t>NORMA JEAN ARRIAGA</t>
  </si>
  <si>
    <t>PATRICIA ANNE DAVIS</t>
  </si>
  <si>
    <t>CHARLES RAYMOND LITTLETON</t>
  </si>
  <si>
    <t>JULIA DAVIS SULSAR</t>
  </si>
  <si>
    <t>DONNA BESS SCHUBERT</t>
  </si>
  <si>
    <t>MC GRATH RENTCORP AND SUBSIDIARIES</t>
  </si>
  <si>
    <t>MONARCH DISPOSAL  LLC</t>
  </si>
  <si>
    <t>MOORE MEDICAL LLC</t>
  </si>
  <si>
    <t>MORRIS &amp; MCCLIMON ATTORNEYS AT LAW  PLLC</t>
  </si>
  <si>
    <t>MOTOROLA INC</t>
  </si>
  <si>
    <t>MTS SAFETY PRODUCTS INC</t>
  </si>
  <si>
    <t>NALCO COMPANY LLC</t>
  </si>
  <si>
    <t>NANCY A URBANOWICZ  CSR</t>
  </si>
  <si>
    <t>NATIONAL FOOD GROUP INC</t>
  </si>
  <si>
    <t>WILLIAM HAROLD NELSON</t>
  </si>
  <si>
    <t>NATIONAL EMERGENCY NUMBER ASSOCIATION</t>
  </si>
  <si>
    <t>JOHN NIXON</t>
  </si>
  <si>
    <t>O'REILLY AUTOMOTIVE  INC.</t>
  </si>
  <si>
    <t>SOUTHERN FOODS GROUP LP</t>
  </si>
  <si>
    <t>OFFICE DEPOT</t>
  </si>
  <si>
    <t>OMNIBASE SERVICES OF TEXAS LP</t>
  </si>
  <si>
    <t>ON SITE SERVICES</t>
  </si>
  <si>
    <t>ROGER C. OSBORN</t>
  </si>
  <si>
    <t>OSBURN ASSOCIATES INC.</t>
  </si>
  <si>
    <t>SL PARKER PARTNERSHIP LLC</t>
  </si>
  <si>
    <t>PATHMARK TRAFFIC EQUIPMENT  LLC</t>
  </si>
  <si>
    <t>PATRICK ELECTRIC SERVICE</t>
  </si>
  <si>
    <t>PATTERSON  VETERINARY SUPPLY INC</t>
  </si>
  <si>
    <t>PERDUE  BRANDON  FIELDER  COLLINS &amp; MOTT LLP</t>
  </si>
  <si>
    <t>PETHEALTH SERVICES(USA) INC.</t>
  </si>
  <si>
    <t>PHILIP L HALL</t>
  </si>
  <si>
    <t>PHILIP R DUCLOUX</t>
  </si>
  <si>
    <t>PINEY CREEK AUTO SERVICE</t>
  </si>
  <si>
    <t>PB PROFESSIONAL SERVICES INC</t>
  </si>
  <si>
    <t>PITNEY BOWES GLOBAL FINANCIAL SERVICES</t>
  </si>
  <si>
    <t>PM WILSON &amp; ASSOCIATES PLLC</t>
  </si>
  <si>
    <t>PROGRESSIVE - RESTITUTION ACCT</t>
  </si>
  <si>
    <t>PTS OF AMERICA  LLC</t>
  </si>
  <si>
    <t>AEGEAN  LLC</t>
  </si>
  <si>
    <t>QUALIFICATION TARGETS INC</t>
  </si>
  <si>
    <t>RACHEL A BAUER</t>
  </si>
  <si>
    <t>RADISSON BEACH HOTEL</t>
  </si>
  <si>
    <t>RANDI FISHBECK</t>
  </si>
  <si>
    <t>NESTLE WATERS N AMERICA INC</t>
  </si>
  <si>
    <t>REBECCA STRNAD</t>
  </si>
  <si>
    <t>REPUBLIC SERVICES INC BFI WASTE SERVICE</t>
  </si>
  <si>
    <t>REPUBLIC TRUCK SALES   PARTS  &amp; REPAIRS LLC</t>
  </si>
  <si>
    <t>REYNOLDS &amp; KEINARTH</t>
  </si>
  <si>
    <t>RIATA FORD</t>
  </si>
  <si>
    <t>RICHARD ALLAN DICKMAN JR</t>
  </si>
  <si>
    <t>RICHARD T. FRENCH</t>
  </si>
  <si>
    <t>RICOH USA INC</t>
  </si>
  <si>
    <t>RUNKLE ENTERPRISES</t>
  </si>
  <si>
    <t>ROADRUNNER RADIOLOGY EQUIP LLC</t>
  </si>
  <si>
    <t>ROBERT MADDEN INDUSTRIES LTD</t>
  </si>
  <si>
    <t>ROSE PIETSCH COUNTY CLERK</t>
  </si>
  <si>
    <t>SAMMY LERMA III MD</t>
  </si>
  <si>
    <t>SCOTT MERRIMAN INC</t>
  </si>
  <si>
    <t>SECRETARY OF STATE</t>
  </si>
  <si>
    <t>SERENITYSTAR INC</t>
  </si>
  <si>
    <t>SETON FAMILY OF HOSPITALS</t>
  </si>
  <si>
    <t>SHARON HANCOCK</t>
  </si>
  <si>
    <t>962  09/06/18"</t>
  </si>
  <si>
    <t>FERRELLGAS  LP</t>
  </si>
  <si>
    <t>SHERWIN WILLIAMS CO</t>
  </si>
  <si>
    <t>SHI GOVERNMENT SOLUTIONS INC.</t>
  </si>
  <si>
    <t>SHOPPA'S FARM SUPPLY</t>
  </si>
  <si>
    <t>SHRED-IT US HOLDCO  INC</t>
  </si>
  <si>
    <t>JERRY SIMPSON</t>
  </si>
  <si>
    <t>SKILLPATH NATIONAL SEMINARS TRAINING</t>
  </si>
  <si>
    <t>SMITH STORES  INC.</t>
  </si>
  <si>
    <t>SMITHVILLE AUTO PARTS  INC</t>
  </si>
  <si>
    <t>SMITHVILLE COMMUNITY CLINIC  INC</t>
  </si>
  <si>
    <t>SMITHVILLE FOOD PANTRY</t>
  </si>
  <si>
    <t>SMITHVILLE POLICE DEPT.</t>
  </si>
  <si>
    <t>SOE SOFTWARE INC</t>
  </si>
  <si>
    <t>SOLARWINDS</t>
  </si>
  <si>
    <t>SOUTHERN TIRE MART LLC</t>
  </si>
  <si>
    <t>DS WATERS OF AMERICA INC</t>
  </si>
  <si>
    <t>ST.DAVIDS HEART &amp; VASCULAR  PLLC</t>
  </si>
  <si>
    <t>STAPLES ADVANTAGE</t>
  </si>
  <si>
    <t>TX COMPTROLLER OF PUBLIC ACCOUNTS</t>
  </si>
  <si>
    <t>STATE OF TEXAS</t>
  </si>
  <si>
    <t>STERICYCLE  INC.</t>
  </si>
  <si>
    <t>STEVE GRANADO</t>
  </si>
  <si>
    <t>STEVEN A LONG</t>
  </si>
  <si>
    <t>MATTHEW LEE SULLINS</t>
  </si>
  <si>
    <t>SUN COAST RESOURCES</t>
  </si>
  <si>
    <t>SXSW LLC</t>
  </si>
  <si>
    <t>TEXAS ASSN OF CONVENTION &amp; VISITORS BUREAU</t>
  </si>
  <si>
    <t>TEXAS ASSOCIATION OF GOVERNMENTAL IT MANAGERS</t>
  </si>
  <si>
    <t>TARRANT COUNTY CONSTABLE PCT 6</t>
  </si>
  <si>
    <t>TOTAL ADMINISTRATIVE SERVICES CORPORATION</t>
  </si>
  <si>
    <t>TAVCO SERVICES INC</t>
  </si>
  <si>
    <t>TAYLOR COUNTY SHERIFF</t>
  </si>
  <si>
    <t>TAYLOR SECURITY SYSTEMS  LLC</t>
  </si>
  <si>
    <t>TX COMM ON LAW ENFORCEMENT</t>
  </si>
  <si>
    <t>TEX-CON OIL CO</t>
  </si>
  <si>
    <t>TEXAS A&amp;M AGRILIFE EXTENSION SERVICE</t>
  </si>
  <si>
    <t>MC ADAMS GROUP LLC</t>
  </si>
  <si>
    <t>TEXAS ASSOCIATES INSURORS AGENCY</t>
  </si>
  <si>
    <t>TEXAS ASSOCIATION OF VEHICLE THEFT INVESTIGATORS</t>
  </si>
  <si>
    <t>TEXAS BLACKLAND HARDWARE</t>
  </si>
  <si>
    <t>TEXAS CORRECTIONAL FACILITY</t>
  </si>
  <si>
    <t>TEXAS CORRECTIONAL INDUSTRIES</t>
  </si>
  <si>
    <t>TEXAS DEPT OF PUBLIC SAFETY</t>
  </si>
  <si>
    <t>935  09/07/18"</t>
  </si>
  <si>
    <t>317  09/05/18"</t>
  </si>
  <si>
    <t>TXFACT  LLC</t>
  </si>
  <si>
    <t>TEXAS JUSTICE COURT TRAINING CENTER</t>
  </si>
  <si>
    <t>TEXAS STATE UNIVERSITY</t>
  </si>
  <si>
    <t>TEXAS PARKS &amp; WILDLIFE DEPARTMENT</t>
  </si>
  <si>
    <t>JOHN THOMAS GARRETT</t>
  </si>
  <si>
    <t>BUG MASTER EXTERMINATING SERVICES  LTD</t>
  </si>
  <si>
    <t>JAMES ANDREW CASEY</t>
  </si>
  <si>
    <t>RICHARD NELSON MOORE</t>
  </si>
  <si>
    <t>THE NITSCHE GROUP</t>
  </si>
  <si>
    <t>THE TRAVELERS INDEMNITY COMPANY</t>
  </si>
  <si>
    <t>WEST PUBLISHING CORPORATION</t>
  </si>
  <si>
    <t>TIGER OAK MEDIA  INC.</t>
  </si>
  <si>
    <t>TIM MAHONEY  ATTORNEY AT LAW  PC</t>
  </si>
  <si>
    <t>TWE-ADVANCE/NEWHOUSE PARTNERSHIP</t>
  </si>
  <si>
    <t>TRACTOR SUPPLY CREDIT PLAN</t>
  </si>
  <si>
    <t>TRAVIS COUNTY CONSTABLE PCT 5</t>
  </si>
  <si>
    <t>TRAVIS COUNTY CLERK</t>
  </si>
  <si>
    <t>TRAVIS COUNTY MEDICAL EXAMINER</t>
  </si>
  <si>
    <t>KAUFFMAN TIRE</t>
  </si>
  <si>
    <t>TRI-COUNTY PRACTICE ASSOCIATION</t>
  </si>
  <si>
    <t>TRI-ED DISTRIBUTION INC</t>
  </si>
  <si>
    <t>GLOBAL COUNTER-SMUGGLING TRAINING CONSULTANTS  LLC</t>
  </si>
  <si>
    <t>TROY WALTERS</t>
  </si>
  <si>
    <t>TULL FARLEY</t>
  </si>
  <si>
    <t>TEXAS WATER DEVELOPMENT BOARD</t>
  </si>
  <si>
    <t>TX COMMISSION ON ENVIRONMENTAL QUALITY</t>
  </si>
  <si>
    <t>TYLER TECHNOLOGIES INC</t>
  </si>
  <si>
    <t>COUFAL-PRATER EQUIPMENT  LLC</t>
  </si>
  <si>
    <t>UNITED REFRIGERATION INC</t>
  </si>
  <si>
    <t>VALERIE BULLOCK</t>
  </si>
  <si>
    <t>TEXAS DEPARTMENT OF STATE HEALTH SERVICES</t>
  </si>
  <si>
    <t>VOTEC</t>
  </si>
  <si>
    <t>US BANK NA</t>
  </si>
  <si>
    <t>VULCAN  INC.</t>
  </si>
  <si>
    <t>WADE CUSTOM STEEL BUILDINGS  INC.</t>
  </si>
  <si>
    <t>WAGEWORKS INC  FSA/HSA</t>
  </si>
  <si>
    <t>WALKER COUNTY CONSTABLE PCT 4</t>
  </si>
  <si>
    <t>WALLER COUNTY ASPHALT INC</t>
  </si>
  <si>
    <t>WALMART COMMUNITY BRC</t>
  </si>
  <si>
    <t>WASTE MANAGEMENT OF TEXAS INC</t>
  </si>
  <si>
    <t>WATERLOGIC USA INC</t>
  </si>
  <si>
    <t>PROGRESSIVE WASTE SOLUTIONS OF TX. INC.</t>
  </si>
  <si>
    <t>WEBB SUPPLY COMPANY  INC.</t>
  </si>
  <si>
    <t>WEI-ANN LIN (REIMBURSEMENTS ONLY)</t>
  </si>
  <si>
    <t>WESTAR CONSTRUCTION INC</t>
  </si>
  <si>
    <t>MAO PHARMACY INC</t>
  </si>
  <si>
    <t>WILLIAMSON COUNTY CONSTABLE PCT 2</t>
  </si>
  <si>
    <t>WILLIAMSON COUNTY CONSTABLE PCT 3</t>
  </si>
  <si>
    <t>WILLIAMSON COUNTY CONSTABLE PCT 4</t>
  </si>
  <si>
    <t>XEROX CORPORATION</t>
  </si>
  <si>
    <t>YOKA INC</t>
  </si>
  <si>
    <t>ZOETIS US LLC</t>
  </si>
  <si>
    <t>973 MATERIALS  LLC</t>
  </si>
  <si>
    <t>THOMAS BILBO</t>
  </si>
  <si>
    <t>DAVID CONTI</t>
  </si>
  <si>
    <t>CONVERGENCE CABLING  INC.</t>
  </si>
  <si>
    <t>KIRKSEY ARCHITECTS  INC.</t>
  </si>
  <si>
    <t>PARK CONTRACTORS  INC</t>
  </si>
  <si>
    <t>SANTEX TRUCK CENTER LTD</t>
  </si>
  <si>
    <t>SPEED FAB-CRETE CORPORATION</t>
  </si>
  <si>
    <t>TERRA EXCAVATION &amp; CONSTRUCTION LLC</t>
  </si>
  <si>
    <t>TEXAS AGGREGATES  LLC</t>
  </si>
  <si>
    <t>COBRA EQUIPMENT RENTALS</t>
  </si>
  <si>
    <t>ALLSTATE-AMERICAN HERITAGE LIFE INS CO</t>
  </si>
  <si>
    <t>BASTROP CNTY ADULT PROBATION</t>
  </si>
  <si>
    <t>COLONIAL LIFE &amp; ACCIDENT INS. CO.</t>
  </si>
  <si>
    <t>CPI QUALIFIED PLAN CONSULTANTS  INC.</t>
  </si>
  <si>
    <t>DEBORAH B LANGEHENNIG</t>
  </si>
  <si>
    <t>GUARDIAN</t>
  </si>
  <si>
    <t>INTERNAL REVENUE SERVICE - ACS SUPPORT</t>
  </si>
  <si>
    <t>IRS-PAYROLL TAXES</t>
  </si>
  <si>
    <t>KIRSTEN RUEHMAN</t>
  </si>
  <si>
    <t>MICHIGAN STATE DISBURSEMENT UNIT(MiSDU)</t>
  </si>
  <si>
    <t>MONUMENTAL LIFE INS CO</t>
  </si>
  <si>
    <t>NYS CHILD SUPPORT PROCESSING CENTER</t>
  </si>
  <si>
    <t>GERALD FLORES OLIVO</t>
  </si>
  <si>
    <t>TAC HEALTH BENEFITS POOL</t>
  </si>
  <si>
    <t>TEXAS ATTY.GENERAL'S OFFICE</t>
  </si>
  <si>
    <t>TEXAS CNTY &amp; DIST RETIREMENT SYS</t>
  </si>
  <si>
    <t>TEXAS LEGAL PROTECTION PLAN INC</t>
  </si>
  <si>
    <t>Amount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</si>
</sst>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22"/>
  <sheetViews>
    <sheetView tabSelected="1" workbookViewId="0"/>
  </sheetViews>
  <sheetFormatPr defaultRowHeight="15" x14ac:dyDescent="0.25"/>
  <cols>
    <col min="1" max="1" width="55.85546875" bestFit="1" customWidth="1"/>
    <col min="2" max="2" width="7.7109375" bestFit="1" customWidth="1"/>
    <col min="3" max="3" width="14" style="2" bestFit="1" customWidth="1"/>
    <col min="4" max="4" width="10.85546875" bestFit="1" customWidth="1"/>
    <col min="5" max="5" width="19.5703125" bestFit="1" customWidth="1"/>
    <col min="6" max="6" width="35" bestFit="1" customWidth="1"/>
    <col min="7" max="7" width="28" style="3" bestFit="1" customWidth="1"/>
    <col min="8" max="8" width="35" bestFit="1" customWidth="1"/>
  </cols>
  <sheetData>
    <row r="1" spans="1:8" x14ac:dyDescent="0.25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s="3" t="s">
        <v>6</v>
      </c>
      <c r="H1" t="s">
        <v>7</v>
      </c>
    </row>
    <row r="2" spans="1:8" x14ac:dyDescent="0.25">
      <c r="A2" t="s">
        <v>8</v>
      </c>
      <c r="B2">
        <v>999999</v>
      </c>
      <c r="C2" s="2">
        <v>190.25</v>
      </c>
      <c r="D2" s="1">
        <v>43383</v>
      </c>
      <c r="E2" t="str">
        <f>"44570"</f>
        <v>44570</v>
      </c>
      <c r="F2" t="str">
        <f>"BUSINESS INTERNET/STATIC IP"</f>
        <v>BUSINESS INTERNET/STATIC IP</v>
      </c>
      <c r="G2" s="3">
        <v>145.5</v>
      </c>
      <c r="H2" t="str">
        <f>"BUSINESS INTERNET/STATIC IP"</f>
        <v>BUSINESS INTERNET/STATIC IP</v>
      </c>
    </row>
    <row r="3" spans="1:8" x14ac:dyDescent="0.25">
      <c r="E3" t="str">
        <f>"44571"</f>
        <v>44571</v>
      </c>
      <c r="F3" t="str">
        <f>"DOMAIN HOSTING"</f>
        <v>DOMAIN HOSTING</v>
      </c>
      <c r="G3" s="3">
        <v>44.75</v>
      </c>
      <c r="H3" t="str">
        <f>"DOMAIN HOSTING"</f>
        <v>DOMAIN HOSTING</v>
      </c>
    </row>
    <row r="4" spans="1:8" x14ac:dyDescent="0.25">
      <c r="A4" t="s">
        <v>8</v>
      </c>
      <c r="B4">
        <v>999999</v>
      </c>
      <c r="C4" s="2">
        <v>177.95</v>
      </c>
      <c r="D4" s="1">
        <v>43396</v>
      </c>
      <c r="E4" t="str">
        <f>"44857"</f>
        <v>44857</v>
      </c>
      <c r="F4" t="str">
        <f>"REPLACEMENT BATTERY"</f>
        <v>REPLACEMENT BATTERY</v>
      </c>
      <c r="G4" s="3">
        <v>177.95</v>
      </c>
      <c r="H4" t="str">
        <f>"REPLACEMENT BATTERY"</f>
        <v>REPLACEMENT BATTERY</v>
      </c>
    </row>
    <row r="5" spans="1:8" x14ac:dyDescent="0.25">
      <c r="A5" t="s">
        <v>9</v>
      </c>
      <c r="B5">
        <v>2404</v>
      </c>
      <c r="C5" s="2">
        <v>223.5</v>
      </c>
      <c r="D5" s="1">
        <v>43382</v>
      </c>
      <c r="E5" t="str">
        <f>"201810034202"</f>
        <v>201810034202</v>
      </c>
      <c r="F5" t="str">
        <f>"ACCT#100001-8659-708279001"</f>
        <v>ACCT#100001-8659-708279001</v>
      </c>
      <c r="G5" s="3">
        <v>223.5</v>
      </c>
      <c r="H5" t="str">
        <f>"ACCT#100001-8659-708279001"</f>
        <v>ACCT#100001-8659-708279001</v>
      </c>
    </row>
    <row r="6" spans="1:8" x14ac:dyDescent="0.25">
      <c r="A6" t="s">
        <v>10</v>
      </c>
      <c r="B6">
        <v>2401</v>
      </c>
      <c r="C6" s="2">
        <v>41.5</v>
      </c>
      <c r="D6" s="1">
        <v>43382</v>
      </c>
      <c r="E6" t="str">
        <f>"12356"</f>
        <v>12356</v>
      </c>
      <c r="F6" t="str">
        <f>"BUSINESS CARDS"</f>
        <v>BUSINESS CARDS</v>
      </c>
      <c r="G6" s="3">
        <v>41.5</v>
      </c>
      <c r="H6" t="str">
        <f>"BUSINESS CARDS"</f>
        <v>BUSINESS CARDS</v>
      </c>
    </row>
    <row r="7" spans="1:8" x14ac:dyDescent="0.25">
      <c r="A7" t="s">
        <v>11</v>
      </c>
      <c r="B7">
        <v>2402</v>
      </c>
      <c r="C7" s="2">
        <v>56.12</v>
      </c>
      <c r="D7" s="1">
        <v>43382</v>
      </c>
      <c r="E7" t="str">
        <f>"121806 122000"</f>
        <v>121806 122000</v>
      </c>
      <c r="F7" t="str">
        <f>"ACCT#BASTRO/FUEL"</f>
        <v>ACCT#BASTRO/FUEL</v>
      </c>
      <c r="G7" s="3">
        <v>56.12</v>
      </c>
      <c r="H7" t="str">
        <f>"ACCT#BASTRO/FUEL"</f>
        <v>ACCT#BASTRO/FUEL</v>
      </c>
    </row>
    <row r="8" spans="1:8" x14ac:dyDescent="0.25">
      <c r="A8" t="s">
        <v>11</v>
      </c>
      <c r="B8">
        <v>2415</v>
      </c>
      <c r="C8" s="2">
        <v>68.39</v>
      </c>
      <c r="D8" s="1">
        <v>43395</v>
      </c>
      <c r="E8" t="str">
        <f>"122174  122325"</f>
        <v>122174  122325</v>
      </c>
      <c r="F8" t="str">
        <f>"VEHICLE FUEL"</f>
        <v>VEHICLE FUEL</v>
      </c>
      <c r="G8" s="3">
        <v>68.39</v>
      </c>
      <c r="H8" t="str">
        <f>"VEHICLE FUEL"</f>
        <v>VEHICLE FUEL</v>
      </c>
    </row>
    <row r="9" spans="1:8" x14ac:dyDescent="0.25">
      <c r="E9" t="str">
        <f>""</f>
        <v/>
      </c>
      <c r="F9" t="str">
        <f>""</f>
        <v/>
      </c>
      <c r="H9" t="str">
        <f>"VEHICLE FUEL"</f>
        <v>VEHICLE FUEL</v>
      </c>
    </row>
    <row r="10" spans="1:8" x14ac:dyDescent="0.25">
      <c r="A10" t="s">
        <v>12</v>
      </c>
      <c r="B10">
        <v>2403</v>
      </c>
      <c r="C10" s="2">
        <v>18.579999999999998</v>
      </c>
      <c r="D10" s="1">
        <v>43382</v>
      </c>
      <c r="E10" t="str">
        <f>"1451744697"</f>
        <v>1451744697</v>
      </c>
      <c r="F10" t="str">
        <f>"ACCT#36550462/PHONE SERVICE"</f>
        <v>ACCT#36550462/PHONE SERVICE</v>
      </c>
      <c r="G10" s="3">
        <v>18.579999999999998</v>
      </c>
      <c r="H10" t="str">
        <f>"ACCT#36550462/PHONE SERVICE"</f>
        <v>ACCT#36550462/PHONE SERVICE</v>
      </c>
    </row>
    <row r="11" spans="1:8" x14ac:dyDescent="0.25">
      <c r="A11" t="s">
        <v>13</v>
      </c>
      <c r="B11">
        <v>999999</v>
      </c>
      <c r="C11" s="2">
        <v>350</v>
      </c>
      <c r="D11" s="1">
        <v>43383</v>
      </c>
      <c r="E11" t="str">
        <f>"201810034203"</f>
        <v>201810034203</v>
      </c>
      <c r="F11" t="str">
        <f>"ALCOHOL/DRUG ASSESSMENTS"</f>
        <v>ALCOHOL/DRUG ASSESSMENTS</v>
      </c>
      <c r="G11" s="3">
        <v>350</v>
      </c>
      <c r="H11" t="str">
        <f>"ALCOHOL/DRUG ASSESSMENTS"</f>
        <v>ALCOHOL/DRUG ASSESSMENTS</v>
      </c>
    </row>
    <row r="12" spans="1:8" x14ac:dyDescent="0.25">
      <c r="E12" t="str">
        <f>""</f>
        <v/>
      </c>
      <c r="F12" t="str">
        <f>""</f>
        <v/>
      </c>
      <c r="H12" t="str">
        <f>"ALCOHOL/DRUG ASSESSMENTS"</f>
        <v>ALCOHOL/DRUG ASSESSMENTS</v>
      </c>
    </row>
    <row r="13" spans="1:8" x14ac:dyDescent="0.25">
      <c r="A13" t="s">
        <v>14</v>
      </c>
      <c r="B13">
        <v>2416</v>
      </c>
      <c r="C13" s="2">
        <v>143.47999999999999</v>
      </c>
      <c r="D13" s="1">
        <v>43395</v>
      </c>
      <c r="E13" t="str">
        <f>"000000065155376810"</f>
        <v>000000065155376810</v>
      </c>
      <c r="F13" t="str">
        <f>"ACCT#065155376/VEHICLE FUEL"</f>
        <v>ACCT#065155376/VEHICLE FUEL</v>
      </c>
      <c r="G13" s="3">
        <v>143.47999999999999</v>
      </c>
      <c r="H13" t="str">
        <f>"ACCT#065155376/VEHICLE FUEL"</f>
        <v>ACCT#065155376/VEHICLE FUEL</v>
      </c>
    </row>
    <row r="14" spans="1:8" x14ac:dyDescent="0.25">
      <c r="E14" t="str">
        <f>""</f>
        <v/>
      </c>
      <c r="F14" t="str">
        <f>""</f>
        <v/>
      </c>
      <c r="H14" t="str">
        <f>"ACCT#065155376/VEHICLE FUEL"</f>
        <v>ACCT#065155376/VEHICLE FUEL</v>
      </c>
    </row>
    <row r="15" spans="1:8" x14ac:dyDescent="0.25">
      <c r="E15" t="str">
        <f>""</f>
        <v/>
      </c>
      <c r="F15" t="str">
        <f>""</f>
        <v/>
      </c>
      <c r="H15" t="str">
        <f>"ACCT#065155376/VEHICLE FUEL"</f>
        <v>ACCT#065155376/VEHICLE FUEL</v>
      </c>
    </row>
    <row r="16" spans="1:8" x14ac:dyDescent="0.25">
      <c r="A16" t="s">
        <v>15</v>
      </c>
      <c r="B16">
        <v>999999</v>
      </c>
      <c r="C16" s="2">
        <v>3980</v>
      </c>
      <c r="D16" s="1">
        <v>43383</v>
      </c>
      <c r="E16" t="str">
        <f>"34465"</f>
        <v>34465</v>
      </c>
      <c r="F16" t="str">
        <f>"PROF SVCS-MONTH OF NOV 2018"</f>
        <v>PROF SVCS-MONTH OF NOV 2018</v>
      </c>
      <c r="G16" s="3">
        <v>3980</v>
      </c>
      <c r="H16" t="str">
        <f>"PROF SVCS-MONTH OF NOV 2018"</f>
        <v>PROF SVCS-MONTH OF NOV 2018</v>
      </c>
    </row>
    <row r="17" spans="1:8" x14ac:dyDescent="0.25">
      <c r="A17" t="s">
        <v>16</v>
      </c>
      <c r="B17">
        <v>2405</v>
      </c>
      <c r="C17" s="2">
        <v>286.55</v>
      </c>
      <c r="D17" s="1">
        <v>43382</v>
      </c>
      <c r="E17" t="str">
        <f>"201810034204"</f>
        <v>201810034204</v>
      </c>
      <c r="F17" t="str">
        <f>"PER DIEM/HOTEL"</f>
        <v>PER DIEM/HOTEL</v>
      </c>
      <c r="G17" s="3">
        <v>286.55</v>
      </c>
      <c r="H17" t="str">
        <f>"PER DIEM/HOTEL"</f>
        <v>PER DIEM/HOTEL</v>
      </c>
    </row>
    <row r="18" spans="1:8" x14ac:dyDescent="0.25">
      <c r="A18" t="s">
        <v>17</v>
      </c>
      <c r="B18">
        <v>2406</v>
      </c>
      <c r="C18" s="2">
        <v>21.76</v>
      </c>
      <c r="D18" s="1">
        <v>43382</v>
      </c>
      <c r="E18" t="str">
        <f>"201810034205"</f>
        <v>201810034205</v>
      </c>
      <c r="F18" t="str">
        <f>"REIMBURSE-FUEL"</f>
        <v>REIMBURSE-FUEL</v>
      </c>
      <c r="G18" s="3">
        <v>21.76</v>
      </c>
      <c r="H18" t="str">
        <f>"REIMBURSE-FUEL"</f>
        <v>REIMBURSE-FUEL</v>
      </c>
    </row>
    <row r="19" spans="1:8" x14ac:dyDescent="0.25">
      <c r="A19" t="s">
        <v>18</v>
      </c>
      <c r="B19">
        <v>2417</v>
      </c>
      <c r="C19" s="2">
        <v>54.2</v>
      </c>
      <c r="D19" s="1">
        <v>43395</v>
      </c>
      <c r="E19" t="str">
        <f>"1223984-20180930"</f>
        <v>1223984-20180930</v>
      </c>
      <c r="F19" t="str">
        <f>"BILLING ID:1223984/CSCD"</f>
        <v>BILLING ID:1223984/CSCD</v>
      </c>
      <c r="G19" s="3">
        <v>54.2</v>
      </c>
      <c r="H19" t="str">
        <f>"BILLING ID:1223984/CSCD"</f>
        <v>BILLING ID:1223984/CSCD</v>
      </c>
    </row>
    <row r="20" spans="1:8" x14ac:dyDescent="0.25">
      <c r="A20" t="s">
        <v>19</v>
      </c>
      <c r="B20">
        <v>2407</v>
      </c>
      <c r="C20" s="2">
        <v>81.2</v>
      </c>
      <c r="D20" s="1">
        <v>43382</v>
      </c>
      <c r="E20" t="str">
        <f>"201810034206"</f>
        <v>201810034206</v>
      </c>
      <c r="F20" t="str">
        <f>"REIMBURSE-MILEAGE"</f>
        <v>REIMBURSE-MILEAGE</v>
      </c>
      <c r="G20" s="3">
        <v>81.2</v>
      </c>
      <c r="H20" t="str">
        <f>"REIMBURSE-MILEAGE"</f>
        <v>REIMBURSE-MILEAGE</v>
      </c>
    </row>
    <row r="21" spans="1:8" x14ac:dyDescent="0.25">
      <c r="A21" t="s">
        <v>20</v>
      </c>
      <c r="B21">
        <v>2408</v>
      </c>
      <c r="C21" s="2">
        <v>445.98</v>
      </c>
      <c r="D21" s="1">
        <v>43382</v>
      </c>
      <c r="E21" t="str">
        <f>"209866141001"</f>
        <v>209866141001</v>
      </c>
      <c r="F21" t="str">
        <f>"ACCT#60805099/BILL ID:3755073"</f>
        <v>ACCT#60805099/BILL ID:3755073</v>
      </c>
      <c r="G21" s="3">
        <v>33.31</v>
      </c>
      <c r="H21" t="str">
        <f>"ACCT#60805099/BILL ID:3755073"</f>
        <v>ACCT#60805099/BILL ID:3755073</v>
      </c>
    </row>
    <row r="22" spans="1:8" x14ac:dyDescent="0.25">
      <c r="E22" t="str">
        <f>""</f>
        <v/>
      </c>
      <c r="F22" t="str">
        <f>""</f>
        <v/>
      </c>
      <c r="H22" t="str">
        <f>"ACCT#60805099/BILL ID:3755073"</f>
        <v>ACCT#60805099/BILL ID:3755073</v>
      </c>
    </row>
    <row r="23" spans="1:8" x14ac:dyDescent="0.25">
      <c r="E23" t="str">
        <f>"209904355001"</f>
        <v>209904355001</v>
      </c>
      <c r="F23" t="str">
        <f>"ACCT#60805099/BILL ID:3755073"</f>
        <v>ACCT#60805099/BILL ID:3755073</v>
      </c>
      <c r="G23" s="3">
        <v>302.55</v>
      </c>
      <c r="H23" t="str">
        <f>"ACCT#60805099/BILL ID:3755073"</f>
        <v>ACCT#60805099/BILL ID:3755073</v>
      </c>
    </row>
    <row r="24" spans="1:8" x14ac:dyDescent="0.25">
      <c r="E24" t="str">
        <f>"210156126001"</f>
        <v>210156126001</v>
      </c>
      <c r="F24" t="str">
        <f>"ACCT#60805099/BILL ID:3755073"</f>
        <v>ACCT#60805099/BILL ID:3755073</v>
      </c>
      <c r="G24" s="3">
        <v>110.12</v>
      </c>
      <c r="H24" t="str">
        <f>"ACCT#60805099/BILL ID:3755073"</f>
        <v>ACCT#60805099/BILL ID:3755073</v>
      </c>
    </row>
    <row r="25" spans="1:8" x14ac:dyDescent="0.25">
      <c r="E25" t="str">
        <f>""</f>
        <v/>
      </c>
      <c r="F25" t="str">
        <f>""</f>
        <v/>
      </c>
      <c r="H25" t="str">
        <f>"ACCT#60805099/BILL ID:3755073"</f>
        <v>ACCT#60805099/BILL ID:3755073</v>
      </c>
    </row>
    <row r="26" spans="1:8" x14ac:dyDescent="0.25">
      <c r="A26" t="s">
        <v>20</v>
      </c>
      <c r="B26">
        <v>2418</v>
      </c>
      <c r="C26" s="2">
        <v>270.13</v>
      </c>
      <c r="D26" s="1">
        <v>43395</v>
      </c>
      <c r="E26" t="str">
        <f>"209785519002"</f>
        <v>209785519002</v>
      </c>
      <c r="F26" t="str">
        <f>"ACCT#60805099/ORD#209785519002"</f>
        <v>ACCT#60805099/ORD#209785519002</v>
      </c>
      <c r="G26" s="3">
        <v>15.99</v>
      </c>
      <c r="H26" t="str">
        <f>"ACCT#60805099/ORD#209785519002"</f>
        <v>ACCT#60805099/ORD#209785519002</v>
      </c>
    </row>
    <row r="27" spans="1:8" x14ac:dyDescent="0.25">
      <c r="E27" t="str">
        <f>"209786828002"</f>
        <v>209786828002</v>
      </c>
      <c r="F27" t="str">
        <f>"ACCT#60805099/ORD#209786828002"</f>
        <v>ACCT#60805099/ORD#209786828002</v>
      </c>
      <c r="G27" s="3">
        <v>15.59</v>
      </c>
      <c r="H27" t="str">
        <f>"ACCT#60805099/ORD#209786828002"</f>
        <v>ACCT#60805099/ORD#209786828002</v>
      </c>
    </row>
    <row r="28" spans="1:8" x14ac:dyDescent="0.25">
      <c r="E28" t="str">
        <f>"209873513001"</f>
        <v>209873513001</v>
      </c>
      <c r="F28" t="str">
        <f>"ACCT#60805099/ORD#209873513001"</f>
        <v>ACCT#60805099/ORD#209873513001</v>
      </c>
      <c r="G28" s="3">
        <v>68.14</v>
      </c>
      <c r="H28" t="str">
        <f>"ACCT#60805099/ORD#209873513001"</f>
        <v>ACCT#60805099/ORD#209873513001</v>
      </c>
    </row>
    <row r="29" spans="1:8" x14ac:dyDescent="0.25">
      <c r="E29" t="str">
        <f>"209915181001"</f>
        <v>209915181001</v>
      </c>
      <c r="F29" t="str">
        <f>"ACCT#60805099/ORD#209915181001"</f>
        <v>ACCT#60805099/ORD#209915181001</v>
      </c>
      <c r="G29" s="3">
        <v>22.71</v>
      </c>
      <c r="H29" t="str">
        <f>"ACCT#60805099/ORD#209915181001"</f>
        <v>ACCT#60805099/ORD#209915181001</v>
      </c>
    </row>
    <row r="30" spans="1:8" x14ac:dyDescent="0.25">
      <c r="E30" t="str">
        <f>"210156126002"</f>
        <v>210156126002</v>
      </c>
      <c r="F30" t="str">
        <f>"ACCT#60805099/ORD#210156126002"</f>
        <v>ACCT#60805099/ORD#210156126002</v>
      </c>
      <c r="G30" s="3">
        <v>22.71</v>
      </c>
      <c r="H30" t="str">
        <f>"ACCT#60805099/ORD#210156126002"</f>
        <v>ACCT#60805099/ORD#210156126002</v>
      </c>
    </row>
    <row r="31" spans="1:8" x14ac:dyDescent="0.25">
      <c r="E31" t="str">
        <f>"210313555001"</f>
        <v>210313555001</v>
      </c>
      <c r="F31" t="str">
        <f>"ACCT#60805099/ORD#210313555001"</f>
        <v>ACCT#60805099/ORD#210313555001</v>
      </c>
      <c r="G31" s="3">
        <v>124.99</v>
      </c>
      <c r="H31" t="str">
        <f>"ACCT#60805099/ORD#210313555001"</f>
        <v>ACCT#60805099/ORD#210313555001</v>
      </c>
    </row>
    <row r="32" spans="1:8" x14ac:dyDescent="0.25">
      <c r="A32" t="s">
        <v>21</v>
      </c>
      <c r="B32">
        <v>2419</v>
      </c>
      <c r="C32" s="2">
        <v>12</v>
      </c>
      <c r="D32" s="1">
        <v>43395</v>
      </c>
      <c r="E32" t="str">
        <f>"83233"</f>
        <v>83233</v>
      </c>
      <c r="F32" t="str">
        <f>"CLIENT ID:21254/U/A CONF-BASIC"</f>
        <v>CLIENT ID:21254/U/A CONF-BASIC</v>
      </c>
      <c r="G32" s="3">
        <v>12</v>
      </c>
      <c r="H32" t="str">
        <f>"CLIENT ID:21254/U/A CONF-BASIC"</f>
        <v>CLIENT ID:21254/U/A CONF-BASIC</v>
      </c>
    </row>
    <row r="33" spans="1:8" x14ac:dyDescent="0.25">
      <c r="A33" t="s">
        <v>22</v>
      </c>
      <c r="B33">
        <v>2409</v>
      </c>
      <c r="C33" s="2">
        <v>346</v>
      </c>
      <c r="D33" s="1">
        <v>43382</v>
      </c>
      <c r="E33" t="str">
        <f>"101157097"</f>
        <v>101157097</v>
      </c>
      <c r="F33" t="str">
        <f>"ACCT#969045-1009520A9"</f>
        <v>ACCT#969045-1009520A9</v>
      </c>
      <c r="G33" s="3">
        <v>178</v>
      </c>
      <c r="H33" t="str">
        <f>"ACCT#969045-1009520A9"</f>
        <v>ACCT#969045-1009520A9</v>
      </c>
    </row>
    <row r="34" spans="1:8" x14ac:dyDescent="0.25">
      <c r="E34" t="str">
        <f>"101159727"</f>
        <v>101159727</v>
      </c>
      <c r="F34" t="str">
        <f>"ACCT#1581891-1029681ML"</f>
        <v>ACCT#1581891-1029681ML</v>
      </c>
      <c r="G34" s="3">
        <v>168</v>
      </c>
      <c r="H34" t="str">
        <f>"ACCT#1581891-1029681ML"</f>
        <v>ACCT#1581891-1029681ML</v>
      </c>
    </row>
    <row r="35" spans="1:8" x14ac:dyDescent="0.25">
      <c r="A35" t="s">
        <v>23</v>
      </c>
      <c r="B35">
        <v>999999</v>
      </c>
      <c r="C35" s="2">
        <v>17</v>
      </c>
      <c r="D35" s="1">
        <v>43396</v>
      </c>
      <c r="E35" t="str">
        <f>"170424"</f>
        <v>170424</v>
      </c>
      <c r="F35" t="str">
        <f>"VEHICLE FUEL"</f>
        <v>VEHICLE FUEL</v>
      </c>
      <c r="G35" s="3">
        <v>17</v>
      </c>
      <c r="H35" t="str">
        <f>"VEHICLE FUEL"</f>
        <v>VEHICLE FUEL</v>
      </c>
    </row>
    <row r="36" spans="1:8" x14ac:dyDescent="0.25">
      <c r="A36" t="s">
        <v>24</v>
      </c>
      <c r="B36">
        <v>2420</v>
      </c>
      <c r="C36" s="2">
        <v>395</v>
      </c>
      <c r="D36" s="1">
        <v>43395</v>
      </c>
      <c r="E36" t="str">
        <f>"201810174609"</f>
        <v>201810174609</v>
      </c>
      <c r="F36" t="str">
        <f>"REGIST ID:17428-MATTHEW CLARK"</f>
        <v>REGIST ID:17428-MATTHEW CLARK</v>
      </c>
      <c r="G36" s="3">
        <v>395</v>
      </c>
      <c r="H36" t="str">
        <f>"REGIST ID:17428-MATTHEW CLARK"</f>
        <v>REGIST ID:17428-MATTHEW CLARK</v>
      </c>
    </row>
    <row r="37" spans="1:8" x14ac:dyDescent="0.25">
      <c r="A37" t="s">
        <v>25</v>
      </c>
      <c r="B37">
        <v>2410</v>
      </c>
      <c r="C37" s="2">
        <v>42.03</v>
      </c>
      <c r="D37" s="1">
        <v>43382</v>
      </c>
      <c r="E37" t="str">
        <f>"145872"</f>
        <v>145872</v>
      </c>
      <c r="F37" t="str">
        <f>"CUST#73286/2016 FORD"</f>
        <v>CUST#73286/2016 FORD</v>
      </c>
      <c r="G37" s="3">
        <v>42.03</v>
      </c>
      <c r="H37" t="str">
        <f>"CUST#73286/2016 FORD"</f>
        <v>CUST#73286/2016 FORD</v>
      </c>
    </row>
    <row r="38" spans="1:8" x14ac:dyDescent="0.25">
      <c r="A38" t="s">
        <v>26</v>
      </c>
      <c r="B38">
        <v>2411</v>
      </c>
      <c r="C38" s="2">
        <v>407.13</v>
      </c>
      <c r="D38" s="1">
        <v>43382</v>
      </c>
      <c r="E38" t="str">
        <f>"0047972091918"</f>
        <v>0047972091918</v>
      </c>
      <c r="F38" t="str">
        <f>"ACCT#8260161110047972/INTERNET"</f>
        <v>ACCT#8260161110047972/INTERNET</v>
      </c>
      <c r="G38" s="3">
        <v>407.13</v>
      </c>
      <c r="H38" t="str">
        <f>"ACCT#8260161110047972/INTERNET"</f>
        <v>ACCT#8260161110047972/INTERNET</v>
      </c>
    </row>
    <row r="39" spans="1:8" x14ac:dyDescent="0.25">
      <c r="A39" t="s">
        <v>27</v>
      </c>
      <c r="B39">
        <v>2414</v>
      </c>
      <c r="C39" s="2">
        <v>208.55</v>
      </c>
      <c r="D39" s="1">
        <v>43383</v>
      </c>
      <c r="E39" t="str">
        <f>"D-2018-4-0110"</f>
        <v>D-2018-4-0110</v>
      </c>
      <c r="F39" t="str">
        <f>"UNEMPLOYMENT QTR END 09/30/18"</f>
        <v>UNEMPLOYMENT QTR END 09/30/18</v>
      </c>
      <c r="G39" s="3">
        <v>208.55</v>
      </c>
      <c r="H39" t="str">
        <f>"UNEMPLOYMENT QTR END 09/30/18"</f>
        <v>UNEMPLOYMENT QTR END 09/30/18</v>
      </c>
    </row>
    <row r="40" spans="1:8" x14ac:dyDescent="0.25">
      <c r="A40" t="s">
        <v>28</v>
      </c>
      <c r="B40">
        <v>0</v>
      </c>
      <c r="C40" s="2">
        <v>987.13</v>
      </c>
      <c r="D40" s="1">
        <v>43395</v>
      </c>
      <c r="E40" t="str">
        <f>"201810174610"</f>
        <v>201810174610</v>
      </c>
      <c r="F40" t="str">
        <f>"ACCT#XXXX 0132/BASTROP CO CSCD"</f>
        <v>ACCT#XXXX 0132/BASTROP CO CSCD</v>
      </c>
      <c r="G40" s="3">
        <v>987.13</v>
      </c>
      <c r="H40" t="str">
        <f>"ACCT#XXXX 0132/BASTROP CO CSCD"</f>
        <v>ACCT#XXXX 0132/BASTROP CO CSCD</v>
      </c>
    </row>
    <row r="41" spans="1:8" x14ac:dyDescent="0.25">
      <c r="E41" t="str">
        <f>""</f>
        <v/>
      </c>
      <c r="F41" t="str">
        <f>""</f>
        <v/>
      </c>
      <c r="H41" t="str">
        <f>"ACCT#XXXX 0132/BASTROP CO CSCD"</f>
        <v>ACCT#XXXX 0132/BASTROP CO CSCD</v>
      </c>
    </row>
    <row r="42" spans="1:8" x14ac:dyDescent="0.25">
      <c r="E42" t="str">
        <f>""</f>
        <v/>
      </c>
      <c r="F42" t="str">
        <f>""</f>
        <v/>
      </c>
      <c r="H42" t="str">
        <f>"ACCT#XXXX 0132/BASTROP CO CSCD"</f>
        <v>ACCT#XXXX 0132/BASTROP CO CSCD</v>
      </c>
    </row>
    <row r="43" spans="1:8" x14ac:dyDescent="0.25">
      <c r="E43" t="str">
        <f>""</f>
        <v/>
      </c>
      <c r="F43" t="str">
        <f>""</f>
        <v/>
      </c>
      <c r="H43" t="str">
        <f>"ACCT#XXXX 0132/BASTROP CO CSCD"</f>
        <v>ACCT#XXXX 0132/BASTROP CO CSCD</v>
      </c>
    </row>
    <row r="44" spans="1:8" x14ac:dyDescent="0.25">
      <c r="E44" t="str">
        <f>""</f>
        <v/>
      </c>
      <c r="F44" t="str">
        <f>""</f>
        <v/>
      </c>
      <c r="H44" t="str">
        <f>"ACCT#XXXX 0132/BASTROP CO CSCD"</f>
        <v>ACCT#XXXX 0132/BASTROP CO CSCD</v>
      </c>
    </row>
    <row r="45" spans="1:8" x14ac:dyDescent="0.25">
      <c r="A45" t="s">
        <v>29</v>
      </c>
      <c r="B45">
        <v>2412</v>
      </c>
      <c r="C45" s="2">
        <v>195</v>
      </c>
      <c r="D45" s="1">
        <v>43382</v>
      </c>
      <c r="E45" t="str">
        <f>"23426708"</f>
        <v>23426708</v>
      </c>
      <c r="F45" t="str">
        <f>"AGREEMENT#012-1173727-000"</f>
        <v>AGREEMENT#012-1173727-000</v>
      </c>
      <c r="G45" s="3">
        <v>195</v>
      </c>
      <c r="H45" t="str">
        <f>"AGREEMENT#012-1173727-000"</f>
        <v>AGREEMENT#012-1173727-000</v>
      </c>
    </row>
    <row r="46" spans="1:8" x14ac:dyDescent="0.25">
      <c r="A46" t="s">
        <v>30</v>
      </c>
      <c r="B46">
        <v>2421</v>
      </c>
      <c r="C46" s="2">
        <v>151.55000000000001</v>
      </c>
      <c r="D46" s="1">
        <v>43395</v>
      </c>
      <c r="E46" t="str">
        <f>"201810174611"</f>
        <v>201810174611</v>
      </c>
      <c r="F46" t="str">
        <f>"ACCT#6032202005314019/PROB DEP"</f>
        <v>ACCT#6032202005314019/PROB DEP</v>
      </c>
      <c r="G46" s="3">
        <v>151.55000000000001</v>
      </c>
      <c r="H46" t="str">
        <f>"ACCT#6032202005314019/PROB DEP"</f>
        <v>ACCT#6032202005314019/PROB DEP</v>
      </c>
    </row>
    <row r="47" spans="1:8" x14ac:dyDescent="0.25">
      <c r="E47" t="str">
        <f>""</f>
        <v/>
      </c>
      <c r="F47" t="str">
        <f>""</f>
        <v/>
      </c>
      <c r="H47" t="str">
        <f>"ACCT#6032202005314019/PROB DEP"</f>
        <v>ACCT#6032202005314019/PROB DEP</v>
      </c>
    </row>
    <row r="48" spans="1:8" x14ac:dyDescent="0.25">
      <c r="A48" t="s">
        <v>31</v>
      </c>
      <c r="B48">
        <v>2413</v>
      </c>
      <c r="C48" s="2">
        <v>1425</v>
      </c>
      <c r="D48" s="1">
        <v>43382</v>
      </c>
      <c r="E48" t="str">
        <f>"INV00067881"</f>
        <v>INV00067881</v>
      </c>
      <c r="F48" t="str">
        <f>"CUST ID:CB141/ANNUAL EAP SVCS"</f>
        <v>CUST ID:CB141/ANNUAL EAP SVCS</v>
      </c>
      <c r="G48" s="3">
        <v>1425</v>
      </c>
      <c r="H48" t="str">
        <f>"CUST ID:CB141/ANNUAL EAP SVCS"</f>
        <v>CUST ID:CB141/ANNUAL EAP SVCS</v>
      </c>
    </row>
    <row r="49" spans="1:8" x14ac:dyDescent="0.25">
      <c r="A49" t="s">
        <v>32</v>
      </c>
      <c r="B49">
        <v>79166</v>
      </c>
      <c r="C49" s="2">
        <v>30</v>
      </c>
      <c r="D49" s="1">
        <v>43395</v>
      </c>
      <c r="E49" t="str">
        <f>"201810154510"</f>
        <v>201810154510</v>
      </c>
      <c r="F49" t="str">
        <f>"REFUND COUPONS"</f>
        <v>REFUND COUPONS</v>
      </c>
      <c r="G49" s="3">
        <v>30</v>
      </c>
      <c r="H49" t="str">
        <f>"REFUND COUPONS"</f>
        <v>REFUND COUPONS</v>
      </c>
    </row>
    <row r="50" spans="1:8" x14ac:dyDescent="0.25">
      <c r="A50" t="s">
        <v>33</v>
      </c>
      <c r="B50">
        <v>79167</v>
      </c>
      <c r="C50" s="2">
        <v>7500</v>
      </c>
      <c r="D50" s="1">
        <v>43395</v>
      </c>
      <c r="E50" t="str">
        <f>"1003"</f>
        <v>1003</v>
      </c>
      <c r="F50" t="str">
        <f>"Smithville Clinic Slab"</f>
        <v>Smithville Clinic Slab</v>
      </c>
      <c r="G50" s="3">
        <v>7500</v>
      </c>
      <c r="H50" t="str">
        <f>"Smithville Clinic Slab"</f>
        <v>Smithville Clinic Slab</v>
      </c>
    </row>
    <row r="51" spans="1:8" x14ac:dyDescent="0.25">
      <c r="A51" t="s">
        <v>34</v>
      </c>
      <c r="B51">
        <v>78938</v>
      </c>
      <c r="C51" s="2">
        <v>189.5</v>
      </c>
      <c r="D51" s="1">
        <v>43382</v>
      </c>
      <c r="E51" t="str">
        <f>"201810034178"</f>
        <v>201810034178</v>
      </c>
      <c r="F51" t="str">
        <f>"TROY HINDLE"</f>
        <v>TROY HINDLE</v>
      </c>
      <c r="G51" s="3">
        <v>189.5</v>
      </c>
      <c r="H51" t="str">
        <f>"Tent Rental"</f>
        <v>Tent Rental</v>
      </c>
    </row>
    <row r="52" spans="1:8" x14ac:dyDescent="0.25">
      <c r="E52" t="str">
        <f>""</f>
        <v/>
      </c>
      <c r="F52" t="str">
        <f>""</f>
        <v/>
      </c>
      <c r="H52" t="str">
        <f>"Tables"</f>
        <v>Tables</v>
      </c>
    </row>
    <row r="53" spans="1:8" x14ac:dyDescent="0.25">
      <c r="E53" t="str">
        <f>""</f>
        <v/>
      </c>
      <c r="F53" t="str">
        <f>""</f>
        <v/>
      </c>
      <c r="H53" t="str">
        <f>"Chairs"</f>
        <v>Chairs</v>
      </c>
    </row>
    <row r="54" spans="1:8" x14ac:dyDescent="0.25">
      <c r="E54" t="str">
        <f>""</f>
        <v/>
      </c>
      <c r="F54" t="str">
        <f>""</f>
        <v/>
      </c>
      <c r="H54" t="str">
        <f>"Delivery and Setup"</f>
        <v>Delivery and Setup</v>
      </c>
    </row>
    <row r="55" spans="1:8" x14ac:dyDescent="0.25">
      <c r="A55" t="s">
        <v>35</v>
      </c>
      <c r="B55">
        <v>78939</v>
      </c>
      <c r="C55" s="2">
        <v>177.31</v>
      </c>
      <c r="D55" s="1">
        <v>43382</v>
      </c>
      <c r="E55" t="str">
        <f>"201810024126"</f>
        <v>201810024126</v>
      </c>
      <c r="F55" t="str">
        <f>"STMNT#321279/CUST ID:16500/P4"</f>
        <v>STMNT#321279/CUST ID:16500/P4</v>
      </c>
      <c r="G55" s="3">
        <v>177.31</v>
      </c>
      <c r="H55" t="str">
        <f>"STMNT#321279/CUST ID:16500/P4"</f>
        <v>STMNT#321279/CUST ID:16500/P4</v>
      </c>
    </row>
    <row r="56" spans="1:8" x14ac:dyDescent="0.25">
      <c r="A56" t="s">
        <v>36</v>
      </c>
      <c r="B56">
        <v>999999</v>
      </c>
      <c r="C56" s="2">
        <v>26591.21</v>
      </c>
      <c r="D56" s="1">
        <v>43383</v>
      </c>
      <c r="E56" t="str">
        <f>"201810013992"</f>
        <v>201810013992</v>
      </c>
      <c r="F56" t="str">
        <f>"HAULING EXPS 9/17-9/27/PCT#1"</f>
        <v>HAULING EXPS 9/17-9/27/PCT#1</v>
      </c>
      <c r="G56" s="3">
        <v>7624.62</v>
      </c>
      <c r="H56" t="str">
        <f>"HAULING EXPS 9/17-9/27/PCT#1"</f>
        <v>HAULING EXPS 9/17-9/27/PCT#1</v>
      </c>
    </row>
    <row r="57" spans="1:8" x14ac:dyDescent="0.25">
      <c r="E57" t="str">
        <f>"201810013993"</f>
        <v>201810013993</v>
      </c>
      <c r="F57" t="str">
        <f>"HAULING EXPS 09/19-09/26/PCT#4"</f>
        <v>HAULING EXPS 09/19-09/26/PCT#4</v>
      </c>
      <c r="G57" s="3">
        <v>18966.59</v>
      </c>
      <c r="H57" t="str">
        <f>"HAULING EXPS 09/19-09/26/PCT#4"</f>
        <v>HAULING EXPS 09/19-09/26/PCT#4</v>
      </c>
    </row>
    <row r="58" spans="1:8" x14ac:dyDescent="0.25">
      <c r="A58" t="s">
        <v>36</v>
      </c>
      <c r="B58">
        <v>999999</v>
      </c>
      <c r="C58" s="2">
        <v>24288.37</v>
      </c>
      <c r="D58" s="1">
        <v>43396</v>
      </c>
      <c r="E58" t="str">
        <f>"201810164531"</f>
        <v>201810164531</v>
      </c>
      <c r="F58" t="str">
        <f>"HAULING EXPS 10/01-10/15/PCT#4"</f>
        <v>HAULING EXPS 10/01-10/15/PCT#4</v>
      </c>
      <c r="G58" s="3">
        <v>16354.15</v>
      </c>
      <c r="H58" t="str">
        <f>"BASE/PCT#4"</f>
        <v>BASE/PCT#4</v>
      </c>
    </row>
    <row r="59" spans="1:8" x14ac:dyDescent="0.25">
      <c r="E59" t="str">
        <f>"201810164532"</f>
        <v>201810164532</v>
      </c>
      <c r="F59" t="str">
        <f>"HAULING EXPS/10/01-10/15"</f>
        <v>HAULING EXPS/10/01-10/15</v>
      </c>
      <c r="G59" s="3">
        <v>7934.22</v>
      </c>
      <c r="H59" t="str">
        <f>"HAULING EXPS/10/01-10/15"</f>
        <v>HAULING EXPS/10/01-10/15</v>
      </c>
    </row>
    <row r="60" spans="1:8" x14ac:dyDescent="0.25">
      <c r="A60" t="s">
        <v>37</v>
      </c>
      <c r="B60">
        <v>78940</v>
      </c>
      <c r="C60" s="2">
        <v>20</v>
      </c>
      <c r="D60" s="1">
        <v>43382</v>
      </c>
      <c r="E60" t="str">
        <f>"201810034174"</f>
        <v>201810034174</v>
      </c>
      <c r="F60" t="str">
        <f>"AARON CHAVEZ"</f>
        <v>AARON CHAVEZ</v>
      </c>
      <c r="G60" s="3">
        <v>20</v>
      </c>
      <c r="H60" t="str">
        <f>""</f>
        <v/>
      </c>
    </row>
    <row r="61" spans="1:8" x14ac:dyDescent="0.25">
      <c r="A61" t="s">
        <v>38</v>
      </c>
      <c r="B61">
        <v>78941</v>
      </c>
      <c r="C61" s="2">
        <v>9891.7800000000007</v>
      </c>
      <c r="D61" s="1">
        <v>43382</v>
      </c>
      <c r="E61" t="str">
        <f>"201810013977"</f>
        <v>201810013977</v>
      </c>
      <c r="F61" t="str">
        <f>"423-5490"</f>
        <v>423-5490</v>
      </c>
      <c r="G61" s="3">
        <v>520.53</v>
      </c>
      <c r="H61" t="str">
        <f>"423-5490"</f>
        <v>423-5490</v>
      </c>
    </row>
    <row r="62" spans="1:8" x14ac:dyDescent="0.25">
      <c r="E62" t="str">
        <f>"201810013978"</f>
        <v>201810013978</v>
      </c>
      <c r="F62" t="str">
        <f>"423-5828"</f>
        <v>423-5828</v>
      </c>
      <c r="G62" s="3">
        <v>142.5</v>
      </c>
      <c r="H62" t="str">
        <f>"423-5828"</f>
        <v>423-5828</v>
      </c>
    </row>
    <row r="63" spans="1:8" x14ac:dyDescent="0.25">
      <c r="E63" t="str">
        <f>"201810013979"</f>
        <v>201810013979</v>
      </c>
      <c r="F63" t="str">
        <f>"423-5732"</f>
        <v>423-5732</v>
      </c>
      <c r="G63" s="3">
        <v>477.5</v>
      </c>
      <c r="H63" t="str">
        <f>"423-5732"</f>
        <v>423-5732</v>
      </c>
    </row>
    <row r="64" spans="1:8" x14ac:dyDescent="0.25">
      <c r="E64" t="str">
        <f>"201810024073"</f>
        <v>201810024073</v>
      </c>
      <c r="F64" t="str">
        <f>"18-19023"</f>
        <v>18-19023</v>
      </c>
      <c r="G64" s="3">
        <v>945</v>
      </c>
      <c r="H64" t="str">
        <f>"18-19023"</f>
        <v>18-19023</v>
      </c>
    </row>
    <row r="65" spans="1:8" x14ac:dyDescent="0.25">
      <c r="E65" t="str">
        <f>"201810024074"</f>
        <v>201810024074</v>
      </c>
      <c r="F65" t="str">
        <f>"18-18876"</f>
        <v>18-18876</v>
      </c>
      <c r="G65" s="3">
        <v>600</v>
      </c>
      <c r="H65" t="str">
        <f>"18-18876"</f>
        <v>18-18876</v>
      </c>
    </row>
    <row r="66" spans="1:8" x14ac:dyDescent="0.25">
      <c r="E66" t="str">
        <f>"201810024075"</f>
        <v>201810024075</v>
      </c>
      <c r="F66" t="str">
        <f>"18-19156"</f>
        <v>18-19156</v>
      </c>
      <c r="G66" s="3">
        <v>425</v>
      </c>
      <c r="H66" t="str">
        <f>"18-19156"</f>
        <v>18-19156</v>
      </c>
    </row>
    <row r="67" spans="1:8" x14ac:dyDescent="0.25">
      <c r="E67" t="str">
        <f>"201810024076"</f>
        <v>201810024076</v>
      </c>
      <c r="F67" t="str">
        <f>"18-1885"</f>
        <v>18-1885</v>
      </c>
      <c r="G67" s="3">
        <v>622.5</v>
      </c>
      <c r="H67" t="str">
        <f>"18-1885"</f>
        <v>18-1885</v>
      </c>
    </row>
    <row r="68" spans="1:8" x14ac:dyDescent="0.25">
      <c r="E68" t="str">
        <f>"201810024077"</f>
        <v>201810024077</v>
      </c>
      <c r="F68" t="str">
        <f>"17-18718"</f>
        <v>17-18718</v>
      </c>
      <c r="G68" s="3">
        <v>1393.75</v>
      </c>
      <c r="H68" t="str">
        <f>"17-18718"</f>
        <v>17-18718</v>
      </c>
    </row>
    <row r="69" spans="1:8" x14ac:dyDescent="0.25">
      <c r="E69" t="str">
        <f>"201810024078"</f>
        <v>201810024078</v>
      </c>
      <c r="F69" t="str">
        <f>"18-18995"</f>
        <v>18-18995</v>
      </c>
      <c r="G69" s="3">
        <v>482.5</v>
      </c>
      <c r="H69" t="str">
        <f>"18-18995"</f>
        <v>18-18995</v>
      </c>
    </row>
    <row r="70" spans="1:8" x14ac:dyDescent="0.25">
      <c r="E70" t="str">
        <f>"201810024079"</f>
        <v>201810024079</v>
      </c>
      <c r="F70" t="str">
        <f>"17-18646"</f>
        <v>17-18646</v>
      </c>
      <c r="G70" s="3">
        <v>3116.25</v>
      </c>
      <c r="H70" t="str">
        <f>"17-18646"</f>
        <v>17-18646</v>
      </c>
    </row>
    <row r="71" spans="1:8" x14ac:dyDescent="0.25">
      <c r="E71" t="str">
        <f>"201810024080"</f>
        <v>201810024080</v>
      </c>
      <c r="F71" t="str">
        <f>"18-18854"</f>
        <v>18-18854</v>
      </c>
      <c r="G71" s="3">
        <v>871.25</v>
      </c>
      <c r="H71" t="str">
        <f>"18-18854"</f>
        <v>18-18854</v>
      </c>
    </row>
    <row r="72" spans="1:8" x14ac:dyDescent="0.25">
      <c r="E72" t="str">
        <f>"201810024087"</f>
        <v>201810024087</v>
      </c>
      <c r="F72" t="str">
        <f>"18-19112  07/01-07/11"</f>
        <v>18-19112  07/01-07/11</v>
      </c>
      <c r="G72" s="3">
        <v>105</v>
      </c>
      <c r="H72" t="str">
        <f>"18-19112  07/01-07/11"</f>
        <v>18-19112  07/01-07/11</v>
      </c>
    </row>
    <row r="73" spans="1:8" x14ac:dyDescent="0.25">
      <c r="E73" t="str">
        <f>"201810024088"</f>
        <v>201810024088</v>
      </c>
      <c r="F73" t="str">
        <f>"18-19237"</f>
        <v>18-19237</v>
      </c>
      <c r="G73" s="3">
        <v>190</v>
      </c>
      <c r="H73" t="str">
        <f>"18-19237"</f>
        <v>18-19237</v>
      </c>
    </row>
    <row r="74" spans="1:8" x14ac:dyDescent="0.25">
      <c r="A74" t="s">
        <v>39</v>
      </c>
      <c r="B74">
        <v>78942</v>
      </c>
      <c r="C74" s="2">
        <v>1522.5</v>
      </c>
      <c r="D74" s="1">
        <v>43382</v>
      </c>
      <c r="E74" t="str">
        <f>"201810024030"</f>
        <v>201810024030</v>
      </c>
      <c r="F74" t="str">
        <f>"17-18788"</f>
        <v>17-18788</v>
      </c>
      <c r="G74" s="3">
        <v>182.5</v>
      </c>
      <c r="H74" t="str">
        <f>"17-18788"</f>
        <v>17-18788</v>
      </c>
    </row>
    <row r="75" spans="1:8" x14ac:dyDescent="0.25">
      <c r="E75" t="str">
        <f>"201810024031"</f>
        <v>201810024031</v>
      </c>
      <c r="F75" t="str">
        <f>"17-18392"</f>
        <v>17-18392</v>
      </c>
      <c r="G75" s="3">
        <v>322.5</v>
      </c>
      <c r="H75" t="str">
        <f>"17-18392"</f>
        <v>17-18392</v>
      </c>
    </row>
    <row r="76" spans="1:8" x14ac:dyDescent="0.25">
      <c r="E76" t="str">
        <f>"201810024032"</f>
        <v>201810024032</v>
      </c>
      <c r="F76" t="str">
        <f>"17-18635"</f>
        <v>17-18635</v>
      </c>
      <c r="G76" s="3">
        <v>45</v>
      </c>
      <c r="H76" t="str">
        <f>"17-18635"</f>
        <v>17-18635</v>
      </c>
    </row>
    <row r="77" spans="1:8" x14ac:dyDescent="0.25">
      <c r="E77" t="str">
        <f>"201810024033"</f>
        <v>201810024033</v>
      </c>
      <c r="F77" t="str">
        <f>"18-19182"</f>
        <v>18-19182</v>
      </c>
      <c r="G77" s="3">
        <v>115</v>
      </c>
      <c r="H77" t="str">
        <f>"18-19182"</f>
        <v>18-19182</v>
      </c>
    </row>
    <row r="78" spans="1:8" x14ac:dyDescent="0.25">
      <c r="E78" t="str">
        <f>"201810024034"</f>
        <v>201810024034</v>
      </c>
      <c r="F78" t="str">
        <f>"17-18765"</f>
        <v>17-18765</v>
      </c>
      <c r="G78" s="3">
        <v>112.5</v>
      </c>
      <c r="H78" t="str">
        <f>"17-18765"</f>
        <v>17-18765</v>
      </c>
    </row>
    <row r="79" spans="1:8" x14ac:dyDescent="0.25">
      <c r="E79" t="str">
        <f>"201810024035"</f>
        <v>201810024035</v>
      </c>
      <c r="F79" t="str">
        <f>"14-16404"</f>
        <v>14-16404</v>
      </c>
      <c r="G79" s="3">
        <v>287.5</v>
      </c>
      <c r="H79" t="str">
        <f>"14-16404"</f>
        <v>14-16404</v>
      </c>
    </row>
    <row r="80" spans="1:8" x14ac:dyDescent="0.25">
      <c r="E80" t="str">
        <f>"201810024036"</f>
        <v>201810024036</v>
      </c>
      <c r="F80" t="str">
        <f>"18-19142"</f>
        <v>18-19142</v>
      </c>
      <c r="G80" s="3">
        <v>112.5</v>
      </c>
      <c r="H80" t="str">
        <f>"18-19142"</f>
        <v>18-19142</v>
      </c>
    </row>
    <row r="81" spans="1:8" x14ac:dyDescent="0.25">
      <c r="E81" t="str">
        <f>"201810024037"</f>
        <v>201810024037</v>
      </c>
      <c r="F81" t="str">
        <f>"18-19093"</f>
        <v>18-19093</v>
      </c>
      <c r="G81" s="3">
        <v>345</v>
      </c>
      <c r="H81" t="str">
        <f>"18-19093"</f>
        <v>18-19093</v>
      </c>
    </row>
    <row r="82" spans="1:8" x14ac:dyDescent="0.25">
      <c r="A82" t="s">
        <v>40</v>
      </c>
      <c r="B82">
        <v>78943</v>
      </c>
      <c r="C82" s="2">
        <v>400</v>
      </c>
      <c r="D82" s="1">
        <v>43382</v>
      </c>
      <c r="E82" t="str">
        <f>"201809273956"</f>
        <v>201809273956</v>
      </c>
      <c r="F82" t="str">
        <f>"11 422"</f>
        <v>11 422</v>
      </c>
      <c r="G82" s="3">
        <v>400</v>
      </c>
      <c r="H82" t="str">
        <f>"11 422"</f>
        <v>11 422</v>
      </c>
    </row>
    <row r="83" spans="1:8" x14ac:dyDescent="0.25">
      <c r="A83" t="s">
        <v>40</v>
      </c>
      <c r="B83">
        <v>79168</v>
      </c>
      <c r="C83" s="2">
        <v>1850</v>
      </c>
      <c r="D83" s="1">
        <v>43395</v>
      </c>
      <c r="E83" t="str">
        <f>"201810124497"</f>
        <v>201810124497</v>
      </c>
      <c r="F83" t="str">
        <f>"16 605"</f>
        <v>16 605</v>
      </c>
      <c r="G83" s="3">
        <v>600</v>
      </c>
      <c r="H83" t="str">
        <f>"16 605"</f>
        <v>16 605</v>
      </c>
    </row>
    <row r="84" spans="1:8" x14ac:dyDescent="0.25">
      <c r="E84" t="str">
        <f>"201810124498"</f>
        <v>201810124498</v>
      </c>
      <c r="F84" t="str">
        <f>"16 650"</f>
        <v>16 650</v>
      </c>
      <c r="G84" s="3">
        <v>600</v>
      </c>
      <c r="H84" t="str">
        <f>"16 650"</f>
        <v>16 650</v>
      </c>
    </row>
    <row r="85" spans="1:8" x14ac:dyDescent="0.25">
      <c r="E85" t="str">
        <f>"201810124499"</f>
        <v>201810124499</v>
      </c>
      <c r="F85" t="str">
        <f>"UNINDICTED"</f>
        <v>UNINDICTED</v>
      </c>
      <c r="G85" s="3">
        <v>400</v>
      </c>
      <c r="H85" t="str">
        <f>"UNINDICTED"</f>
        <v>UNINDICTED</v>
      </c>
    </row>
    <row r="86" spans="1:8" x14ac:dyDescent="0.25">
      <c r="E86" t="str">
        <f>"201810164539"</f>
        <v>201810164539</v>
      </c>
      <c r="F86" t="str">
        <f>"JP3-309202018B"</f>
        <v>JP3-309202018B</v>
      </c>
      <c r="G86" s="3">
        <v>250</v>
      </c>
      <c r="H86" t="str">
        <f>"JP3-309202018B"</f>
        <v>JP3-309202018B</v>
      </c>
    </row>
    <row r="87" spans="1:8" x14ac:dyDescent="0.25">
      <c r="A87" t="s">
        <v>41</v>
      </c>
      <c r="B87">
        <v>999999</v>
      </c>
      <c r="C87" s="2">
        <v>820.39</v>
      </c>
      <c r="D87" s="1">
        <v>43383</v>
      </c>
      <c r="E87" t="str">
        <f>"201810013994"</f>
        <v>201810013994</v>
      </c>
      <c r="F87" t="str">
        <f>"REIMBURSE HOTEL/POSTAGE/FRAME"</f>
        <v>REIMBURSE HOTEL/POSTAGE/FRAME</v>
      </c>
      <c r="G87" s="3">
        <v>820.39</v>
      </c>
      <c r="H87" t="str">
        <f>"REIMBURSE HOTEL/POSTAGE/FRAME"</f>
        <v>REIMBURSE HOTEL/POSTAGE/FRAME</v>
      </c>
    </row>
    <row r="88" spans="1:8" x14ac:dyDescent="0.25">
      <c r="A88" t="s">
        <v>41</v>
      </c>
      <c r="B88">
        <v>999999</v>
      </c>
      <c r="C88" s="2">
        <v>1855.85</v>
      </c>
      <c r="D88" s="1">
        <v>43396</v>
      </c>
      <c r="E88" t="str">
        <f>"201810124501"</f>
        <v>201810124501</v>
      </c>
      <c r="F88" t="str">
        <f>"REIMBURSE-HOTEL"</f>
        <v>REIMBURSE-HOTEL</v>
      </c>
      <c r="G88" s="3">
        <v>144.77000000000001</v>
      </c>
      <c r="H88" t="str">
        <f>"REIMBURSE-HOTEL"</f>
        <v>REIMBURSE-HOTEL</v>
      </c>
    </row>
    <row r="89" spans="1:8" x14ac:dyDescent="0.25">
      <c r="E89" t="str">
        <f>"201810124502"</f>
        <v>201810124502</v>
      </c>
      <c r="F89" t="str">
        <f>"REIMBURSE-HOTEL"</f>
        <v>REIMBURSE-HOTEL</v>
      </c>
      <c r="G89" s="3">
        <v>289.54000000000002</v>
      </c>
      <c r="H89" t="str">
        <f>"REIMBURSE-HOTEL"</f>
        <v>REIMBURSE-HOTEL</v>
      </c>
    </row>
    <row r="90" spans="1:8" x14ac:dyDescent="0.25">
      <c r="E90" t="str">
        <f>"201810154514"</f>
        <v>201810154514</v>
      </c>
      <c r="F90" t="str">
        <f>"REIMBURSEMENT-LODGING"</f>
        <v>REIMBURSEMENT-LODGING</v>
      </c>
      <c r="G90" s="3">
        <v>1059.81</v>
      </c>
      <c r="H90" t="str">
        <f>"REIMBURSEMENT-LODGING"</f>
        <v>REIMBURSEMENT-LODGING</v>
      </c>
    </row>
    <row r="91" spans="1:8" x14ac:dyDescent="0.25">
      <c r="E91" t="str">
        <f>"201810154515"</f>
        <v>201810154515</v>
      </c>
      <c r="F91" t="str">
        <f>"REIMBURSE TACVB LEADERSHIP"</f>
        <v>REIMBURSE TACVB LEADERSHIP</v>
      </c>
      <c r="G91" s="3">
        <v>275</v>
      </c>
      <c r="H91" t="str">
        <f>"REIMBURSE TACVB LEADERSHIP"</f>
        <v>REIMBURSE TACVB LEADERSHIP</v>
      </c>
    </row>
    <row r="92" spans="1:8" x14ac:dyDescent="0.25">
      <c r="E92" t="str">
        <f>"201810154516"</f>
        <v>201810154516</v>
      </c>
      <c r="F92" t="str">
        <f>"REIMBURSE-NAME TAG/PARKING"</f>
        <v>REIMBURSE-NAME TAG/PARKING</v>
      </c>
      <c r="G92" s="3">
        <v>86.73</v>
      </c>
      <c r="H92" t="str">
        <f>"REIMBURSE-NAME TAG/PARKING"</f>
        <v>REIMBURSE-NAME TAG/PARKING</v>
      </c>
    </row>
    <row r="93" spans="1:8" x14ac:dyDescent="0.25">
      <c r="A93" t="s">
        <v>42</v>
      </c>
      <c r="B93">
        <v>79169</v>
      </c>
      <c r="C93" s="2">
        <v>140</v>
      </c>
      <c r="D93" s="1">
        <v>43395</v>
      </c>
      <c r="E93" t="str">
        <f>"475291969"</f>
        <v>475291969</v>
      </c>
      <c r="F93" t="str">
        <f>"ORDER 475291969"</f>
        <v>ORDER 475291969</v>
      </c>
      <c r="G93" s="3">
        <v>140</v>
      </c>
      <c r="H93" t="str">
        <f>"ORDER 475291969"</f>
        <v>ORDER 475291969</v>
      </c>
    </row>
    <row r="94" spans="1:8" x14ac:dyDescent="0.25">
      <c r="A94" t="s">
        <v>43</v>
      </c>
      <c r="B94">
        <v>78944</v>
      </c>
      <c r="C94" s="2">
        <v>4000</v>
      </c>
      <c r="D94" s="1">
        <v>43382</v>
      </c>
      <c r="E94" t="str">
        <f>"201809253928"</f>
        <v>201809253928</v>
      </c>
      <c r="F94" t="str">
        <f>"ADVOCACY OUTREACH/ FY 18-19"</f>
        <v>ADVOCACY OUTREACH/ FY 18-19</v>
      </c>
      <c r="G94" s="3">
        <v>4000</v>
      </c>
      <c r="H94" t="str">
        <f>"ADVOCACY OUTREACH/ FY 18-19"</f>
        <v>ADVOCACY OUTREACH/ FY 18-19</v>
      </c>
    </row>
    <row r="95" spans="1:8" x14ac:dyDescent="0.25">
      <c r="A95" t="s">
        <v>44</v>
      </c>
      <c r="B95">
        <v>999999</v>
      </c>
      <c r="C95" s="2">
        <v>500</v>
      </c>
      <c r="D95" s="1">
        <v>43383</v>
      </c>
      <c r="E95" t="str">
        <f>"201809253934"</f>
        <v>201809253934</v>
      </c>
      <c r="F95" t="str">
        <f>"16572"</f>
        <v>16572</v>
      </c>
      <c r="G95" s="3">
        <v>400</v>
      </c>
      <c r="H95" t="str">
        <f>"16572"</f>
        <v>16572</v>
      </c>
    </row>
    <row r="96" spans="1:8" x14ac:dyDescent="0.25">
      <c r="E96" t="str">
        <f>"201810013985"</f>
        <v>201810013985</v>
      </c>
      <c r="F96" t="str">
        <f>"927-335"</f>
        <v>927-335</v>
      </c>
      <c r="G96" s="3">
        <v>100</v>
      </c>
      <c r="H96" t="str">
        <f>"927-335"</f>
        <v>927-335</v>
      </c>
    </row>
    <row r="97" spans="1:8" x14ac:dyDescent="0.25">
      <c r="A97" t="s">
        <v>45</v>
      </c>
      <c r="B97">
        <v>79170</v>
      </c>
      <c r="C97" s="2">
        <v>335.97</v>
      </c>
      <c r="D97" s="1">
        <v>43395</v>
      </c>
      <c r="E97" t="str">
        <f>"201810124481"</f>
        <v>201810124481</v>
      </c>
      <c r="F97" t="str">
        <f>"ATTORNEY GENERAL DOCKET"</f>
        <v>ATTORNEY GENERAL DOCKET</v>
      </c>
      <c r="G97" s="3">
        <v>335.97</v>
      </c>
      <c r="H97" t="str">
        <f>"ATTORNEY GENERAL DOCKET"</f>
        <v>ATTORNEY GENERAL DOCKET</v>
      </c>
    </row>
    <row r="98" spans="1:8" x14ac:dyDescent="0.25">
      <c r="A98" t="s">
        <v>46</v>
      </c>
      <c r="B98">
        <v>79171</v>
      </c>
      <c r="C98" s="2">
        <v>25</v>
      </c>
      <c r="D98" s="1">
        <v>43395</v>
      </c>
      <c r="E98" t="str">
        <f>"201810174604"</f>
        <v>201810174604</v>
      </c>
      <c r="F98" t="str">
        <f>"REFUND DRIVEWAY PERMIT FEE"</f>
        <v>REFUND DRIVEWAY PERMIT FEE</v>
      </c>
      <c r="G98" s="3">
        <v>25</v>
      </c>
      <c r="H98" t="str">
        <f>"REFUND DRIVEWAY PERMIT FEE"</f>
        <v>REFUND DRIVEWAY PERMIT FEE</v>
      </c>
    </row>
    <row r="99" spans="1:8" x14ac:dyDescent="0.25">
      <c r="A99" t="s">
        <v>47</v>
      </c>
      <c r="B99">
        <v>999999</v>
      </c>
      <c r="C99" s="2">
        <v>7654.93</v>
      </c>
      <c r="D99" s="1">
        <v>43396</v>
      </c>
      <c r="E99" t="str">
        <f>"31695954"</f>
        <v>31695954</v>
      </c>
      <c r="F99" t="str">
        <f>"CUST#39329/ORD#10704978/PCT#4"</f>
        <v>CUST#39329/ORD#10704978/PCT#4</v>
      </c>
      <c r="G99" s="3">
        <v>7654.93</v>
      </c>
      <c r="H99" t="str">
        <f>"CUST#39329/ORD#10704978/PCT#4"</f>
        <v>CUST#39329/ORD#10704978/PCT#4</v>
      </c>
    </row>
    <row r="100" spans="1:8" x14ac:dyDescent="0.25">
      <c r="A100" t="s">
        <v>48</v>
      </c>
      <c r="B100">
        <v>78945</v>
      </c>
      <c r="C100" s="2">
        <v>1000</v>
      </c>
      <c r="D100" s="1">
        <v>43382</v>
      </c>
      <c r="E100" t="str">
        <f>"201810034190"</f>
        <v>201810034190</v>
      </c>
      <c r="F100" t="str">
        <f>"VETERINARY SURG SVCS-9/19&amp;9/26"</f>
        <v>VETERINARY SURG SVCS-9/19&amp;9/26</v>
      </c>
      <c r="G100" s="3">
        <v>1000</v>
      </c>
      <c r="H100" t="str">
        <f>"VETERINARY SURG SVCS-9/19&amp;9/26"</f>
        <v>VETERINARY SURG SVCS-9/19&amp;9/26</v>
      </c>
    </row>
    <row r="101" spans="1:8" x14ac:dyDescent="0.25">
      <c r="A101" t="s">
        <v>49</v>
      </c>
      <c r="B101">
        <v>78946</v>
      </c>
      <c r="C101" s="2">
        <v>474</v>
      </c>
      <c r="D101" s="1">
        <v>43382</v>
      </c>
      <c r="E101" t="str">
        <f>" 32725"</f>
        <v xml:space="preserve"> 32725</v>
      </c>
      <c r="F101" t="str">
        <f>"RENTAL/COOL WATER/PCT#1"</f>
        <v>RENTAL/COOL WATER/PCT#1</v>
      </c>
      <c r="G101" s="3">
        <v>107.5</v>
      </c>
      <c r="H101" t="str">
        <f>"RENTAL/COOL WATER/PCT#1"</f>
        <v>RENTAL/COOL WATER/PCT#1</v>
      </c>
    </row>
    <row r="102" spans="1:8" x14ac:dyDescent="0.25">
      <c r="E102" t="str">
        <f>" 32726"</f>
        <v xml:space="preserve"> 32726</v>
      </c>
      <c r="F102" t="str">
        <f>"RENTAL-375 RIVERSIDE LAUNCH"</f>
        <v>RENTAL-375 RIVERSIDE LAUNCH</v>
      </c>
      <c r="G102" s="3">
        <v>129.5</v>
      </c>
      <c r="H102" t="str">
        <f>"RENTAL-375 RIVERSIDE LAUNCH"</f>
        <v>RENTAL-375 RIVERSIDE LAUNCH</v>
      </c>
    </row>
    <row r="103" spans="1:8" x14ac:dyDescent="0.25">
      <c r="E103" t="str">
        <f>"32725"</f>
        <v>32725</v>
      </c>
      <c r="F103" t="str">
        <f>"RENTAL/COOL WATER/PCT#1"</f>
        <v>RENTAL/COOL WATER/PCT#1</v>
      </c>
      <c r="G103" s="3">
        <v>107.5</v>
      </c>
      <c r="H103" t="str">
        <f>"RENTAL/COOL WATER/PCT#1"</f>
        <v>RENTAL/COOL WATER/PCT#1</v>
      </c>
    </row>
    <row r="104" spans="1:8" x14ac:dyDescent="0.25">
      <c r="E104" t="str">
        <f>"32726"</f>
        <v>32726</v>
      </c>
      <c r="F104" t="str">
        <f>"RENTAL-375 RIVERSIDE LAUNCH"</f>
        <v>RENTAL-375 RIVERSIDE LAUNCH</v>
      </c>
      <c r="G104" s="3">
        <v>129.5</v>
      </c>
      <c r="H104" t="str">
        <f>"RENTAL-375 RIVERSIDE LAUNCH"</f>
        <v>RENTAL-375 RIVERSIDE LAUNCH</v>
      </c>
    </row>
    <row r="105" spans="1:8" x14ac:dyDescent="0.25">
      <c r="A105" t="s">
        <v>49</v>
      </c>
      <c r="B105">
        <v>79172</v>
      </c>
      <c r="C105" s="2">
        <v>97</v>
      </c>
      <c r="D105" s="1">
        <v>43395</v>
      </c>
      <c r="E105" t="str">
        <f>"33101"</f>
        <v>33101</v>
      </c>
      <c r="F105" t="str">
        <f>"RENTAL-SHILOH RD &amp; HWY 304/P1"</f>
        <v>RENTAL-SHILOH RD &amp; HWY 304/P1</v>
      </c>
      <c r="G105" s="3">
        <v>97</v>
      </c>
      <c r="H105" t="str">
        <f>"RENTAL-SHILOH RD &amp; HWY 304/P1"</f>
        <v>RENTAL-SHILOH RD &amp; HWY 304/P1</v>
      </c>
    </row>
    <row r="106" spans="1:8" x14ac:dyDescent="0.25">
      <c r="A106" t="s">
        <v>50</v>
      </c>
      <c r="B106">
        <v>79173</v>
      </c>
      <c r="C106" s="2">
        <v>627.82000000000005</v>
      </c>
      <c r="D106" s="1">
        <v>43395</v>
      </c>
      <c r="E106" t="str">
        <f>"11CP-G3KH-THVV"</f>
        <v>11CP-G3KH-THVV</v>
      </c>
      <c r="F106" t="str">
        <f>"AMAZON CAPITAL SERVICES INC"</f>
        <v>AMAZON CAPITAL SERVICES INC</v>
      </c>
      <c r="G106" s="3">
        <v>9.6999999999999993</v>
      </c>
      <c r="H106" t="str">
        <f>"Self Ink Stamp"</f>
        <v>Self Ink Stamp</v>
      </c>
    </row>
    <row r="107" spans="1:8" x14ac:dyDescent="0.25">
      <c r="E107" t="str">
        <f>"13G7-FRDG-GGQ4"</f>
        <v>13G7-FRDG-GGQ4</v>
      </c>
      <c r="F107" t="str">
        <f>"AMAZON CAPITAL SERVICES INC"</f>
        <v>AMAZON CAPITAL SERVICES INC</v>
      </c>
      <c r="G107" s="3">
        <v>136.74</v>
      </c>
      <c r="H107" t="str">
        <f>"RM 43 Weed Killer"</f>
        <v>RM 43 Weed Killer</v>
      </c>
    </row>
    <row r="108" spans="1:8" x14ac:dyDescent="0.25">
      <c r="E108" t="str">
        <f>""</f>
        <v/>
      </c>
      <c r="F108" t="str">
        <f>""</f>
        <v/>
      </c>
      <c r="H108" t="str">
        <f>"Zerk Fittings"</f>
        <v>Zerk Fittings</v>
      </c>
    </row>
    <row r="109" spans="1:8" x14ac:dyDescent="0.25">
      <c r="E109" t="str">
        <f>""</f>
        <v/>
      </c>
      <c r="F109" t="str">
        <f>""</f>
        <v/>
      </c>
      <c r="H109" t="str">
        <f>"Blue Shop Towels"</f>
        <v>Blue Shop Towels</v>
      </c>
    </row>
    <row r="110" spans="1:8" x14ac:dyDescent="0.25">
      <c r="E110" t="str">
        <f>"16JD-4YLF-3VQQ"</f>
        <v>16JD-4YLF-3VQQ</v>
      </c>
      <c r="F110" t="str">
        <f>"AMAZON CAPITAL SERVICES INC"</f>
        <v>AMAZON CAPITAL SERVICES INC</v>
      </c>
      <c r="G110" s="3">
        <v>51.98</v>
      </c>
      <c r="H110" t="str">
        <f>"Weed Sprayer"</f>
        <v>Weed Sprayer</v>
      </c>
    </row>
    <row r="111" spans="1:8" x14ac:dyDescent="0.25">
      <c r="E111" t="str">
        <f>"1VP9-6WMW-WFK9"</f>
        <v>1VP9-6WMW-WFK9</v>
      </c>
      <c r="F111" t="str">
        <f>"Items for Jail"</f>
        <v>Items for Jail</v>
      </c>
      <c r="G111" s="3">
        <v>189.19</v>
      </c>
      <c r="H111" t="str">
        <f>"Reception Desk Chair"</f>
        <v>Reception Desk Chair</v>
      </c>
    </row>
    <row r="112" spans="1:8" x14ac:dyDescent="0.25">
      <c r="E112" t="str">
        <f>""</f>
        <v/>
      </c>
      <c r="F112" t="str">
        <f>""</f>
        <v/>
      </c>
      <c r="H112" t="str">
        <f>"Cradle"</f>
        <v>Cradle</v>
      </c>
    </row>
    <row r="113" spans="1:8" x14ac:dyDescent="0.25">
      <c r="E113" t="str">
        <f>""</f>
        <v/>
      </c>
      <c r="F113" t="str">
        <f>""</f>
        <v/>
      </c>
      <c r="H113" t="str">
        <f>"Mesh Back"</f>
        <v>Mesh Back</v>
      </c>
    </row>
    <row r="114" spans="1:8" x14ac:dyDescent="0.25">
      <c r="E114" t="str">
        <f>"1WQ9-KRD1-DYR1"</f>
        <v>1WQ9-KRD1-DYR1</v>
      </c>
      <c r="F114" t="str">
        <f>"office supplies"</f>
        <v>office supplies</v>
      </c>
      <c r="G114" s="3">
        <v>206.63</v>
      </c>
      <c r="H114" t="str">
        <f>"staples"</f>
        <v>staples</v>
      </c>
    </row>
    <row r="115" spans="1:8" x14ac:dyDescent="0.25">
      <c r="E115" t="str">
        <f>""</f>
        <v/>
      </c>
      <c r="F115" t="str">
        <f>""</f>
        <v/>
      </c>
      <c r="H115" t="str">
        <f>"battery"</f>
        <v>battery</v>
      </c>
    </row>
    <row r="116" spans="1:8" x14ac:dyDescent="0.25">
      <c r="E116" t="str">
        <f>""</f>
        <v/>
      </c>
      <c r="F116" t="str">
        <f>""</f>
        <v/>
      </c>
      <c r="H116" t="str">
        <f>"keurig"</f>
        <v>keurig</v>
      </c>
    </row>
    <row r="117" spans="1:8" x14ac:dyDescent="0.25">
      <c r="E117" t="str">
        <f>""</f>
        <v/>
      </c>
      <c r="F117" t="str">
        <f>""</f>
        <v/>
      </c>
      <c r="H117" t="str">
        <f>"3M Tape Dispenser"</f>
        <v>3M Tape Dispenser</v>
      </c>
    </row>
    <row r="118" spans="1:8" x14ac:dyDescent="0.25">
      <c r="E118" t="str">
        <f>""</f>
        <v/>
      </c>
      <c r="F118" t="str">
        <f>""</f>
        <v/>
      </c>
      <c r="H118" t="str">
        <f>"Nex Mouse Pad"</f>
        <v>Nex Mouse Pad</v>
      </c>
    </row>
    <row r="119" spans="1:8" x14ac:dyDescent="0.25">
      <c r="E119" t="str">
        <f>""</f>
        <v/>
      </c>
      <c r="F119" t="str">
        <f>""</f>
        <v/>
      </c>
      <c r="H119" t="str">
        <f>"Keyboard Stand"</f>
        <v>Keyboard Stand</v>
      </c>
    </row>
    <row r="120" spans="1:8" x14ac:dyDescent="0.25">
      <c r="E120" t="str">
        <f>""</f>
        <v/>
      </c>
      <c r="F120" t="str">
        <f>""</f>
        <v/>
      </c>
      <c r="H120" t="str">
        <f>"PVC Chair Mat"</f>
        <v>PVC Chair Mat</v>
      </c>
    </row>
    <row r="121" spans="1:8" x14ac:dyDescent="0.25">
      <c r="E121" t="str">
        <f>"1Y71-361H-XW47"</f>
        <v>1Y71-361H-XW47</v>
      </c>
      <c r="F121" t="str">
        <f>"Drill Bits and Anchors"</f>
        <v>Drill Bits and Anchors</v>
      </c>
      <c r="G121" s="3">
        <v>33.58</v>
      </c>
      <c r="H121" t="str">
        <f>"Drill Bit Set"</f>
        <v>Drill Bit Set</v>
      </c>
    </row>
    <row r="122" spans="1:8" x14ac:dyDescent="0.25">
      <c r="E122" t="str">
        <f>""</f>
        <v/>
      </c>
      <c r="F122" t="str">
        <f>""</f>
        <v/>
      </c>
      <c r="H122" t="str">
        <f>"Anchors Set"</f>
        <v>Anchors Set</v>
      </c>
    </row>
    <row r="123" spans="1:8" x14ac:dyDescent="0.25">
      <c r="A123" t="s">
        <v>50</v>
      </c>
      <c r="B123">
        <v>999999</v>
      </c>
      <c r="C123" s="2">
        <v>68.89</v>
      </c>
      <c r="D123" s="1">
        <v>43383</v>
      </c>
      <c r="E123" t="str">
        <f>"201809283968"</f>
        <v>201809283968</v>
      </c>
      <c r="F123" t="str">
        <f>"Keyboard and tension rod"</f>
        <v>Keyboard and tension rod</v>
      </c>
      <c r="G123" s="3">
        <v>68.89</v>
      </c>
      <c r="H123" t="str">
        <f>"Keyboard"</f>
        <v>Keyboard</v>
      </c>
    </row>
    <row r="124" spans="1:8" x14ac:dyDescent="0.25">
      <c r="E124" t="str">
        <f>""</f>
        <v/>
      </c>
      <c r="F124" t="str">
        <f>""</f>
        <v/>
      </c>
      <c r="H124" t="str">
        <f>"Tension Rod"</f>
        <v>Tension Rod</v>
      </c>
    </row>
    <row r="125" spans="1:8" x14ac:dyDescent="0.25">
      <c r="A125" t="s">
        <v>51</v>
      </c>
      <c r="B125">
        <v>79174</v>
      </c>
      <c r="C125" s="2">
        <v>183.99</v>
      </c>
      <c r="D125" s="1">
        <v>43395</v>
      </c>
      <c r="E125" t="str">
        <f>"1NM4-V77C-LFRN"</f>
        <v>1NM4-V77C-LFRN</v>
      </c>
      <c r="F125" t="str">
        <f>"Chair and Paper"</f>
        <v>Chair and Paper</v>
      </c>
      <c r="G125" s="3">
        <v>183.99</v>
      </c>
      <c r="H125" t="str">
        <f>"Chair"</f>
        <v>Chair</v>
      </c>
    </row>
    <row r="126" spans="1:8" x14ac:dyDescent="0.25">
      <c r="E126" t="str">
        <f>""</f>
        <v/>
      </c>
      <c r="F126" t="str">
        <f>""</f>
        <v/>
      </c>
      <c r="H126" t="str">
        <f>"Paper"</f>
        <v>Paper</v>
      </c>
    </row>
    <row r="127" spans="1:8" x14ac:dyDescent="0.25">
      <c r="A127" t="s">
        <v>52</v>
      </c>
      <c r="B127">
        <v>78947</v>
      </c>
      <c r="C127" s="2">
        <v>32.9</v>
      </c>
      <c r="D127" s="1">
        <v>43382</v>
      </c>
      <c r="E127" t="str">
        <f>"01-181052899"</f>
        <v>01-181052899</v>
      </c>
      <c r="F127" t="str">
        <f>"INV 01-181052899"</f>
        <v>INV 01-181052899</v>
      </c>
      <c r="G127" s="3">
        <v>32.9</v>
      </c>
      <c r="H127" t="str">
        <f>"INV 01-181052899"</f>
        <v>INV 01-181052899</v>
      </c>
    </row>
    <row r="128" spans="1:8" x14ac:dyDescent="0.25">
      <c r="A128" t="s">
        <v>53</v>
      </c>
      <c r="B128">
        <v>79175</v>
      </c>
      <c r="C128" s="2">
        <v>1172.8499999999999</v>
      </c>
      <c r="D128" s="1">
        <v>43395</v>
      </c>
      <c r="E128" t="str">
        <f>"943117316-7"</f>
        <v>943117316-7</v>
      </c>
      <c r="F128" t="str">
        <f>"INV 943117316"</f>
        <v>INV 943117316</v>
      </c>
      <c r="G128" s="3">
        <v>1172.8499999999999</v>
      </c>
      <c r="H128" t="str">
        <f>"INV 943117316"</f>
        <v>INV 943117316</v>
      </c>
    </row>
    <row r="129" spans="1:8" x14ac:dyDescent="0.25">
      <c r="E129" t="str">
        <f>""</f>
        <v/>
      </c>
      <c r="F129" t="str">
        <f>""</f>
        <v/>
      </c>
      <c r="H129" t="str">
        <f>"INV 943117317"</f>
        <v>INV 943117317</v>
      </c>
    </row>
    <row r="130" spans="1:8" x14ac:dyDescent="0.25">
      <c r="A130" t="s">
        <v>54</v>
      </c>
      <c r="B130">
        <v>79176</v>
      </c>
      <c r="C130" s="2">
        <v>5726.41</v>
      </c>
      <c r="D130" s="1">
        <v>43395</v>
      </c>
      <c r="E130" t="str">
        <f>"109181"</f>
        <v>109181</v>
      </c>
      <c r="F130" t="str">
        <f>"VR RECEIPTS"</f>
        <v>VR RECEIPTS</v>
      </c>
      <c r="G130" s="3">
        <v>1029.8</v>
      </c>
      <c r="H130" t="str">
        <f>"VR RECEIPTS"</f>
        <v>VR RECEIPTS</v>
      </c>
    </row>
    <row r="131" spans="1:8" x14ac:dyDescent="0.25">
      <c r="E131" t="str">
        <f>"109241"</f>
        <v>109241</v>
      </c>
      <c r="F131" t="str">
        <f>"POSTCARD/COVER/POSTAGE"</f>
        <v>POSTCARD/COVER/POSTAGE</v>
      </c>
      <c r="G131" s="3">
        <v>4696.6099999999997</v>
      </c>
      <c r="H131" t="str">
        <f>"POSTCARD/COVER/POSTAGE"</f>
        <v>POSTCARD/COVER/POSTAGE</v>
      </c>
    </row>
    <row r="132" spans="1:8" x14ac:dyDescent="0.25">
      <c r="A132" t="s">
        <v>55</v>
      </c>
      <c r="B132">
        <v>999999</v>
      </c>
      <c r="C132" s="2">
        <v>6527.5</v>
      </c>
      <c r="D132" s="1">
        <v>43383</v>
      </c>
      <c r="E132" t="str">
        <f>"201809253935"</f>
        <v>201809253935</v>
      </c>
      <c r="F132" t="str">
        <f>"916-335"</f>
        <v>916-335</v>
      </c>
      <c r="G132" s="3">
        <v>100</v>
      </c>
      <c r="H132" t="str">
        <f>"916-335"</f>
        <v>916-335</v>
      </c>
    </row>
    <row r="133" spans="1:8" x14ac:dyDescent="0.25">
      <c r="E133" t="str">
        <f>"201809253936"</f>
        <v>201809253936</v>
      </c>
      <c r="F133" t="str">
        <f>"16 350  02/7-03/26"</f>
        <v>16 350  02/7-03/26</v>
      </c>
      <c r="G133" s="3">
        <v>800</v>
      </c>
      <c r="H133" t="str">
        <f>"16 350  02/7-03/26"</f>
        <v>16 350  02/7-03/26</v>
      </c>
    </row>
    <row r="134" spans="1:8" x14ac:dyDescent="0.25">
      <c r="E134" t="str">
        <f>"201809253937"</f>
        <v>201809253937</v>
      </c>
      <c r="F134" t="str">
        <f>"899-335"</f>
        <v>899-335</v>
      </c>
      <c r="G134" s="3">
        <v>100</v>
      </c>
      <c r="H134" t="str">
        <f>"899-335"</f>
        <v>899-335</v>
      </c>
    </row>
    <row r="135" spans="1:8" x14ac:dyDescent="0.25">
      <c r="E135" t="str">
        <f>"201809253938"</f>
        <v>201809253938</v>
      </c>
      <c r="F135" t="str">
        <f>"423-5997"</f>
        <v>423-5997</v>
      </c>
      <c r="G135" s="3">
        <v>100</v>
      </c>
      <c r="H135" t="str">
        <f>"423-5997"</f>
        <v>423-5997</v>
      </c>
    </row>
    <row r="136" spans="1:8" x14ac:dyDescent="0.25">
      <c r="E136" t="str">
        <f>"201809253939"</f>
        <v>201809253939</v>
      </c>
      <c r="F136" t="str">
        <f>"CH-20160910A"</f>
        <v>CH-20160910A</v>
      </c>
      <c r="G136" s="3">
        <v>400</v>
      </c>
      <c r="H136" t="str">
        <f>"CH-20160910A"</f>
        <v>CH-20160910A</v>
      </c>
    </row>
    <row r="137" spans="1:8" x14ac:dyDescent="0.25">
      <c r="E137" t="str">
        <f>"201809253940"</f>
        <v>201809253940</v>
      </c>
      <c r="F137" t="str">
        <f>"423-5575  04/03-07/12"</f>
        <v>423-5575  04/03-07/12</v>
      </c>
      <c r="G137" s="3">
        <v>1357.5</v>
      </c>
      <c r="H137" t="str">
        <f>"423-5575  04/03-07/12"</f>
        <v>423-5575  04/03-07/12</v>
      </c>
    </row>
    <row r="138" spans="1:8" x14ac:dyDescent="0.25">
      <c r="E138" t="str">
        <f>"201810013980"</f>
        <v>201810013980</v>
      </c>
      <c r="F138" t="str">
        <f>"02-0411-3-13"</f>
        <v>02-0411-3-13</v>
      </c>
      <c r="G138" s="3">
        <v>400</v>
      </c>
      <c r="H138" t="str">
        <f>"02-0411-3-13"</f>
        <v>02-0411-3-13</v>
      </c>
    </row>
    <row r="139" spans="1:8" x14ac:dyDescent="0.25">
      <c r="E139" t="str">
        <f>"201810013981"</f>
        <v>201810013981</v>
      </c>
      <c r="F139" t="str">
        <f>"423-5235"</f>
        <v>423-5235</v>
      </c>
      <c r="G139" s="3">
        <v>1470</v>
      </c>
      <c r="H139" t="str">
        <f>"423-5235"</f>
        <v>423-5235</v>
      </c>
    </row>
    <row r="140" spans="1:8" x14ac:dyDescent="0.25">
      <c r="E140" t="str">
        <f>"201810013982"</f>
        <v>201810013982</v>
      </c>
      <c r="F140" t="str">
        <f>"935-335"</f>
        <v>935-335</v>
      </c>
      <c r="G140" s="3">
        <v>100</v>
      </c>
      <c r="H140" t="str">
        <f>"935-335"</f>
        <v>935-335</v>
      </c>
    </row>
    <row r="141" spans="1:8" x14ac:dyDescent="0.25">
      <c r="E141" t="str">
        <f>"201810013983"</f>
        <v>201810013983</v>
      </c>
      <c r="F141" t="str">
        <f>"16 475  307230217A"</f>
        <v>16 475  307230217A</v>
      </c>
      <c r="G141" s="3">
        <v>400</v>
      </c>
      <c r="H141" t="str">
        <f>"16 475  307230217A"</f>
        <v>16 475  307230217A</v>
      </c>
    </row>
    <row r="142" spans="1:8" x14ac:dyDescent="0.25">
      <c r="E142" t="str">
        <f>"201810013984"</f>
        <v>201810013984</v>
      </c>
      <c r="F142" t="str">
        <f>"16 060  I-42914-C"</f>
        <v>16 060  I-42914-C</v>
      </c>
      <c r="G142" s="3">
        <v>600</v>
      </c>
      <c r="H142" t="str">
        <f>"16 060  I-42914-C"</f>
        <v>16 060  I-42914-C</v>
      </c>
    </row>
    <row r="143" spans="1:8" x14ac:dyDescent="0.25">
      <c r="E143" t="str">
        <f>"201810024045"</f>
        <v>201810024045</v>
      </c>
      <c r="F143" t="str">
        <f>"C16-0072"</f>
        <v>C16-0072</v>
      </c>
      <c r="G143" s="3">
        <v>250</v>
      </c>
      <c r="H143" t="str">
        <f>"C16-0072"</f>
        <v>C16-0072</v>
      </c>
    </row>
    <row r="144" spans="1:8" x14ac:dyDescent="0.25">
      <c r="E144" t="str">
        <f>"201810024046"</f>
        <v>201810024046</v>
      </c>
      <c r="F144" t="str">
        <f>"56 045"</f>
        <v>56 045</v>
      </c>
      <c r="G144" s="3">
        <v>250</v>
      </c>
      <c r="H144" t="str">
        <f>"56 045"</f>
        <v>56 045</v>
      </c>
    </row>
    <row r="145" spans="1:8" x14ac:dyDescent="0.25">
      <c r="E145" t="str">
        <f>"201810024117"</f>
        <v>201810024117</v>
      </c>
      <c r="F145" t="str">
        <f>"18-19233"</f>
        <v>18-19233</v>
      </c>
      <c r="G145" s="3">
        <v>100</v>
      </c>
      <c r="H145" t="str">
        <f>"18-19233"</f>
        <v>18-19233</v>
      </c>
    </row>
    <row r="146" spans="1:8" x14ac:dyDescent="0.25">
      <c r="E146" t="str">
        <f>"201810024120"</f>
        <v>201810024120</v>
      </c>
      <c r="F146" t="str">
        <f>"NO CAUSE # LISTED!"</f>
        <v>NO CAUSE # LISTED!</v>
      </c>
      <c r="G146" s="3">
        <v>100</v>
      </c>
      <c r="H146" t="str">
        <f>"NO CAUSE # LISTED!"</f>
        <v>NO CAUSE # LISTED!</v>
      </c>
    </row>
    <row r="147" spans="1:8" x14ac:dyDescent="0.25">
      <c r="A147" t="s">
        <v>55</v>
      </c>
      <c r="B147">
        <v>999999</v>
      </c>
      <c r="C147" s="2">
        <v>800</v>
      </c>
      <c r="D147" s="1">
        <v>43396</v>
      </c>
      <c r="E147" t="str">
        <f>"201810164588"</f>
        <v>201810164588</v>
      </c>
      <c r="F147" t="str">
        <f>"16 326"</f>
        <v>16 326</v>
      </c>
      <c r="G147" s="3">
        <v>400</v>
      </c>
      <c r="H147" t="str">
        <f>"16 326"</f>
        <v>16 326</v>
      </c>
    </row>
    <row r="148" spans="1:8" x14ac:dyDescent="0.25">
      <c r="E148" t="str">
        <f>"201810164589"</f>
        <v>201810164589</v>
      </c>
      <c r="F148" t="str">
        <f>"MTR 15 124"</f>
        <v>MTR 15 124</v>
      </c>
      <c r="G148" s="3">
        <v>400</v>
      </c>
      <c r="H148" t="str">
        <f>"MTR 15 124"</f>
        <v>MTR 15 124</v>
      </c>
    </row>
    <row r="149" spans="1:8" x14ac:dyDescent="0.25">
      <c r="A149" t="s">
        <v>56</v>
      </c>
      <c r="B149">
        <v>78948</v>
      </c>
      <c r="C149" s="2">
        <v>167.26</v>
      </c>
      <c r="D149" s="1">
        <v>43382</v>
      </c>
      <c r="E149" t="str">
        <f>"201810014013"</f>
        <v>201810014013</v>
      </c>
      <c r="F149" t="str">
        <f>"ACCT#3-3053/PARTS/PCT#4"</f>
        <v>ACCT#3-3053/PARTS/PCT#4</v>
      </c>
      <c r="G149" s="3">
        <v>167.26</v>
      </c>
      <c r="H149" t="str">
        <f>"ACCT#3-3053/PARTS/PCT#4"</f>
        <v>ACCT#3-3053/PARTS/PCT#4</v>
      </c>
    </row>
    <row r="150" spans="1:8" x14ac:dyDescent="0.25">
      <c r="A150" t="s">
        <v>57</v>
      </c>
      <c r="B150">
        <v>78949</v>
      </c>
      <c r="C150" s="2">
        <v>140</v>
      </c>
      <c r="D150" s="1">
        <v>43382</v>
      </c>
      <c r="E150" t="str">
        <f>"201810034168"</f>
        <v>201810034168</v>
      </c>
      <c r="F150" t="str">
        <f>"PER DIEM"</f>
        <v>PER DIEM</v>
      </c>
      <c r="G150" s="3">
        <v>140</v>
      </c>
      <c r="H150" t="str">
        <f>"PER DIEM"</f>
        <v>PER DIEM</v>
      </c>
    </row>
    <row r="151" spans="1:8" x14ac:dyDescent="0.25">
      <c r="A151" t="s">
        <v>58</v>
      </c>
      <c r="B151">
        <v>999999</v>
      </c>
      <c r="C151" s="2">
        <v>21.65</v>
      </c>
      <c r="D151" s="1">
        <v>43383</v>
      </c>
      <c r="E151" t="str">
        <f>"201810024017"</f>
        <v>201810024017</v>
      </c>
      <c r="F151" t="str">
        <f>"REIMBURSE-ENVELOPES"</f>
        <v>REIMBURSE-ENVELOPES</v>
      </c>
      <c r="G151" s="3">
        <v>21.65</v>
      </c>
      <c r="H151" t="str">
        <f>"REIMBURSE-ENVELOPES"</f>
        <v>REIMBURSE-ENVELOPES</v>
      </c>
    </row>
    <row r="152" spans="1:8" x14ac:dyDescent="0.25">
      <c r="A152" t="s">
        <v>58</v>
      </c>
      <c r="B152">
        <v>999999</v>
      </c>
      <c r="C152" s="2">
        <v>789.47</v>
      </c>
      <c r="D152" s="1">
        <v>43396</v>
      </c>
      <c r="E152" t="str">
        <f>"201810104455"</f>
        <v>201810104455</v>
      </c>
      <c r="F152" t="str">
        <f>"REIMBURSE MEAL/HOTEL"</f>
        <v>REIMBURSE MEAL/HOTEL</v>
      </c>
      <c r="G152" s="3">
        <v>107.76</v>
      </c>
      <c r="H152" t="str">
        <f>"REIMBURSE MEAL/HOTEL"</f>
        <v>REIMBURSE MEAL/HOTEL</v>
      </c>
    </row>
    <row r="153" spans="1:8" x14ac:dyDescent="0.25">
      <c r="E153" t="str">
        <f>"201810104456"</f>
        <v>201810104456</v>
      </c>
      <c r="F153" t="str">
        <f>"REIMBURSE MEAL/HOTEL"</f>
        <v>REIMBURSE MEAL/HOTEL</v>
      </c>
      <c r="G153" s="3">
        <v>133.99</v>
      </c>
      <c r="H153" t="str">
        <f>"REIMBURSE MEAL/HOTEL"</f>
        <v>REIMBURSE MEAL/HOTEL</v>
      </c>
    </row>
    <row r="154" spans="1:8" x14ac:dyDescent="0.25">
      <c r="E154" t="str">
        <f>"201810104459"</f>
        <v>201810104459</v>
      </c>
      <c r="F154" t="str">
        <f>"MILEAGE REIMBURSEMENT-SEP18"</f>
        <v>MILEAGE REIMBURSEMENT-SEP18</v>
      </c>
      <c r="G154" s="3">
        <v>547.72</v>
      </c>
      <c r="H154" t="str">
        <f>"MILEAGE REIMBURSEMENT-SEP18"</f>
        <v>MILEAGE REIMBURSEMENT-SEP18</v>
      </c>
    </row>
    <row r="155" spans="1:8" x14ac:dyDescent="0.25">
      <c r="A155" t="s">
        <v>59</v>
      </c>
      <c r="B155">
        <v>78950</v>
      </c>
      <c r="C155" s="2">
        <v>824.42</v>
      </c>
      <c r="D155" s="1">
        <v>43382</v>
      </c>
      <c r="E155" t="str">
        <f>"201810013986"</f>
        <v>201810013986</v>
      </c>
      <c r="F155" t="str">
        <f>"ACCT#015538/EMER COMM"</f>
        <v>ACCT#015538/EMER COMM</v>
      </c>
      <c r="G155" s="3">
        <v>113.49</v>
      </c>
      <c r="H155" t="str">
        <f>"ACCT#015538/EMER COMM"</f>
        <v>ACCT#015538/EMER COMM</v>
      </c>
    </row>
    <row r="156" spans="1:8" x14ac:dyDescent="0.25">
      <c r="E156" t="str">
        <f>"201810013987"</f>
        <v>201810013987</v>
      </c>
      <c r="F156" t="str">
        <f>"ACCT#012571/TREASURER"</f>
        <v>ACCT#012571/TREASURER</v>
      </c>
      <c r="G156" s="3">
        <v>24</v>
      </c>
      <c r="H156" t="str">
        <f>"ACCT#012571/TREASURER"</f>
        <v>ACCT#012571/TREASURER</v>
      </c>
    </row>
    <row r="157" spans="1:8" x14ac:dyDescent="0.25">
      <c r="E157" t="str">
        <f>"201810014004"</f>
        <v>201810014004</v>
      </c>
      <c r="F157" t="str">
        <f>"ACCT#010602/COMMISSIONER OFFIC"</f>
        <v>ACCT#010602/COMMISSIONER OFFIC</v>
      </c>
      <c r="G157" s="3">
        <v>46.5</v>
      </c>
      <c r="H157" t="str">
        <f>"ACCT#010602/COMMISSIONER OFFIC"</f>
        <v>ACCT#010602/COMMISSIONER OFFIC</v>
      </c>
    </row>
    <row r="158" spans="1:8" x14ac:dyDescent="0.25">
      <c r="E158" t="str">
        <f>"201810014005"</f>
        <v>201810014005</v>
      </c>
      <c r="F158" t="str">
        <f>"ACCT#014877/EMERGENCY MGMT"</f>
        <v>ACCT#014877/EMERGENCY MGMT</v>
      </c>
      <c r="G158" s="3">
        <v>172.98</v>
      </c>
      <c r="H158" t="str">
        <f>"ACCT#014877/EMERGENCY MGMT"</f>
        <v>ACCT#014877/EMERGENCY MGMT</v>
      </c>
    </row>
    <row r="159" spans="1:8" x14ac:dyDescent="0.25">
      <c r="E159" t="str">
        <f>""</f>
        <v/>
      </c>
      <c r="F159" t="str">
        <f>""</f>
        <v/>
      </c>
      <c r="H159" t="str">
        <f>"ACCT#014877/EMERGENCY MGMT"</f>
        <v>ACCT#014877/EMERGENCY MGMT</v>
      </c>
    </row>
    <row r="160" spans="1:8" x14ac:dyDescent="0.25">
      <c r="E160" t="str">
        <f>"201810014006"</f>
        <v>201810014006</v>
      </c>
      <c r="F160" t="str">
        <f>"ACCT#010057/AUDITOR"</f>
        <v>ACCT#010057/AUDITOR</v>
      </c>
      <c r="G160" s="3">
        <v>46.5</v>
      </c>
      <c r="H160" t="str">
        <f>"ACCT#010057/AUDITOR"</f>
        <v>ACCT#010057/AUDITOR</v>
      </c>
    </row>
    <row r="161" spans="1:8" x14ac:dyDescent="0.25">
      <c r="E161" t="str">
        <f>"201810014007"</f>
        <v>201810014007</v>
      </c>
      <c r="F161" t="str">
        <f>"ACCT#015199/BASTROP CO JP#1"</f>
        <v>ACCT#015199/BASTROP CO JP#1</v>
      </c>
      <c r="G161" s="3">
        <v>19.489999999999998</v>
      </c>
      <c r="H161" t="str">
        <f>"ACCT#015199/BASTROP CO JP#1"</f>
        <v>ACCT#015199/BASTROP CO JP#1</v>
      </c>
    </row>
    <row r="162" spans="1:8" x14ac:dyDescent="0.25">
      <c r="E162" t="str">
        <f>"201810014008"</f>
        <v>201810014008</v>
      </c>
      <c r="F162" t="str">
        <f>"ACCT#010238/GENERAL SERVICES"</f>
        <v>ACCT#010238/GENERAL SERVICES</v>
      </c>
      <c r="G162" s="3">
        <v>86</v>
      </c>
      <c r="H162" t="str">
        <f>"ACCT#010238/GENERAL SERVICES"</f>
        <v>ACCT#010238/GENERAL SERVICES</v>
      </c>
    </row>
    <row r="163" spans="1:8" x14ac:dyDescent="0.25">
      <c r="E163" t="str">
        <f>"201810014009"</f>
        <v>201810014009</v>
      </c>
      <c r="F163" t="str">
        <f>"ACCT#010835/PCT#1"</f>
        <v>ACCT#010835/PCT#1</v>
      </c>
      <c r="G163" s="3">
        <v>19.489999999999998</v>
      </c>
      <c r="H163" t="str">
        <f>"ACCT#010835/PCT#1"</f>
        <v>ACCT#010835/PCT#1</v>
      </c>
    </row>
    <row r="164" spans="1:8" x14ac:dyDescent="0.25">
      <c r="E164" t="str">
        <f>"201810024018"</f>
        <v>201810024018</v>
      </c>
      <c r="F164" t="str">
        <f>"ACCT#012803/BASTROP CO JUDGE"</f>
        <v>ACCT#012803/BASTROP CO JUDGE</v>
      </c>
      <c r="G164" s="3">
        <v>3</v>
      </c>
      <c r="H164" t="str">
        <f>"ACCT#012803/BASTROP CO JUDGE"</f>
        <v>ACCT#012803/BASTROP CO JUDGE</v>
      </c>
    </row>
    <row r="165" spans="1:8" x14ac:dyDescent="0.25">
      <c r="E165" t="str">
        <f>"201810024019"</f>
        <v>201810024019</v>
      </c>
      <c r="F165" t="str">
        <f>"ACCT#012231/DIST JUDGE OFFICE"</f>
        <v>ACCT#012231/DIST JUDGE OFFICE</v>
      </c>
      <c r="G165" s="3">
        <v>10</v>
      </c>
      <c r="H165" t="str">
        <f>"ACCT#012231/DIST JUDGE OFFICE"</f>
        <v>ACCT#012231/DIST JUDGE OFFICE</v>
      </c>
    </row>
    <row r="166" spans="1:8" x14ac:dyDescent="0.25">
      <c r="E166" t="str">
        <f>"201810024020"</f>
        <v>201810024020</v>
      </c>
      <c r="F166" t="str">
        <f>"ACCT#011995/DISTRICT JUDGE"</f>
        <v>ACCT#011995/DISTRICT JUDGE</v>
      </c>
      <c r="G166" s="3">
        <v>48</v>
      </c>
      <c r="H166" t="str">
        <f>"ACCT#011995/DISTRICT JUDGE"</f>
        <v>ACCT#011995/DISTRICT JUDGE</v>
      </c>
    </row>
    <row r="167" spans="1:8" x14ac:dyDescent="0.25">
      <c r="E167" t="str">
        <f>"201810024021"</f>
        <v>201810024021</v>
      </c>
      <c r="F167" t="str">
        <f>"ACCT#010149/AGRI LIFE EXTENS"</f>
        <v>ACCT#010149/AGRI LIFE EXTENS</v>
      </c>
      <c r="G167" s="3">
        <v>34.49</v>
      </c>
      <c r="H167" t="str">
        <f>"ACCT#010149/AGRI LIFE EXTENS"</f>
        <v>ACCT#010149/AGRI LIFE EXTENS</v>
      </c>
    </row>
    <row r="168" spans="1:8" x14ac:dyDescent="0.25">
      <c r="E168" t="str">
        <f>"201810024022"</f>
        <v>201810024022</v>
      </c>
      <c r="F168" t="str">
        <f>"ACCT#011280/COUNTY CLERK"</f>
        <v>ACCT#011280/COUNTY CLERK</v>
      </c>
      <c r="G168" s="3">
        <v>61.5</v>
      </c>
      <c r="H168" t="str">
        <f>"ACCT#011280/COUNTY CLERK"</f>
        <v>ACCT#011280/COUNTY CLERK</v>
      </c>
    </row>
    <row r="169" spans="1:8" x14ac:dyDescent="0.25">
      <c r="E169" t="str">
        <f>"201810024104"</f>
        <v>201810024104</v>
      </c>
      <c r="F169" t="str">
        <f>"ACCT#012260/DA'S OFFICE"</f>
        <v>ACCT#012260/DA'S OFFICE</v>
      </c>
      <c r="G169" s="3">
        <v>45</v>
      </c>
      <c r="H169" t="str">
        <f>"ACCT#012260/DA'S OFFICE"</f>
        <v>ACCT#012260/DA'S OFFICE</v>
      </c>
    </row>
    <row r="170" spans="1:8" x14ac:dyDescent="0.25">
      <c r="E170" t="str">
        <f>"201810024150"</f>
        <v>201810024150</v>
      </c>
      <c r="F170" t="str">
        <f>"ACCT#011474/ELECTIONS"</f>
        <v>ACCT#011474/ELECTIONS</v>
      </c>
      <c r="G170" s="3">
        <v>17.5</v>
      </c>
      <c r="H170" t="str">
        <f>"ACCT#011474/ELECTIONS"</f>
        <v>ACCT#011474/ELECTIONS</v>
      </c>
    </row>
    <row r="171" spans="1:8" x14ac:dyDescent="0.25">
      <c r="E171" t="str">
        <f>"201810034187"</f>
        <v>201810034187</v>
      </c>
      <c r="F171" t="str">
        <f>"ACCT#015476/PURCHASING DEPT"</f>
        <v>ACCT#015476/PURCHASING DEPT</v>
      </c>
      <c r="G171" s="3">
        <v>10.49</v>
      </c>
      <c r="H171" t="str">
        <f>"ACCT#015476/PURCHASING DEPT"</f>
        <v>ACCT#015476/PURCHASING DEPT</v>
      </c>
    </row>
    <row r="172" spans="1:8" x14ac:dyDescent="0.25">
      <c r="E172" t="str">
        <f>"201810034188"</f>
        <v>201810034188</v>
      </c>
      <c r="F172" t="str">
        <f>"ACCT#014737/ANIMAL SERVICE"</f>
        <v>ACCT#014737/ANIMAL SERVICE</v>
      </c>
      <c r="G172" s="3">
        <v>65.989999999999995</v>
      </c>
      <c r="H172" t="str">
        <f>"ACCT#014737/ANIMAL SERVICE"</f>
        <v>ACCT#014737/ANIMAL SERVICE</v>
      </c>
    </row>
    <row r="173" spans="1:8" x14ac:dyDescent="0.25">
      <c r="A173" t="s">
        <v>59</v>
      </c>
      <c r="B173">
        <v>79177</v>
      </c>
      <c r="C173" s="2">
        <v>131.5</v>
      </c>
      <c r="D173" s="1">
        <v>43395</v>
      </c>
      <c r="E173" t="str">
        <f>"201810104449"</f>
        <v>201810104449</v>
      </c>
      <c r="F173" t="str">
        <f>"ACCT#012259/DISTRICT CLERK"</f>
        <v>ACCT#012259/DISTRICT CLERK</v>
      </c>
      <c r="G173" s="3">
        <v>84</v>
      </c>
      <c r="H173" t="str">
        <f>"ACCT#012259/DISTRICT CLERK"</f>
        <v>ACCT#012259/DISTRICT CLERK</v>
      </c>
    </row>
    <row r="174" spans="1:8" x14ac:dyDescent="0.25">
      <c r="E174" t="str">
        <f>"201810104457"</f>
        <v>201810104457</v>
      </c>
      <c r="F174" t="str">
        <f>"ACCT#011033/IT DEPT"</f>
        <v>ACCT#011033/IT DEPT</v>
      </c>
      <c r="G174" s="3">
        <v>22.5</v>
      </c>
      <c r="H174" t="str">
        <f>"ACCT#011033/IT DEPT"</f>
        <v>ACCT#011033/IT DEPT</v>
      </c>
    </row>
    <row r="175" spans="1:8" x14ac:dyDescent="0.25">
      <c r="E175" t="str">
        <f>"201810174621"</f>
        <v>201810174621</v>
      </c>
      <c r="F175" t="str">
        <f>"ACCT#013393/HUMAN RESOURCES"</f>
        <v>ACCT#013393/HUMAN RESOURCES</v>
      </c>
      <c r="G175" s="3">
        <v>25</v>
      </c>
      <c r="H175" t="str">
        <f>"ACCT#013393/HUMAN RESOURCES"</f>
        <v>ACCT#013393/HUMAN RESOURCES</v>
      </c>
    </row>
    <row r="176" spans="1:8" x14ac:dyDescent="0.25">
      <c r="A176" t="s">
        <v>60</v>
      </c>
      <c r="B176">
        <v>78874</v>
      </c>
      <c r="C176" s="2">
        <v>1991.83</v>
      </c>
      <c r="D176" s="1">
        <v>43376</v>
      </c>
      <c r="E176" t="str">
        <f>"201810034208"</f>
        <v>201810034208</v>
      </c>
      <c r="F176" t="str">
        <f>"ACCT#0102120801 / 10012018"</f>
        <v>ACCT#0102120801 / 10012018</v>
      </c>
      <c r="G176" s="3">
        <v>423.13</v>
      </c>
      <c r="H176" t="str">
        <f>"ACCT#0102120801 / 10012018"</f>
        <v>ACCT#0102120801 / 10012018</v>
      </c>
    </row>
    <row r="177" spans="1:8" x14ac:dyDescent="0.25">
      <c r="E177" t="str">
        <f>"201810034209"</f>
        <v>201810034209</v>
      </c>
      <c r="F177" t="str">
        <f>"ACCT#0201855301 / 10012018"</f>
        <v>ACCT#0201855301 / 10012018</v>
      </c>
      <c r="G177" s="3">
        <v>31.08</v>
      </c>
      <c r="H177" t="str">
        <f>"ACCT#0201855301 / 10012018"</f>
        <v>ACCT#0201855301 / 10012018</v>
      </c>
    </row>
    <row r="178" spans="1:8" x14ac:dyDescent="0.25">
      <c r="E178" t="str">
        <f>"201810034210"</f>
        <v>201810034210</v>
      </c>
      <c r="F178" t="str">
        <f>"ACCT#0201891401 / 10012018"</f>
        <v>ACCT#0201891401 / 10012018</v>
      </c>
      <c r="G178" s="3">
        <v>463.09</v>
      </c>
      <c r="H178" t="str">
        <f>"ACCT#0201891401 / 10012018"</f>
        <v>ACCT#0201891401 / 10012018</v>
      </c>
    </row>
    <row r="179" spans="1:8" x14ac:dyDescent="0.25">
      <c r="E179" t="str">
        <f>"201810034211"</f>
        <v>201810034211</v>
      </c>
      <c r="F179" t="str">
        <f>"ACCT#0400785803 / 10012018"</f>
        <v>ACCT#0400785803 / 10012018</v>
      </c>
      <c r="G179" s="3">
        <v>139.13999999999999</v>
      </c>
      <c r="H179" t="str">
        <f>"ACCT#0400785803 / 10012018"</f>
        <v>ACCT#0400785803 / 10012018</v>
      </c>
    </row>
    <row r="180" spans="1:8" x14ac:dyDescent="0.25">
      <c r="E180" t="str">
        <f>"201810034212"</f>
        <v>201810034212</v>
      </c>
      <c r="F180" t="str">
        <f>"ACCT#0401408501 / 10012018"</f>
        <v>ACCT#0401408501 / 10012018</v>
      </c>
      <c r="G180" s="3">
        <v>896.19</v>
      </c>
      <c r="H180" t="str">
        <f>"ACCT#0401408501 / 10012018"</f>
        <v>ACCT#0401408501 / 10012018</v>
      </c>
    </row>
    <row r="181" spans="1:8" x14ac:dyDescent="0.25">
      <c r="E181" t="str">
        <f>"201810034213"</f>
        <v>201810034213</v>
      </c>
      <c r="F181" t="str">
        <f>"ACCT#0800042801 / 10012018"</f>
        <v>ACCT#0800042801 / 10012018</v>
      </c>
      <c r="G181" s="3">
        <v>39.200000000000003</v>
      </c>
      <c r="H181" t="str">
        <f>"ACCT#0800042801 / 10012018"</f>
        <v>ACCT#0800042801 / 10012018</v>
      </c>
    </row>
    <row r="182" spans="1:8" x14ac:dyDescent="0.25">
      <c r="A182" t="s">
        <v>60</v>
      </c>
      <c r="B182">
        <v>79178</v>
      </c>
      <c r="C182" s="2">
        <v>953.25</v>
      </c>
      <c r="D182" s="1">
        <v>43395</v>
      </c>
      <c r="E182" t="str">
        <f>"201810124504"</f>
        <v>201810124504</v>
      </c>
      <c r="F182" t="str">
        <f>"ACCT#7700010025/55 LDS WATER"</f>
        <v>ACCT#7700010025/55 LDS WATER</v>
      </c>
      <c r="G182" s="3">
        <v>563.75</v>
      </c>
      <c r="H182" t="str">
        <f>"ACCT#7700010025/55 LDS WATER"</f>
        <v>ACCT#7700010025/55 LDS WATER</v>
      </c>
    </row>
    <row r="183" spans="1:8" x14ac:dyDescent="0.25">
      <c r="E183" t="str">
        <f>"201810124506"</f>
        <v>201810124506</v>
      </c>
      <c r="F183" t="str">
        <f>"ACCT#7700010027/PCT#4"</f>
        <v>ACCT#7700010027/PCT#4</v>
      </c>
      <c r="G183" s="3">
        <v>389.5</v>
      </c>
      <c r="H183" t="str">
        <f>"ACCT#7700010027/PCT#4"</f>
        <v>ACCT#7700010027/PCT#4</v>
      </c>
    </row>
    <row r="184" spans="1:8" x14ac:dyDescent="0.25">
      <c r="A184" t="s">
        <v>61</v>
      </c>
      <c r="B184">
        <v>78951</v>
      </c>
      <c r="C184" s="2">
        <v>2388</v>
      </c>
      <c r="D184" s="1">
        <v>43382</v>
      </c>
      <c r="E184" t="str">
        <f>"201810034182"</f>
        <v>201810034182</v>
      </c>
      <c r="F184" t="str">
        <f>"ArchiveSocial Renewal"</f>
        <v>ArchiveSocial Renewal</v>
      </c>
      <c r="G184" s="3">
        <v>2388</v>
      </c>
      <c r="H184" t="str">
        <f>"Archive Economy"</f>
        <v>Archive Economy</v>
      </c>
    </row>
    <row r="185" spans="1:8" x14ac:dyDescent="0.25">
      <c r="A185" t="s">
        <v>62</v>
      </c>
      <c r="B185">
        <v>78952</v>
      </c>
      <c r="C185" s="2">
        <v>395</v>
      </c>
      <c r="D185" s="1">
        <v>43382</v>
      </c>
      <c r="E185" t="str">
        <f>"2018-9101"</f>
        <v>2018-9101</v>
      </c>
      <c r="F185" t="str">
        <f>"2018-2019 ARCIT MEMBERSHIP"</f>
        <v>2018-2019 ARCIT MEMBERSHIP</v>
      </c>
      <c r="G185" s="3">
        <v>395</v>
      </c>
      <c r="H185" t="str">
        <f>"2018-2019 ARCIT MEMBERSHIP"</f>
        <v>2018-2019 ARCIT MEMBERSHIP</v>
      </c>
    </row>
    <row r="186" spans="1:8" x14ac:dyDescent="0.25">
      <c r="A186" t="s">
        <v>63</v>
      </c>
      <c r="B186">
        <v>999999</v>
      </c>
      <c r="C186" s="2">
        <v>1950</v>
      </c>
      <c r="D186" s="1">
        <v>43383</v>
      </c>
      <c r="E186" t="str">
        <f>"14743"</f>
        <v>14743</v>
      </c>
      <c r="F186" t="str">
        <f>"PROJ NAME:BCEDC RACK CARD"</f>
        <v>PROJ NAME:BCEDC RACK CARD</v>
      </c>
      <c r="G186" s="3">
        <v>1950</v>
      </c>
      <c r="H186" t="str">
        <f>"PROJ NAME:BCEDC RACK CARD"</f>
        <v>PROJ NAME:BCEDC RACK CARD</v>
      </c>
    </row>
    <row r="187" spans="1:8" x14ac:dyDescent="0.25">
      <c r="A187" t="s">
        <v>64</v>
      </c>
      <c r="B187">
        <v>78953</v>
      </c>
      <c r="C187" s="2">
        <v>5315.98</v>
      </c>
      <c r="D187" s="1">
        <v>43382</v>
      </c>
      <c r="E187" t="str">
        <f>"201809283974"</f>
        <v>201809283974</v>
      </c>
      <c r="F187" t="str">
        <f>"ACCT#512A49-0048 193 3"</f>
        <v>ACCT#512A49-0048 193 3</v>
      </c>
      <c r="G187" s="3">
        <v>5315.98</v>
      </c>
      <c r="H187" t="str">
        <f>"ACCT#512A49-0048 193 3"</f>
        <v>ACCT#512A49-0048 193 3</v>
      </c>
    </row>
    <row r="188" spans="1:8" x14ac:dyDescent="0.25">
      <c r="E188" t="str">
        <f>""</f>
        <v/>
      </c>
      <c r="F188" t="str">
        <f>""</f>
        <v/>
      </c>
      <c r="H188" t="str">
        <f>"ACCT#512A49-0048 193 3"</f>
        <v>ACCT#512A49-0048 193 3</v>
      </c>
    </row>
    <row r="189" spans="1:8" x14ac:dyDescent="0.25">
      <c r="E189" t="str">
        <f>""</f>
        <v/>
      </c>
      <c r="F189" t="str">
        <f>""</f>
        <v/>
      </c>
      <c r="H189" t="str">
        <f>"ACCT#512A49-0048 193 3"</f>
        <v>ACCT#512A49-0048 193 3</v>
      </c>
    </row>
    <row r="190" spans="1:8" x14ac:dyDescent="0.25">
      <c r="E190" t="str">
        <f>""</f>
        <v/>
      </c>
      <c r="F190" t="str">
        <f>""</f>
        <v/>
      </c>
      <c r="H190" t="str">
        <f>"ACCT#512A49-0048 193 3"</f>
        <v>ACCT#512A49-0048 193 3</v>
      </c>
    </row>
    <row r="191" spans="1:8" x14ac:dyDescent="0.25">
      <c r="E191" t="str">
        <f>""</f>
        <v/>
      </c>
      <c r="F191" t="str">
        <f>""</f>
        <v/>
      </c>
      <c r="H191" t="str">
        <f>"ACCT#512A49-0048 193 3"</f>
        <v>ACCT#512A49-0048 193 3</v>
      </c>
    </row>
    <row r="192" spans="1:8" x14ac:dyDescent="0.25">
      <c r="A192" t="s">
        <v>65</v>
      </c>
      <c r="B192">
        <v>79179</v>
      </c>
      <c r="C192" s="2">
        <v>4304.26</v>
      </c>
      <c r="D192" s="1">
        <v>43395</v>
      </c>
      <c r="E192" t="str">
        <f>"201810104463"</f>
        <v>201810104463</v>
      </c>
      <c r="F192" t="str">
        <f>"ACCT#831-000-7218 923"</f>
        <v>ACCT#831-000-7218 923</v>
      </c>
      <c r="G192" s="3">
        <v>935.65</v>
      </c>
      <c r="H192" t="str">
        <f>"ACCT#831-000-7218 923"</f>
        <v>ACCT#831-000-7218 923</v>
      </c>
    </row>
    <row r="193" spans="1:8" x14ac:dyDescent="0.25">
      <c r="E193" t="str">
        <f>"201810104464"</f>
        <v>201810104464</v>
      </c>
      <c r="F193" t="str">
        <f>"ACCT#831-000-7919 623"</f>
        <v>ACCT#831-000-7919 623</v>
      </c>
      <c r="G193" s="3">
        <v>1543.47</v>
      </c>
      <c r="H193" t="str">
        <f>"ACCT#831-000-7919 623"</f>
        <v>ACCT#831-000-7919 623</v>
      </c>
    </row>
    <row r="194" spans="1:8" x14ac:dyDescent="0.25">
      <c r="E194" t="str">
        <f>"201810104465"</f>
        <v>201810104465</v>
      </c>
      <c r="F194" t="str">
        <f>"ACCT#831-000-6084 095"</f>
        <v>ACCT#831-000-6084 095</v>
      </c>
      <c r="G194" s="3">
        <v>1825.14</v>
      </c>
      <c r="H194" t="str">
        <f>"ACCT#831-000-6084 095"</f>
        <v>ACCT#831-000-6084 095</v>
      </c>
    </row>
    <row r="195" spans="1:8" x14ac:dyDescent="0.25">
      <c r="A195" t="s">
        <v>65</v>
      </c>
      <c r="B195">
        <v>79180</v>
      </c>
      <c r="C195" s="2">
        <v>1802.89</v>
      </c>
      <c r="D195" s="1">
        <v>43395</v>
      </c>
      <c r="E195" t="str">
        <f>"201810174593"</f>
        <v>201810174593</v>
      </c>
      <c r="F195" t="str">
        <f>"512 303-1080 238 5"</f>
        <v>512 303-1080 238 5</v>
      </c>
      <c r="G195" s="3">
        <v>1802.89</v>
      </c>
      <c r="H195" t="str">
        <f>"512 303-1080 238 5"</f>
        <v>512 303-1080 238 5</v>
      </c>
    </row>
    <row r="196" spans="1:8" x14ac:dyDescent="0.25">
      <c r="E196" t="str">
        <f>""</f>
        <v/>
      </c>
      <c r="F196" t="str">
        <f>""</f>
        <v/>
      </c>
      <c r="H196" t="str">
        <f>"512 303-1080 238 5"</f>
        <v>512 303-1080 238 5</v>
      </c>
    </row>
    <row r="197" spans="1:8" x14ac:dyDescent="0.25">
      <c r="A197" t="s">
        <v>66</v>
      </c>
      <c r="B197">
        <v>79181</v>
      </c>
      <c r="C197" s="2">
        <v>5454.8</v>
      </c>
      <c r="D197" s="1">
        <v>43395</v>
      </c>
      <c r="E197" t="str">
        <f>"13929845"</f>
        <v>13929845</v>
      </c>
      <c r="F197" t="str">
        <f>"INV 13929845"</f>
        <v>INV 13929845</v>
      </c>
      <c r="G197" s="3">
        <v>2745.48</v>
      </c>
      <c r="H197" t="str">
        <f>"INV 13929845"</f>
        <v>INV 13929845</v>
      </c>
    </row>
    <row r="198" spans="1:8" x14ac:dyDescent="0.25">
      <c r="E198" t="str">
        <f>"14033719"</f>
        <v>14033719</v>
      </c>
      <c r="F198" t="str">
        <f>"INV 14033719"</f>
        <v>INV 14033719</v>
      </c>
      <c r="G198" s="3">
        <v>2709.32</v>
      </c>
      <c r="H198" t="str">
        <f>"INV 14033719"</f>
        <v>INV 14033719</v>
      </c>
    </row>
    <row r="199" spans="1:8" x14ac:dyDescent="0.25">
      <c r="A199" t="s">
        <v>67</v>
      </c>
      <c r="B199">
        <v>79182</v>
      </c>
      <c r="C199" s="2">
        <v>109.6</v>
      </c>
      <c r="D199" s="1">
        <v>43395</v>
      </c>
      <c r="E199" t="str">
        <f>"201810154508"</f>
        <v>201810154508</v>
      </c>
      <c r="F199" t="str">
        <f>"ACCT#826392401/DPS"</f>
        <v>ACCT#826392401/DPS</v>
      </c>
      <c r="G199" s="3">
        <v>109.6</v>
      </c>
      <c r="H199" t="str">
        <f>"ACCT#826392401/DPS"</f>
        <v>ACCT#826392401/DPS</v>
      </c>
    </row>
    <row r="200" spans="1:8" x14ac:dyDescent="0.25">
      <c r="A200" t="s">
        <v>68</v>
      </c>
      <c r="B200">
        <v>79183</v>
      </c>
      <c r="C200" s="2">
        <v>464.96</v>
      </c>
      <c r="D200" s="1">
        <v>43395</v>
      </c>
      <c r="E200" t="str">
        <f>"92561"</f>
        <v>92561</v>
      </c>
      <c r="F200" t="str">
        <f>"WK ORD#16651/PCT#4"</f>
        <v>WK ORD#16651/PCT#4</v>
      </c>
      <c r="G200" s="3">
        <v>464.96</v>
      </c>
      <c r="H200" t="str">
        <f>"WK ORD#16651/PCT#4"</f>
        <v>WK ORD#16651/PCT#4</v>
      </c>
    </row>
    <row r="201" spans="1:8" x14ac:dyDescent="0.25">
      <c r="A201" t="s">
        <v>69</v>
      </c>
      <c r="B201">
        <v>999999</v>
      </c>
      <c r="C201" s="2">
        <v>871.48</v>
      </c>
      <c r="D201" s="1">
        <v>43383</v>
      </c>
      <c r="E201" t="str">
        <f>"201809283966"</f>
        <v>201809283966</v>
      </c>
      <c r="F201" t="str">
        <f>"Public Notice - Buyout"</f>
        <v>Public Notice - Buyout</v>
      </c>
      <c r="G201" s="3">
        <v>293.08</v>
      </c>
      <c r="H201" t="str">
        <f>"Public Notice - Buyout"</f>
        <v>Public Notice - Buyout</v>
      </c>
    </row>
    <row r="202" spans="1:8" x14ac:dyDescent="0.25">
      <c r="E202" t="str">
        <f>"201809283967"</f>
        <v>201809283967</v>
      </c>
      <c r="F202" t="str">
        <f>"GRAND JUNCTION NEWSPAPERS INC"</f>
        <v>GRAND JUNCTION NEWSPAPERS INC</v>
      </c>
      <c r="G202" s="3">
        <v>206.88</v>
      </c>
      <c r="H202" t="str">
        <f>"PUBLIC NOTICE"</f>
        <v>PUBLIC NOTICE</v>
      </c>
    </row>
    <row r="203" spans="1:8" x14ac:dyDescent="0.25">
      <c r="E203" t="str">
        <f>"419425"</f>
        <v>419425</v>
      </c>
      <c r="F203" t="str">
        <f>"AD# 419425"</f>
        <v>AD# 419425</v>
      </c>
      <c r="G203" s="3">
        <v>371.52</v>
      </c>
      <c r="H203" t="str">
        <f>"AD# 419425"</f>
        <v>AD# 419425</v>
      </c>
    </row>
    <row r="204" spans="1:8" x14ac:dyDescent="0.25">
      <c r="A204" t="s">
        <v>69</v>
      </c>
      <c r="B204">
        <v>999999</v>
      </c>
      <c r="C204" s="2">
        <v>653.62</v>
      </c>
      <c r="D204" s="1">
        <v>43396</v>
      </c>
      <c r="E204" t="str">
        <f>"415438"</f>
        <v>415438</v>
      </c>
      <c r="F204" t="str">
        <f>"Ad# 415438"</f>
        <v>Ad# 415438</v>
      </c>
      <c r="G204" s="3">
        <v>155.16</v>
      </c>
      <c r="H204" t="str">
        <f>"Ad# 415438"</f>
        <v>Ad# 415438</v>
      </c>
    </row>
    <row r="205" spans="1:8" x14ac:dyDescent="0.25">
      <c r="E205" t="str">
        <f>"415469"</f>
        <v>415469</v>
      </c>
      <c r="F205" t="str">
        <f>"AD# 415469"</f>
        <v>AD# 415469</v>
      </c>
      <c r="G205" s="3">
        <v>498.46</v>
      </c>
      <c r="H205" t="str">
        <f>"AD# 415469"</f>
        <v>AD# 415469</v>
      </c>
    </row>
    <row r="206" spans="1:8" x14ac:dyDescent="0.25">
      <c r="A206" t="s">
        <v>70</v>
      </c>
      <c r="B206">
        <v>78954</v>
      </c>
      <c r="C206" s="2">
        <v>285.36</v>
      </c>
      <c r="D206" s="1">
        <v>43382</v>
      </c>
      <c r="E206" t="str">
        <f>"201810024128"</f>
        <v>201810024128</v>
      </c>
      <c r="F206" t="str">
        <f>"INDIGENT HEALTH"</f>
        <v>INDIGENT HEALTH</v>
      </c>
      <c r="G206" s="3">
        <v>285.36</v>
      </c>
      <c r="H206" t="str">
        <f>"INDIGENT HEALTH"</f>
        <v>INDIGENT HEALTH</v>
      </c>
    </row>
    <row r="207" spans="1:8" x14ac:dyDescent="0.25">
      <c r="A207" t="s">
        <v>71</v>
      </c>
      <c r="B207">
        <v>79184</v>
      </c>
      <c r="C207" s="2">
        <v>3025</v>
      </c>
      <c r="D207" s="1">
        <v>43395</v>
      </c>
      <c r="E207" t="str">
        <f>"0927180"</f>
        <v>0927180</v>
      </c>
      <c r="F207" t="str">
        <f>"MOLD ASSESSMENT SURVEY"</f>
        <v>MOLD ASSESSMENT SURVEY</v>
      </c>
      <c r="G207" s="3">
        <v>3025</v>
      </c>
      <c r="H207" t="str">
        <f>"MOLD ASSESSMENT SURVEY"</f>
        <v>MOLD ASSESSMENT SURVEY</v>
      </c>
    </row>
    <row r="208" spans="1:8" x14ac:dyDescent="0.25">
      <c r="A208" t="s">
        <v>72</v>
      </c>
      <c r="B208">
        <v>999999</v>
      </c>
      <c r="C208" s="2">
        <v>79.62</v>
      </c>
      <c r="D208" s="1">
        <v>43383</v>
      </c>
      <c r="E208" t="str">
        <f>"201810024129"</f>
        <v>201810024129</v>
      </c>
      <c r="F208" t="str">
        <f>"INDIGENT HEALTH"</f>
        <v>INDIGENT HEALTH</v>
      </c>
      <c r="G208" s="3">
        <v>79.62</v>
      </c>
      <c r="H208" t="str">
        <f>"INDIGENT HEALTH"</f>
        <v>INDIGENT HEALTH</v>
      </c>
    </row>
    <row r="209" spans="1:8" x14ac:dyDescent="0.25">
      <c r="A209" t="s">
        <v>72</v>
      </c>
      <c r="B209">
        <v>999999</v>
      </c>
      <c r="C209" s="2">
        <v>54.41</v>
      </c>
      <c r="D209" s="1">
        <v>43396</v>
      </c>
      <c r="E209" t="str">
        <f>"4399*03115*1"</f>
        <v>4399*03115*1</v>
      </c>
      <c r="F209" t="str">
        <f>"JAIL MEDICAL"</f>
        <v>JAIL MEDICAL</v>
      </c>
      <c r="G209" s="3">
        <v>54.41</v>
      </c>
      <c r="H209" t="str">
        <f>"JAIL MEDICAL"</f>
        <v>JAIL MEDICAL</v>
      </c>
    </row>
    <row r="210" spans="1:8" x14ac:dyDescent="0.25">
      <c r="A210" t="s">
        <v>73</v>
      </c>
      <c r="B210">
        <v>78955</v>
      </c>
      <c r="C210" s="2">
        <v>65.489999999999995</v>
      </c>
      <c r="D210" s="1">
        <v>43382</v>
      </c>
      <c r="E210" t="str">
        <f>"201810024131"</f>
        <v>201810024131</v>
      </c>
      <c r="F210" t="str">
        <f>"INDIGENT HEALTH"</f>
        <v>INDIGENT HEALTH</v>
      </c>
      <c r="G210" s="3">
        <v>65.489999999999995</v>
      </c>
      <c r="H210" t="str">
        <f>"INDIGENT HEALTH"</f>
        <v>INDIGENT HEALTH</v>
      </c>
    </row>
    <row r="211" spans="1:8" x14ac:dyDescent="0.25">
      <c r="A211" t="s">
        <v>74</v>
      </c>
      <c r="B211">
        <v>78956</v>
      </c>
      <c r="C211" s="2">
        <v>114.94</v>
      </c>
      <c r="D211" s="1">
        <v>43382</v>
      </c>
      <c r="E211" t="str">
        <f>"201810024132"</f>
        <v>201810024132</v>
      </c>
      <c r="F211" t="str">
        <f>"INDIGENT HEALTH"</f>
        <v>INDIGENT HEALTH</v>
      </c>
      <c r="G211" s="3">
        <v>114.94</v>
      </c>
      <c r="H211" t="str">
        <f>"INDIGENT HEALTH"</f>
        <v>INDIGENT HEALTH</v>
      </c>
    </row>
    <row r="212" spans="1:8" x14ac:dyDescent="0.25">
      <c r="E212" t="str">
        <f>""</f>
        <v/>
      </c>
      <c r="F212" t="str">
        <f>""</f>
        <v/>
      </c>
      <c r="H212" t="str">
        <f>"INDIGENT HEALTH"</f>
        <v>INDIGENT HEALTH</v>
      </c>
    </row>
    <row r="213" spans="1:8" x14ac:dyDescent="0.25">
      <c r="A213" t="s">
        <v>74</v>
      </c>
      <c r="B213">
        <v>79185</v>
      </c>
      <c r="C213" s="2">
        <v>199.14</v>
      </c>
      <c r="D213" s="1">
        <v>43395</v>
      </c>
      <c r="E213" t="str">
        <f>"3902*98039*2"</f>
        <v>3902*98039*2</v>
      </c>
      <c r="F213" t="str">
        <f>"4383*98039*2-4/4425*98039*1/44"</f>
        <v>4383*98039*2-4/4425*98039*1/44</v>
      </c>
      <c r="G213" s="3">
        <v>199.14</v>
      </c>
      <c r="H213" t="str">
        <f>"4383*98039*2-4/4425*98039*1/44"</f>
        <v>4383*98039*2-4/4425*98039*1/44</v>
      </c>
    </row>
    <row r="214" spans="1:8" x14ac:dyDescent="0.25">
      <c r="A214" t="s">
        <v>75</v>
      </c>
      <c r="B214">
        <v>78957</v>
      </c>
      <c r="C214" s="2">
        <v>528.08000000000004</v>
      </c>
      <c r="D214" s="1">
        <v>43382</v>
      </c>
      <c r="E214" t="str">
        <f>"148293"</f>
        <v>148293</v>
      </c>
      <c r="F214" t="str">
        <f>"REPAIRS/PCT#3"</f>
        <v>REPAIRS/PCT#3</v>
      </c>
      <c r="G214" s="3">
        <v>367.18</v>
      </c>
      <c r="H214" t="str">
        <f>"REPAIRS/PCT#3"</f>
        <v>REPAIRS/PCT#3</v>
      </c>
    </row>
    <row r="215" spans="1:8" x14ac:dyDescent="0.25">
      <c r="E215" t="str">
        <f>"148313"</f>
        <v>148313</v>
      </c>
      <c r="F215" t="str">
        <f>"REPAIRS/PCT#3"</f>
        <v>REPAIRS/PCT#3</v>
      </c>
      <c r="G215" s="3">
        <v>160.9</v>
      </c>
      <c r="H215" t="str">
        <f>"REPAIRS/PCT#3"</f>
        <v>REPAIRS/PCT#3</v>
      </c>
    </row>
    <row r="216" spans="1:8" x14ac:dyDescent="0.25">
      <c r="A216" t="s">
        <v>76</v>
      </c>
      <c r="B216">
        <v>999999</v>
      </c>
      <c r="C216" s="2">
        <v>14100</v>
      </c>
      <c r="D216" s="1">
        <v>43396</v>
      </c>
      <c r="E216" t="str">
        <f>"186709 192992 2055"</f>
        <v>186709 192992 2055</v>
      </c>
      <c r="F216" t="str">
        <f>"Bastrop County Power Mete"</f>
        <v>Bastrop County Power Mete</v>
      </c>
      <c r="G216" s="3">
        <v>14100</v>
      </c>
      <c r="H216" t="str">
        <f>"Bastrop County Power Mete"</f>
        <v>Bastrop County Power Mete</v>
      </c>
    </row>
    <row r="217" spans="1:8" x14ac:dyDescent="0.25">
      <c r="A217" t="s">
        <v>77</v>
      </c>
      <c r="B217">
        <v>78958</v>
      </c>
      <c r="C217" s="2">
        <v>700</v>
      </c>
      <c r="D217" s="1">
        <v>43382</v>
      </c>
      <c r="E217" t="str">
        <f>"201810024015"</f>
        <v>201810024015</v>
      </c>
      <c r="F217" t="str">
        <f>"423-2327"</f>
        <v>423-2327</v>
      </c>
      <c r="G217" s="3">
        <v>350</v>
      </c>
      <c r="H217" t="str">
        <f>"423-2327"</f>
        <v>423-2327</v>
      </c>
    </row>
    <row r="218" spans="1:8" x14ac:dyDescent="0.25">
      <c r="E218" t="str">
        <f>"201810024151"</f>
        <v>201810024151</v>
      </c>
      <c r="F218" t="str">
        <f>"SUBSTITUTE COURT REPORTER"</f>
        <v>SUBSTITUTE COURT REPORTER</v>
      </c>
      <c r="G218" s="3">
        <v>350</v>
      </c>
      <c r="H218" t="str">
        <f>"SUBSTITUTE COURT REPORTER"</f>
        <v>SUBSTITUTE COURT REPORTER</v>
      </c>
    </row>
    <row r="219" spans="1:8" x14ac:dyDescent="0.25">
      <c r="A219" t="s">
        <v>78</v>
      </c>
      <c r="B219">
        <v>78959</v>
      </c>
      <c r="C219" s="2">
        <v>150</v>
      </c>
      <c r="D219" s="1">
        <v>43382</v>
      </c>
      <c r="E219" t="str">
        <f>"201810034161"</f>
        <v>201810034161</v>
      </c>
      <c r="F219" t="str">
        <f>"BARBARA GOMEZ"</f>
        <v>BARBARA GOMEZ</v>
      </c>
      <c r="G219" s="3">
        <v>150</v>
      </c>
      <c r="H219" t="str">
        <f>""</f>
        <v/>
      </c>
    </row>
    <row r="220" spans="1:8" x14ac:dyDescent="0.25">
      <c r="A220" t="s">
        <v>79</v>
      </c>
      <c r="B220">
        <v>999999</v>
      </c>
      <c r="C220" s="2">
        <v>1054.8699999999999</v>
      </c>
      <c r="D220" s="1">
        <v>43383</v>
      </c>
      <c r="E220" t="str">
        <f>"353936"</f>
        <v>353936</v>
      </c>
      <c r="F220" t="str">
        <f>"2018 DODGE/ENVIRONMENTAL SVCS"</f>
        <v>2018 DODGE/ENVIRONMENTAL SVCS</v>
      </c>
      <c r="G220" s="3">
        <v>39.950000000000003</v>
      </c>
      <c r="H220" t="str">
        <f>"2018 DODGE/ENVIRONMENTAL SVCS"</f>
        <v>2018 DODGE/ENVIRONMENTAL SVCS</v>
      </c>
    </row>
    <row r="221" spans="1:8" x14ac:dyDescent="0.25">
      <c r="E221" t="str">
        <f>"353977"</f>
        <v>353977</v>
      </c>
      <c r="F221" t="str">
        <f>"2010 DODGE/PCT#1"</f>
        <v>2010 DODGE/PCT#1</v>
      </c>
      <c r="G221" s="3">
        <v>558.91999999999996</v>
      </c>
      <c r="H221" t="str">
        <f>"2010 DODGE/PCT#1"</f>
        <v>2010 DODGE/PCT#1</v>
      </c>
    </row>
    <row r="222" spans="1:8" x14ac:dyDescent="0.25">
      <c r="E222" t="str">
        <f>"354133"</f>
        <v>354133</v>
      </c>
      <c r="F222" t="str">
        <f>"CUST#0010/PCT#2"</f>
        <v>CUST#0010/PCT#2</v>
      </c>
      <c r="G222" s="3">
        <v>35</v>
      </c>
      <c r="H222" t="str">
        <f>"CUST#0010/PCT#2"</f>
        <v>CUST#0010/PCT#2</v>
      </c>
    </row>
    <row r="223" spans="1:8" x14ac:dyDescent="0.25">
      <c r="E223" t="str">
        <f>"354388"</f>
        <v>354388</v>
      </c>
      <c r="F223" t="str">
        <f>"CUST#0011/PCT#3"</f>
        <v>CUST#0011/PCT#3</v>
      </c>
      <c r="G223" s="3">
        <v>421</v>
      </c>
      <c r="H223" t="str">
        <f>"CUST#0011/PCT#3"</f>
        <v>CUST#0011/PCT#3</v>
      </c>
    </row>
    <row r="224" spans="1:8" x14ac:dyDescent="0.25">
      <c r="A224" t="s">
        <v>80</v>
      </c>
      <c r="B224">
        <v>999999</v>
      </c>
      <c r="C224" s="2">
        <v>4000</v>
      </c>
      <c r="D224" s="1">
        <v>43396</v>
      </c>
      <c r="E224" t="str">
        <f>"1534-P2"</f>
        <v>1534-P2</v>
      </c>
      <c r="F224" t="str">
        <f>"TREE REMOVAL/PCT#2"</f>
        <v>TREE REMOVAL/PCT#2</v>
      </c>
      <c r="G224" s="3">
        <v>4000</v>
      </c>
      <c r="H224" t="str">
        <f>"TREE REMOVAL/PCT#2"</f>
        <v>TREE REMOVAL/PCT#2</v>
      </c>
    </row>
    <row r="225" spans="1:8" x14ac:dyDescent="0.25">
      <c r="A225" t="s">
        <v>81</v>
      </c>
      <c r="B225">
        <v>79186</v>
      </c>
      <c r="C225" s="2">
        <v>12</v>
      </c>
      <c r="D225" s="1">
        <v>43395</v>
      </c>
      <c r="E225" t="str">
        <f>"15903"</f>
        <v>15903</v>
      </c>
      <c r="F225" t="str">
        <f>"LUNCHEON TICKETS"</f>
        <v>LUNCHEON TICKETS</v>
      </c>
      <c r="G225" s="3">
        <v>12</v>
      </c>
      <c r="H225" t="str">
        <f>"LUNCHEON TICKETS"</f>
        <v>LUNCHEON TICKETS</v>
      </c>
    </row>
    <row r="226" spans="1:8" x14ac:dyDescent="0.25">
      <c r="A226" t="s">
        <v>82</v>
      </c>
      <c r="B226">
        <v>78960</v>
      </c>
      <c r="C226" s="2">
        <v>25000</v>
      </c>
      <c r="D226" s="1">
        <v>43382</v>
      </c>
      <c r="E226" t="str">
        <f>"201810024023"</f>
        <v>201810024023</v>
      </c>
      <c r="F226" t="str">
        <f>"FY 2018-2019"</f>
        <v>FY 2018-2019</v>
      </c>
      <c r="G226" s="3">
        <v>25000</v>
      </c>
      <c r="H226" t="str">
        <f>"FY 2018-2019"</f>
        <v>FY 2018-2019</v>
      </c>
    </row>
    <row r="227" spans="1:8" x14ac:dyDescent="0.25">
      <c r="A227" t="s">
        <v>83</v>
      </c>
      <c r="B227">
        <v>78961</v>
      </c>
      <c r="C227" s="2">
        <v>1775</v>
      </c>
      <c r="D227" s="1">
        <v>43382</v>
      </c>
      <c r="E227" t="str">
        <f>"11948"</f>
        <v>11948</v>
      </c>
      <c r="F227" t="str">
        <f t="shared" ref="F227:F233" si="0">"SERVICE"</f>
        <v>SERVICE</v>
      </c>
      <c r="G227" s="3">
        <v>325</v>
      </c>
      <c r="H227" t="str">
        <f>"SERVICE"</f>
        <v>SERVICE</v>
      </c>
    </row>
    <row r="228" spans="1:8" x14ac:dyDescent="0.25">
      <c r="E228" t="str">
        <f>"12430"</f>
        <v>12430</v>
      </c>
      <c r="F228" t="str">
        <f t="shared" si="0"/>
        <v>SERVICE</v>
      </c>
      <c r="G228" s="3">
        <v>250</v>
      </c>
      <c r="H228" t="str">
        <f>"SERVICE"</f>
        <v>SERVICE</v>
      </c>
    </row>
    <row r="229" spans="1:8" x14ac:dyDescent="0.25">
      <c r="E229" t="str">
        <f>"12686"</f>
        <v>12686</v>
      </c>
      <c r="F229" t="str">
        <f t="shared" si="0"/>
        <v>SERVICE</v>
      </c>
      <c r="G229" s="3">
        <v>150</v>
      </c>
      <c r="H229" t="str">
        <f>"SERVICE"</f>
        <v>SERVICE</v>
      </c>
    </row>
    <row r="230" spans="1:8" x14ac:dyDescent="0.25">
      <c r="E230" t="str">
        <f>"12689"</f>
        <v>12689</v>
      </c>
      <c r="F230" t="str">
        <f t="shared" si="0"/>
        <v>SERVICE</v>
      </c>
      <c r="G230" s="3">
        <v>225</v>
      </c>
      <c r="H230" t="str">
        <f>"SERVICE"</f>
        <v>SERVICE</v>
      </c>
    </row>
    <row r="231" spans="1:8" x14ac:dyDescent="0.25">
      <c r="E231" t="str">
        <f>"12958"</f>
        <v>12958</v>
      </c>
      <c r="F231" t="str">
        <f t="shared" si="0"/>
        <v>SERVICE</v>
      </c>
      <c r="G231" s="3">
        <v>300</v>
      </c>
      <c r="H231" t="str">
        <f>"SERVICE"</f>
        <v>SERVICE</v>
      </c>
    </row>
    <row r="232" spans="1:8" x14ac:dyDescent="0.25">
      <c r="E232" t="str">
        <f>"12962"</f>
        <v>12962</v>
      </c>
      <c r="F232" t="str">
        <f t="shared" si="0"/>
        <v>SERVICE</v>
      </c>
      <c r="G232" s="3">
        <v>150</v>
      </c>
      <c r="H232" t="str">
        <f>"SERVICE  08/17/18"</f>
        <v>SERVICE  08/17/18</v>
      </c>
    </row>
    <row r="233" spans="1:8" x14ac:dyDescent="0.25">
      <c r="E233" t="str">
        <f>"12965"</f>
        <v>12965</v>
      </c>
      <c r="F233" t="str">
        <f t="shared" si="0"/>
        <v>SERVICE</v>
      </c>
      <c r="G233" s="3">
        <v>150</v>
      </c>
      <c r="H233" t="str">
        <f>"SERVICE"</f>
        <v>SERVICE</v>
      </c>
    </row>
    <row r="234" spans="1:8" x14ac:dyDescent="0.25">
      <c r="E234" t="str">
        <f>"13001"</f>
        <v>13001</v>
      </c>
      <c r="F234" t="str">
        <f>"SERVICE  08/22/18"</f>
        <v>SERVICE  08/22/18</v>
      </c>
      <c r="G234" s="3">
        <v>150</v>
      </c>
      <c r="H234" t="str">
        <f>"SERVICE  08/22/18"</f>
        <v>SERVICE  08/22/18</v>
      </c>
    </row>
    <row r="235" spans="1:8" x14ac:dyDescent="0.25">
      <c r="E235" t="str">
        <f>"13023"</f>
        <v>13023</v>
      </c>
      <c r="F235" t="str">
        <f>"SERVICE  08/13/18"</f>
        <v>SERVICE  08/13/18</v>
      </c>
      <c r="G235" s="3">
        <v>75</v>
      </c>
      <c r="H235" t="str">
        <f>"SERVICE  08/13/18"</f>
        <v>SERVICE  08/13/18</v>
      </c>
    </row>
    <row r="236" spans="1:8" x14ac:dyDescent="0.25">
      <c r="A236" t="s">
        <v>83</v>
      </c>
      <c r="B236">
        <v>79187</v>
      </c>
      <c r="C236" s="2">
        <v>2350</v>
      </c>
      <c r="D236" s="1">
        <v>43395</v>
      </c>
      <c r="E236" t="str">
        <f>"10383"</f>
        <v>10383</v>
      </c>
      <c r="F236" t="str">
        <f t="shared" ref="F236:F242" si="1">"SERVICE"</f>
        <v>SERVICE</v>
      </c>
      <c r="G236" s="3">
        <v>150</v>
      </c>
      <c r="H236" t="str">
        <f t="shared" ref="H236:H242" si="2">"SERVICE"</f>
        <v>SERVICE</v>
      </c>
    </row>
    <row r="237" spans="1:8" x14ac:dyDescent="0.25">
      <c r="E237" t="str">
        <f>"12321"</f>
        <v>12321</v>
      </c>
      <c r="F237" t="str">
        <f t="shared" si="1"/>
        <v>SERVICE</v>
      </c>
      <c r="G237" s="3">
        <v>325</v>
      </c>
      <c r="H237" t="str">
        <f t="shared" si="2"/>
        <v>SERVICE</v>
      </c>
    </row>
    <row r="238" spans="1:8" x14ac:dyDescent="0.25">
      <c r="E238" t="str">
        <f>"12465"</f>
        <v>12465</v>
      </c>
      <c r="F238" t="str">
        <f t="shared" si="1"/>
        <v>SERVICE</v>
      </c>
      <c r="G238" s="3">
        <v>475</v>
      </c>
      <c r="H238" t="str">
        <f t="shared" si="2"/>
        <v>SERVICE</v>
      </c>
    </row>
    <row r="239" spans="1:8" x14ac:dyDescent="0.25">
      <c r="E239" t="str">
        <f>"12529"</f>
        <v>12529</v>
      </c>
      <c r="F239" t="str">
        <f t="shared" si="1"/>
        <v>SERVICE</v>
      </c>
      <c r="G239" s="3">
        <v>550</v>
      </c>
      <c r="H239" t="str">
        <f t="shared" si="2"/>
        <v>SERVICE</v>
      </c>
    </row>
    <row r="240" spans="1:8" x14ac:dyDescent="0.25">
      <c r="E240" t="str">
        <f>"12834"</f>
        <v>12834</v>
      </c>
      <c r="F240" t="str">
        <f t="shared" si="1"/>
        <v>SERVICE</v>
      </c>
      <c r="G240" s="3">
        <v>400</v>
      </c>
      <c r="H240" t="str">
        <f t="shared" si="2"/>
        <v>SERVICE</v>
      </c>
    </row>
    <row r="241" spans="1:8" x14ac:dyDescent="0.25">
      <c r="E241" t="str">
        <f>"12970"</f>
        <v>12970</v>
      </c>
      <c r="F241" t="str">
        <f t="shared" si="1"/>
        <v>SERVICE</v>
      </c>
      <c r="G241" s="3">
        <v>150</v>
      </c>
      <c r="H241" t="str">
        <f t="shared" si="2"/>
        <v>SERVICE</v>
      </c>
    </row>
    <row r="242" spans="1:8" x14ac:dyDescent="0.25">
      <c r="E242" t="str">
        <f>"13012"</f>
        <v>13012</v>
      </c>
      <c r="F242" t="str">
        <f t="shared" si="1"/>
        <v>SERVICE</v>
      </c>
      <c r="G242" s="3">
        <v>300</v>
      </c>
      <c r="H242" t="str">
        <f t="shared" si="2"/>
        <v>SERVICE</v>
      </c>
    </row>
    <row r="243" spans="1:8" x14ac:dyDescent="0.25">
      <c r="A243" t="s">
        <v>84</v>
      </c>
      <c r="B243">
        <v>78962</v>
      </c>
      <c r="C243" s="2">
        <v>1357.36</v>
      </c>
      <c r="D243" s="1">
        <v>43382</v>
      </c>
      <c r="E243" t="str">
        <f>"201810034195"</f>
        <v>201810034195</v>
      </c>
      <c r="F243" t="str">
        <f>"ACCT#BC01"</f>
        <v>ACCT#BC01</v>
      </c>
      <c r="G243" s="3">
        <v>1357.36</v>
      </c>
      <c r="H243" t="str">
        <f t="shared" ref="H243:H250" si="3">"ACCT#BC01"</f>
        <v>ACCT#BC01</v>
      </c>
    </row>
    <row r="244" spans="1:8" x14ac:dyDescent="0.25">
      <c r="E244" t="str">
        <f>""</f>
        <v/>
      </c>
      <c r="F244" t="str">
        <f>""</f>
        <v/>
      </c>
      <c r="H244" t="str">
        <f t="shared" si="3"/>
        <v>ACCT#BC01</v>
      </c>
    </row>
    <row r="245" spans="1:8" x14ac:dyDescent="0.25">
      <c r="E245" t="str">
        <f>""</f>
        <v/>
      </c>
      <c r="F245" t="str">
        <f>""</f>
        <v/>
      </c>
      <c r="H245" t="str">
        <f t="shared" si="3"/>
        <v>ACCT#BC01</v>
      </c>
    </row>
    <row r="246" spans="1:8" x14ac:dyDescent="0.25">
      <c r="E246" t="str">
        <f>""</f>
        <v/>
      </c>
      <c r="F246" t="str">
        <f>""</f>
        <v/>
      </c>
      <c r="H246" t="str">
        <f t="shared" si="3"/>
        <v>ACCT#BC01</v>
      </c>
    </row>
    <row r="247" spans="1:8" x14ac:dyDescent="0.25">
      <c r="E247" t="str">
        <f>""</f>
        <v/>
      </c>
      <c r="F247" t="str">
        <f>""</f>
        <v/>
      </c>
      <c r="H247" t="str">
        <f t="shared" si="3"/>
        <v>ACCT#BC01</v>
      </c>
    </row>
    <row r="248" spans="1:8" x14ac:dyDescent="0.25">
      <c r="E248" t="str">
        <f>""</f>
        <v/>
      </c>
      <c r="F248" t="str">
        <f>""</f>
        <v/>
      </c>
      <c r="H248" t="str">
        <f t="shared" si="3"/>
        <v>ACCT#BC01</v>
      </c>
    </row>
    <row r="249" spans="1:8" x14ac:dyDescent="0.25">
      <c r="E249" t="str">
        <f>""</f>
        <v/>
      </c>
      <c r="F249" t="str">
        <f>""</f>
        <v/>
      </c>
      <c r="H249" t="str">
        <f t="shared" si="3"/>
        <v>ACCT#BC01</v>
      </c>
    </row>
    <row r="250" spans="1:8" x14ac:dyDescent="0.25">
      <c r="E250" t="str">
        <f>""</f>
        <v/>
      </c>
      <c r="F250" t="str">
        <f>""</f>
        <v/>
      </c>
      <c r="H250" t="str">
        <f t="shared" si="3"/>
        <v>ACCT#BC01</v>
      </c>
    </row>
    <row r="251" spans="1:8" x14ac:dyDescent="0.25">
      <c r="A251" t="s">
        <v>85</v>
      </c>
      <c r="B251">
        <v>79188</v>
      </c>
      <c r="C251" s="2">
        <v>3500</v>
      </c>
      <c r="D251" s="1">
        <v>43395</v>
      </c>
      <c r="E251" t="str">
        <f>"201810104466"</f>
        <v>201810104466</v>
      </c>
      <c r="F251" t="str">
        <f>"FY 2018-2019 FUNDS"</f>
        <v>FY 2018-2019 FUNDS</v>
      </c>
      <c r="G251" s="3">
        <v>3500</v>
      </c>
      <c r="H251" t="str">
        <f>"FY 2018-2019 FUNDS"</f>
        <v>FY 2018-2019 FUNDS</v>
      </c>
    </row>
    <row r="252" spans="1:8" x14ac:dyDescent="0.25">
      <c r="A252" t="s">
        <v>86</v>
      </c>
      <c r="B252">
        <v>999999</v>
      </c>
      <c r="C252" s="2">
        <v>8260.7199999999993</v>
      </c>
      <c r="D252" s="1">
        <v>43396</v>
      </c>
      <c r="E252" t="str">
        <f>"201810164533"</f>
        <v>201810164533</v>
      </c>
      <c r="F252" t="str">
        <f>"GRANT REIMBURSEMENT"</f>
        <v>GRANT REIMBURSEMENT</v>
      </c>
      <c r="G252" s="3">
        <v>8260.7199999999993</v>
      </c>
      <c r="H252" t="str">
        <f>"GRANT REIMBURSEMENT"</f>
        <v>GRANT REIMBURSEMENT</v>
      </c>
    </row>
    <row r="253" spans="1:8" x14ac:dyDescent="0.25">
      <c r="A253" t="s">
        <v>87</v>
      </c>
      <c r="B253">
        <v>999999</v>
      </c>
      <c r="C253" s="2">
        <v>80</v>
      </c>
      <c r="D253" s="1">
        <v>43383</v>
      </c>
      <c r="E253" t="str">
        <f>"201810024134"</f>
        <v>201810024134</v>
      </c>
      <c r="F253" t="str">
        <f>"INDIGENT HEALTH"</f>
        <v>INDIGENT HEALTH</v>
      </c>
      <c r="G253" s="3">
        <v>80</v>
      </c>
      <c r="H253" t="str">
        <f>"INDIGENT HEALTH"</f>
        <v>INDIGENT HEALTH</v>
      </c>
    </row>
    <row r="254" spans="1:8" x14ac:dyDescent="0.25">
      <c r="A254" t="s">
        <v>88</v>
      </c>
      <c r="B254">
        <v>999999</v>
      </c>
      <c r="C254" s="2">
        <v>58.04</v>
      </c>
      <c r="D254" s="1">
        <v>43383</v>
      </c>
      <c r="E254" t="str">
        <f>"201810024135"</f>
        <v>201810024135</v>
      </c>
      <c r="F254" t="str">
        <f>"INDIGENT HEALTH"</f>
        <v>INDIGENT HEALTH</v>
      </c>
      <c r="G254" s="3">
        <v>58.04</v>
      </c>
      <c r="H254" t="str">
        <f>"INDIGENT HEALTH"</f>
        <v>INDIGENT HEALTH</v>
      </c>
    </row>
    <row r="255" spans="1:8" x14ac:dyDescent="0.25">
      <c r="E255" t="str">
        <f>""</f>
        <v/>
      </c>
      <c r="F255" t="str">
        <f>""</f>
        <v/>
      </c>
      <c r="H255" t="str">
        <f>"INDIGENT HEALTH"</f>
        <v>INDIGENT HEALTH</v>
      </c>
    </row>
    <row r="256" spans="1:8" x14ac:dyDescent="0.25">
      <c r="A256" t="s">
        <v>89</v>
      </c>
      <c r="B256">
        <v>79189</v>
      </c>
      <c r="C256" s="2">
        <v>13.76</v>
      </c>
      <c r="D256" s="1">
        <v>43395</v>
      </c>
      <c r="E256" t="str">
        <f>"201810164525"</f>
        <v>201810164525</v>
      </c>
      <c r="F256" t="str">
        <f>"ARREST FEES 07/01-09/30"</f>
        <v>ARREST FEES 07/01-09/30</v>
      </c>
      <c r="G256" s="3">
        <v>13.76</v>
      </c>
      <c r="H256" t="str">
        <f>"ARREST FEES 07/01-09/30"</f>
        <v>ARREST FEES 07/01-09/30</v>
      </c>
    </row>
    <row r="257" spans="1:8" x14ac:dyDescent="0.25">
      <c r="A257" t="s">
        <v>90</v>
      </c>
      <c r="B257">
        <v>999999</v>
      </c>
      <c r="C257" s="2">
        <v>1390</v>
      </c>
      <c r="D257" s="1">
        <v>43383</v>
      </c>
      <c r="E257" t="str">
        <f>"2018126"</f>
        <v>2018126</v>
      </c>
      <c r="F257" t="str">
        <f>"TRANSPORT - A. ROWE"</f>
        <v>TRANSPORT - A. ROWE</v>
      </c>
      <c r="G257" s="3">
        <v>695</v>
      </c>
      <c r="H257" t="str">
        <f>"TRANSPORT - A. ROWE"</f>
        <v>TRANSPORT - A. ROWE</v>
      </c>
    </row>
    <row r="258" spans="1:8" x14ac:dyDescent="0.25">
      <c r="E258" t="str">
        <f>"2018128"</f>
        <v>2018128</v>
      </c>
      <c r="F258" t="str">
        <f>"TRANSPORT-L. ALVARADO"</f>
        <v>TRANSPORT-L. ALVARADO</v>
      </c>
      <c r="G258" s="3">
        <v>695</v>
      </c>
      <c r="H258" t="str">
        <f>"TRANSPORT-L. ALVARADO"</f>
        <v>TRANSPORT-L. ALVARADO</v>
      </c>
    </row>
    <row r="259" spans="1:8" x14ac:dyDescent="0.25">
      <c r="A259" t="s">
        <v>90</v>
      </c>
      <c r="B259">
        <v>999999</v>
      </c>
      <c r="C259" s="2">
        <v>3170</v>
      </c>
      <c r="D259" s="1">
        <v>43396</v>
      </c>
      <c r="E259" t="str">
        <f>"2018122"</f>
        <v>2018122</v>
      </c>
      <c r="F259" t="str">
        <f>"TRANSPORT-T.L. HARPER"</f>
        <v>TRANSPORT-T.L. HARPER</v>
      </c>
      <c r="G259" s="3">
        <v>295</v>
      </c>
      <c r="H259" t="str">
        <f>"TRANSPORT-T.L. HARPER"</f>
        <v>TRANSPORT-T.L. HARPER</v>
      </c>
    </row>
    <row r="260" spans="1:8" x14ac:dyDescent="0.25">
      <c r="E260" t="str">
        <f>"2018123"</f>
        <v>2018123</v>
      </c>
      <c r="F260" t="str">
        <f>"TRANSPORT-J NELSON"</f>
        <v>TRANSPORT-J NELSON</v>
      </c>
      <c r="G260" s="3">
        <v>295</v>
      </c>
      <c r="H260" t="str">
        <f>"TRANSPORT-J NELSON"</f>
        <v>TRANSPORT-J NELSON</v>
      </c>
    </row>
    <row r="261" spans="1:8" x14ac:dyDescent="0.25">
      <c r="E261" t="str">
        <f>"2018124"</f>
        <v>2018124</v>
      </c>
      <c r="F261" t="str">
        <f>"TRANSPORT-G. DILLARD"</f>
        <v>TRANSPORT-G. DILLARD</v>
      </c>
      <c r="G261" s="3">
        <v>400</v>
      </c>
      <c r="H261" t="str">
        <f>"TRANSPORT-G. DILLARD"</f>
        <v>TRANSPORT-G. DILLARD</v>
      </c>
    </row>
    <row r="262" spans="1:8" x14ac:dyDescent="0.25">
      <c r="E262" t="str">
        <f>"2018125"</f>
        <v>2018125</v>
      </c>
      <c r="F262" t="str">
        <f>"TRANSPORT-S. PATTERSON"</f>
        <v>TRANSPORT-S. PATTERSON</v>
      </c>
      <c r="G262" s="3">
        <v>495</v>
      </c>
      <c r="H262" t="str">
        <f>"TRANSPORT-S. PATTERSON"</f>
        <v>TRANSPORT-S. PATTERSON</v>
      </c>
    </row>
    <row r="263" spans="1:8" x14ac:dyDescent="0.25">
      <c r="E263" t="str">
        <f>"2018130"</f>
        <v>2018130</v>
      </c>
      <c r="F263" t="str">
        <f>"TRANSPORT-K. MCGARY"</f>
        <v>TRANSPORT-K. MCGARY</v>
      </c>
      <c r="G263" s="3">
        <v>495</v>
      </c>
      <c r="H263" t="str">
        <f>"TRANSPORT-K. MCGARY"</f>
        <v>TRANSPORT-K. MCGARY</v>
      </c>
    </row>
    <row r="264" spans="1:8" x14ac:dyDescent="0.25">
      <c r="E264" t="str">
        <f>"2018133"</f>
        <v>2018133</v>
      </c>
      <c r="F264" t="str">
        <f>"TRANSPORT-K.A. HOLLIDAY"</f>
        <v>TRANSPORT-K.A. HOLLIDAY</v>
      </c>
      <c r="G264" s="3">
        <v>495</v>
      </c>
      <c r="H264" t="str">
        <f>"TRANSPORT-K.A. HOLLIDAY"</f>
        <v>TRANSPORT-K.A. HOLLIDAY</v>
      </c>
    </row>
    <row r="265" spans="1:8" x14ac:dyDescent="0.25">
      <c r="E265" t="str">
        <f>"2018141"</f>
        <v>2018141</v>
      </c>
      <c r="F265" t="str">
        <f>"TRANSPORT-C JONES"</f>
        <v>TRANSPORT-C JONES</v>
      </c>
      <c r="G265" s="3">
        <v>695</v>
      </c>
      <c r="H265" t="str">
        <f>"TRANSPORT-C JONES"</f>
        <v>TRANSPORT-C JONES</v>
      </c>
    </row>
    <row r="266" spans="1:8" x14ac:dyDescent="0.25">
      <c r="A266" t="s">
        <v>91</v>
      </c>
      <c r="B266">
        <v>79190</v>
      </c>
      <c r="C266" s="2">
        <v>165</v>
      </c>
      <c r="D266" s="1">
        <v>43395</v>
      </c>
      <c r="E266" t="str">
        <f>"5917"</f>
        <v>5917</v>
      </c>
      <c r="F266" t="str">
        <f>"BANNERS/ELECTIONS"</f>
        <v>BANNERS/ELECTIONS</v>
      </c>
      <c r="G266" s="3">
        <v>165</v>
      </c>
      <c r="H266" t="str">
        <f>"BANNERS/ELECTIONS"</f>
        <v>BANNERS/ELECTIONS</v>
      </c>
    </row>
    <row r="267" spans="1:8" x14ac:dyDescent="0.25">
      <c r="A267" t="s">
        <v>92</v>
      </c>
      <c r="B267">
        <v>79191</v>
      </c>
      <c r="C267" s="2">
        <v>71.5</v>
      </c>
      <c r="D267" s="1">
        <v>43395</v>
      </c>
      <c r="E267" t="str">
        <f>"INV1118101"</f>
        <v>INV1118101</v>
      </c>
      <c r="F267" t="str">
        <f>"INV1118101"</f>
        <v>INV1118101</v>
      </c>
      <c r="G267" s="3">
        <v>71.5</v>
      </c>
      <c r="H267" t="str">
        <f>"INV1118101"</f>
        <v>INV1118101</v>
      </c>
    </row>
    <row r="268" spans="1:8" x14ac:dyDescent="0.25">
      <c r="A268" t="s">
        <v>93</v>
      </c>
      <c r="B268">
        <v>79192</v>
      </c>
      <c r="C268" s="2">
        <v>459.49</v>
      </c>
      <c r="D268" s="1">
        <v>43395</v>
      </c>
      <c r="E268" t="str">
        <f>"3902*124*1"</f>
        <v>3902*124*1</v>
      </c>
      <c r="F268" t="str">
        <f>"4393*124*1 4395*124*1 4399*124"</f>
        <v>4393*124*1 4395*124*1 4399*124</v>
      </c>
      <c r="G268" s="3">
        <v>459.49</v>
      </c>
      <c r="H268" t="str">
        <f>"4393*124*1 4395*124*1 4399*124"</f>
        <v>4393*124*1 4395*124*1 4399*124</v>
      </c>
    </row>
    <row r="269" spans="1:8" x14ac:dyDescent="0.25">
      <c r="A269" t="s">
        <v>94</v>
      </c>
      <c r="B269">
        <v>999999</v>
      </c>
      <c r="C269" s="2">
        <v>3097.5</v>
      </c>
      <c r="D269" s="1">
        <v>43383</v>
      </c>
      <c r="E269" t="str">
        <f>"201809253943"</f>
        <v>201809253943</v>
      </c>
      <c r="F269" t="str">
        <f>"AUGUST SERVICES"</f>
        <v>AUGUST SERVICES</v>
      </c>
      <c r="G269" s="3">
        <v>2292.5</v>
      </c>
      <c r="H269" t="str">
        <f>"BACKGROUNGS - LE"</f>
        <v>BACKGROUNGS - LE</v>
      </c>
    </row>
    <row r="270" spans="1:8" x14ac:dyDescent="0.25">
      <c r="E270" t="str">
        <f>""</f>
        <v/>
      </c>
      <c r="F270" t="str">
        <f>""</f>
        <v/>
      </c>
      <c r="H270" t="str">
        <f>"BACKGROUNGS - JAIL"</f>
        <v>BACKGROUNGS - JAIL</v>
      </c>
    </row>
    <row r="271" spans="1:8" x14ac:dyDescent="0.25">
      <c r="E271" t="str">
        <f>"201810034173"</f>
        <v>201810034173</v>
      </c>
      <c r="F271" t="str">
        <f>"SEPTEMBER INV"</f>
        <v>SEPTEMBER INV</v>
      </c>
      <c r="G271" s="3">
        <v>805</v>
      </c>
      <c r="H271" t="str">
        <f>"SEPTEMBER INV"</f>
        <v>SEPTEMBER INV</v>
      </c>
    </row>
    <row r="272" spans="1:8" x14ac:dyDescent="0.25">
      <c r="A272" t="s">
        <v>95</v>
      </c>
      <c r="B272">
        <v>78963</v>
      </c>
      <c r="C272" s="2">
        <v>1275</v>
      </c>
      <c r="D272" s="1">
        <v>43382</v>
      </c>
      <c r="E272" t="str">
        <f>"18302125-01"</f>
        <v>18302125-01</v>
      </c>
      <c r="F272" t="str">
        <f>"INV 18302125-01"</f>
        <v>INV 18302125-01</v>
      </c>
      <c r="G272" s="3">
        <v>625</v>
      </c>
      <c r="H272" t="str">
        <f>"INV 18302125-01"</f>
        <v>INV 18302125-01</v>
      </c>
    </row>
    <row r="273" spans="1:8" x14ac:dyDescent="0.25">
      <c r="E273" t="str">
        <f>"18302129-01"</f>
        <v>18302129-01</v>
      </c>
      <c r="F273" t="str">
        <f>"INV 18302129-01"</f>
        <v>INV 18302129-01</v>
      </c>
      <c r="G273" s="3">
        <v>475</v>
      </c>
      <c r="H273" t="str">
        <f>"INV 18302129-01"</f>
        <v>INV 18302129-01</v>
      </c>
    </row>
    <row r="274" spans="1:8" x14ac:dyDescent="0.25">
      <c r="E274" t="str">
        <f>"18302132-01"</f>
        <v>18302132-01</v>
      </c>
      <c r="F274" t="str">
        <f>"INV 18302132-01"</f>
        <v>INV 18302132-01</v>
      </c>
      <c r="G274" s="3">
        <v>175</v>
      </c>
      <c r="H274" t="str">
        <f>"INV 18302132-01"</f>
        <v>INV 18302132-01</v>
      </c>
    </row>
    <row r="275" spans="1:8" x14ac:dyDescent="0.25">
      <c r="A275" t="s">
        <v>96</v>
      </c>
      <c r="B275">
        <v>79193</v>
      </c>
      <c r="C275" s="2">
        <v>686</v>
      </c>
      <c r="D275" s="1">
        <v>43395</v>
      </c>
      <c r="E275" t="str">
        <f>"MI-12141"</f>
        <v>MI-12141</v>
      </c>
      <c r="F275" t="str">
        <f>"MENTAL CASE MI - 12141"</f>
        <v>MENTAL CASE MI - 12141</v>
      </c>
      <c r="G275" s="3">
        <v>686</v>
      </c>
      <c r="H275" t="str">
        <f>"MENTAL CASE MI - 12141"</f>
        <v>MENTAL CASE MI - 12141</v>
      </c>
    </row>
    <row r="276" spans="1:8" x14ac:dyDescent="0.25">
      <c r="A276" t="s">
        <v>97</v>
      </c>
      <c r="B276">
        <v>79194</v>
      </c>
      <c r="C276" s="2">
        <v>70</v>
      </c>
      <c r="D276" s="1">
        <v>43395</v>
      </c>
      <c r="E276" t="str">
        <f>"12529"</f>
        <v>12529</v>
      </c>
      <c r="F276" t="str">
        <f>"SERVICE"</f>
        <v>SERVICE</v>
      </c>
      <c r="G276" s="3">
        <v>70</v>
      </c>
      <c r="H276" t="str">
        <f>"SERVICE"</f>
        <v>SERVICE</v>
      </c>
    </row>
    <row r="277" spans="1:8" x14ac:dyDescent="0.25">
      <c r="A277" t="s">
        <v>98</v>
      </c>
      <c r="B277">
        <v>78964</v>
      </c>
      <c r="C277" s="2">
        <v>1472.68</v>
      </c>
      <c r="D277" s="1">
        <v>43382</v>
      </c>
      <c r="E277" t="str">
        <f>"74823019 74830747"</f>
        <v>74823019 74830747</v>
      </c>
      <c r="F277" t="str">
        <f>"INV 74823019"</f>
        <v>INV 74823019</v>
      </c>
      <c r="G277" s="3">
        <v>1472.68</v>
      </c>
      <c r="H277" t="str">
        <f>"INV 74823019"</f>
        <v>INV 74823019</v>
      </c>
    </row>
    <row r="278" spans="1:8" x14ac:dyDescent="0.25">
      <c r="E278" t="str">
        <f>""</f>
        <v/>
      </c>
      <c r="F278" t="str">
        <f>""</f>
        <v/>
      </c>
      <c r="H278" t="str">
        <f>"INV 74830747"</f>
        <v>INV 74830747</v>
      </c>
    </row>
    <row r="279" spans="1:8" x14ac:dyDescent="0.25">
      <c r="A279" t="s">
        <v>98</v>
      </c>
      <c r="B279">
        <v>79195</v>
      </c>
      <c r="C279" s="2">
        <v>1512.95</v>
      </c>
      <c r="D279" s="1">
        <v>43395</v>
      </c>
      <c r="E279" t="str">
        <f>"74838449 74846201"</f>
        <v>74838449 74846201</v>
      </c>
      <c r="F279" t="str">
        <f>"INV 74838449"</f>
        <v>INV 74838449</v>
      </c>
      <c r="G279" s="3">
        <v>1512.95</v>
      </c>
      <c r="H279" t="str">
        <f>"INV 74838449"</f>
        <v>INV 74838449</v>
      </c>
    </row>
    <row r="280" spans="1:8" x14ac:dyDescent="0.25">
      <c r="E280" t="str">
        <f>""</f>
        <v/>
      </c>
      <c r="F280" t="str">
        <f>""</f>
        <v/>
      </c>
      <c r="H280" t="str">
        <f>"INV 74846201"</f>
        <v>INV 74846201</v>
      </c>
    </row>
    <row r="281" spans="1:8" x14ac:dyDescent="0.25">
      <c r="A281" t="s">
        <v>99</v>
      </c>
      <c r="B281">
        <v>78965</v>
      </c>
      <c r="C281" s="2">
        <v>2432.81</v>
      </c>
      <c r="D281" s="1">
        <v>43382</v>
      </c>
      <c r="E281" t="str">
        <f>"23944"</f>
        <v>23944</v>
      </c>
      <c r="F281" t="str">
        <f>"INV 23944"</f>
        <v>INV 23944</v>
      </c>
      <c r="G281" s="3">
        <v>2432.81</v>
      </c>
      <c r="H281" t="str">
        <f>"INV 23944"</f>
        <v>INV 23944</v>
      </c>
    </row>
    <row r="282" spans="1:8" x14ac:dyDescent="0.25">
      <c r="A282" t="s">
        <v>100</v>
      </c>
      <c r="B282">
        <v>999999</v>
      </c>
      <c r="C282" s="2">
        <v>600</v>
      </c>
      <c r="D282" s="1">
        <v>43383</v>
      </c>
      <c r="E282" t="str">
        <f>"201810024024"</f>
        <v>201810024024</v>
      </c>
      <c r="F282" t="str">
        <f>"J2-DC-033-185"</f>
        <v>J2-DC-033-185</v>
      </c>
      <c r="G282" s="3">
        <v>300</v>
      </c>
      <c r="H282" t="str">
        <f>"J2-DC-033-185"</f>
        <v>J2-DC-033-185</v>
      </c>
    </row>
    <row r="283" spans="1:8" x14ac:dyDescent="0.25">
      <c r="E283" t="str">
        <f>"201810024025"</f>
        <v>201810024025</v>
      </c>
      <c r="F283" t="str">
        <f>"J2-DC-033-18"</f>
        <v>J2-DC-033-18</v>
      </c>
      <c r="G283" s="3">
        <v>300</v>
      </c>
      <c r="H283" t="str">
        <f>"J2-DC-033-18"</f>
        <v>J2-DC-033-18</v>
      </c>
    </row>
    <row r="284" spans="1:8" x14ac:dyDescent="0.25">
      <c r="A284" t="s">
        <v>101</v>
      </c>
      <c r="B284">
        <v>78966</v>
      </c>
      <c r="C284" s="2">
        <v>75</v>
      </c>
      <c r="D284" s="1">
        <v>43382</v>
      </c>
      <c r="E284" t="str">
        <f>"12962"</f>
        <v>12962</v>
      </c>
      <c r="F284" t="str">
        <f>"SERVICE"</f>
        <v>SERVICE</v>
      </c>
      <c r="G284" s="3">
        <v>75</v>
      </c>
      <c r="H284" t="str">
        <f>"SERVICE"</f>
        <v>SERVICE</v>
      </c>
    </row>
    <row r="285" spans="1:8" x14ac:dyDescent="0.25">
      <c r="A285" t="s">
        <v>101</v>
      </c>
      <c r="B285">
        <v>79196</v>
      </c>
      <c r="C285" s="2">
        <v>75</v>
      </c>
      <c r="D285" s="1">
        <v>43395</v>
      </c>
      <c r="E285" t="str">
        <f>"12465"</f>
        <v>12465</v>
      </c>
      <c r="F285" t="str">
        <f>"SERVICE"</f>
        <v>SERVICE</v>
      </c>
      <c r="G285" s="3">
        <v>75</v>
      </c>
      <c r="H285" t="str">
        <f>"SERVICE"</f>
        <v>SERVICE</v>
      </c>
    </row>
    <row r="286" spans="1:8" x14ac:dyDescent="0.25">
      <c r="A286" t="s">
        <v>102</v>
      </c>
      <c r="B286">
        <v>999999</v>
      </c>
      <c r="C286" s="2">
        <v>6350</v>
      </c>
      <c r="D286" s="1">
        <v>43383</v>
      </c>
      <c r="E286" t="str">
        <f>"107553"</f>
        <v>107553</v>
      </c>
      <c r="F286" t="str">
        <f>"CLIENT:001309/MATTER:000030"</f>
        <v>CLIENT:001309/MATTER:000030</v>
      </c>
      <c r="G286" s="3">
        <v>5750</v>
      </c>
      <c r="H286" t="str">
        <f>"CLIENT:001309/MATTER:000030"</f>
        <v>CLIENT:001309/MATTER:000030</v>
      </c>
    </row>
    <row r="287" spans="1:8" x14ac:dyDescent="0.25">
      <c r="E287" t="str">
        <f>"107554"</f>
        <v>107554</v>
      </c>
      <c r="F287" t="str">
        <f>"CLIENT:001309/MATTER:000031"</f>
        <v>CLIENT:001309/MATTER:000031</v>
      </c>
      <c r="G287" s="3">
        <v>600</v>
      </c>
      <c r="H287" t="str">
        <f>"CLIENT:001309/MATTER:000031"</f>
        <v>CLIENT:001309/MATTER:000031</v>
      </c>
    </row>
    <row r="288" spans="1:8" x14ac:dyDescent="0.25">
      <c r="A288" t="s">
        <v>103</v>
      </c>
      <c r="B288">
        <v>999999</v>
      </c>
      <c r="C288" s="2">
        <v>1302.5</v>
      </c>
      <c r="D288" s="1">
        <v>43383</v>
      </c>
      <c r="E288" t="str">
        <f>"4918"</f>
        <v>4918</v>
      </c>
      <c r="F288" t="str">
        <f>"LABOR/JOHN DEERE/PCT#4"</f>
        <v>LABOR/JOHN DEERE/PCT#4</v>
      </c>
      <c r="G288" s="3">
        <v>570</v>
      </c>
      <c r="H288" t="str">
        <f>"LABOR/JOHN DEERE/PCT#4"</f>
        <v>LABOR/JOHN DEERE/PCT#4</v>
      </c>
    </row>
    <row r="289" spans="1:8" x14ac:dyDescent="0.25">
      <c r="E289" t="str">
        <f>"4919"</f>
        <v>4919</v>
      </c>
      <c r="F289" t="str">
        <f>"LABOR/07 FRHT/PCT#4"</f>
        <v>LABOR/07 FRHT/PCT#4</v>
      </c>
      <c r="G289" s="3">
        <v>285</v>
      </c>
      <c r="H289" t="str">
        <f>"LABOR/07 FRHT/PCT#4"</f>
        <v>LABOR/07 FRHT/PCT#4</v>
      </c>
    </row>
    <row r="290" spans="1:8" x14ac:dyDescent="0.25">
      <c r="E290" t="str">
        <f>"4929"</f>
        <v>4929</v>
      </c>
      <c r="F290" t="str">
        <f>"LABOR/07 FRHT/PCT#4"</f>
        <v>LABOR/07 FRHT/PCT#4</v>
      </c>
      <c r="G290" s="3">
        <v>190</v>
      </c>
      <c r="H290" t="str">
        <f>"LABOR/07 FRHT/PCT#4"</f>
        <v>LABOR/07 FRHT/PCT#4</v>
      </c>
    </row>
    <row r="291" spans="1:8" x14ac:dyDescent="0.25">
      <c r="E291" t="str">
        <f>"4932"</f>
        <v>4932</v>
      </c>
      <c r="F291" t="str">
        <f>"LABOR/07 FORD/PCT#4"</f>
        <v>LABOR/07 FORD/PCT#4</v>
      </c>
      <c r="G291" s="3">
        <v>257.5</v>
      </c>
      <c r="H291" t="str">
        <f>"LABOR/07 FORD/PCT#4"</f>
        <v>LABOR/07 FORD/PCT#4</v>
      </c>
    </row>
    <row r="292" spans="1:8" x14ac:dyDescent="0.25">
      <c r="A292" t="s">
        <v>103</v>
      </c>
      <c r="B292">
        <v>999999</v>
      </c>
      <c r="C292" s="2">
        <v>1120.32</v>
      </c>
      <c r="D292" s="1">
        <v>43396</v>
      </c>
      <c r="E292" t="str">
        <f>"28"</f>
        <v>28</v>
      </c>
      <c r="F292" t="str">
        <f>"2004 FORD/PCT#4"</f>
        <v>2004 FORD/PCT#4</v>
      </c>
      <c r="G292" s="3">
        <v>1120.32</v>
      </c>
      <c r="H292" t="str">
        <f>"2004 FORD/PCT#4"</f>
        <v>2004 FORD/PCT#4</v>
      </c>
    </row>
    <row r="293" spans="1:8" x14ac:dyDescent="0.25">
      <c r="A293" t="s">
        <v>104</v>
      </c>
      <c r="B293">
        <v>999999</v>
      </c>
      <c r="C293" s="2">
        <v>400</v>
      </c>
      <c r="D293" s="1">
        <v>43396</v>
      </c>
      <c r="E293" t="str">
        <f>"1810"</f>
        <v>1810</v>
      </c>
      <c r="F293" t="str">
        <f>"MOWING MAINTENANCE/OEM"</f>
        <v>MOWING MAINTENANCE/OEM</v>
      </c>
      <c r="G293" s="3">
        <v>400</v>
      </c>
      <c r="H293" t="str">
        <f>"MOWING MAINTENANCE/OEM"</f>
        <v>MOWING MAINTENANCE/OEM</v>
      </c>
    </row>
    <row r="294" spans="1:8" x14ac:dyDescent="0.25">
      <c r="A294" t="s">
        <v>105</v>
      </c>
      <c r="B294">
        <v>78967</v>
      </c>
      <c r="C294" s="2">
        <v>369.1</v>
      </c>
      <c r="D294" s="1">
        <v>43382</v>
      </c>
      <c r="E294" t="str">
        <f>"84078934551/638"</f>
        <v>84078934551/638</v>
      </c>
      <c r="F294" t="str">
        <f>"INV 84078934551"</f>
        <v>INV 84078934551</v>
      </c>
      <c r="G294" s="3">
        <v>369.1</v>
      </c>
      <c r="H294" t="str">
        <f>"INV 84078934551"</f>
        <v>INV 84078934551</v>
      </c>
    </row>
    <row r="295" spans="1:8" x14ac:dyDescent="0.25">
      <c r="E295" t="str">
        <f>""</f>
        <v/>
      </c>
      <c r="F295" t="str">
        <f>""</f>
        <v/>
      </c>
      <c r="H295" t="str">
        <f>"INV 84078934638"</f>
        <v>INV 84078934638</v>
      </c>
    </row>
    <row r="296" spans="1:8" x14ac:dyDescent="0.25">
      <c r="A296" t="s">
        <v>105</v>
      </c>
      <c r="B296">
        <v>79197</v>
      </c>
      <c r="C296" s="2">
        <v>638.17999999999995</v>
      </c>
      <c r="D296" s="1">
        <v>43395</v>
      </c>
      <c r="E296" t="str">
        <f>"84078934716/801"</f>
        <v>84078934716/801</v>
      </c>
      <c r="F296" t="str">
        <f>"INV 84078934716"</f>
        <v>INV 84078934716</v>
      </c>
      <c r="G296" s="3">
        <v>638.17999999999995</v>
      </c>
      <c r="H296" t="str">
        <f>"INV 84078934716"</f>
        <v>INV 84078934716</v>
      </c>
    </row>
    <row r="297" spans="1:8" x14ac:dyDescent="0.25">
      <c r="E297" t="str">
        <f>""</f>
        <v/>
      </c>
      <c r="F297" t="str">
        <f>""</f>
        <v/>
      </c>
      <c r="H297" t="str">
        <f>"INV 84078934801"</f>
        <v>INV 84078934801</v>
      </c>
    </row>
    <row r="298" spans="1:8" x14ac:dyDescent="0.25">
      <c r="A298" t="s">
        <v>106</v>
      </c>
      <c r="B298">
        <v>999999</v>
      </c>
      <c r="C298" s="2">
        <v>1152.51</v>
      </c>
      <c r="D298" s="1">
        <v>43383</v>
      </c>
      <c r="E298" t="str">
        <f>"201810024047"</f>
        <v>201810024047</v>
      </c>
      <c r="F298" t="str">
        <f>"1JP32518C/IJP32518D"</f>
        <v>1JP32518C/IJP32518D</v>
      </c>
      <c r="G298" s="3">
        <v>375</v>
      </c>
      <c r="H298" t="str">
        <f>"1JP32518C/IJP32518D"</f>
        <v>1JP32518C/IJP32518D</v>
      </c>
    </row>
    <row r="299" spans="1:8" x14ac:dyDescent="0.25">
      <c r="E299" t="str">
        <f>"201810024081"</f>
        <v>201810024081</v>
      </c>
      <c r="F299" t="str">
        <f>"18-19155"</f>
        <v>18-19155</v>
      </c>
      <c r="G299" s="3">
        <v>395.78</v>
      </c>
      <c r="H299" t="str">
        <f>"18-19155"</f>
        <v>18-19155</v>
      </c>
    </row>
    <row r="300" spans="1:8" x14ac:dyDescent="0.25">
      <c r="E300" t="str">
        <f>"201810024082"</f>
        <v>201810024082</v>
      </c>
      <c r="F300" t="str">
        <f>"18-18961"</f>
        <v>18-18961</v>
      </c>
      <c r="G300" s="3">
        <v>381.73</v>
      </c>
      <c r="H300" t="str">
        <f>"18-18961"</f>
        <v>18-18961</v>
      </c>
    </row>
    <row r="301" spans="1:8" x14ac:dyDescent="0.25">
      <c r="A301" t="s">
        <v>107</v>
      </c>
      <c r="B301">
        <v>79198</v>
      </c>
      <c r="C301" s="2">
        <v>290.42</v>
      </c>
      <c r="D301" s="1">
        <v>43395</v>
      </c>
      <c r="E301" t="str">
        <f>"201810154507"</f>
        <v>201810154507</v>
      </c>
      <c r="F301" t="str">
        <f>"CRIMESTOPPER FEES SEPT 2018"</f>
        <v>CRIMESTOPPER FEES SEPT 2018</v>
      </c>
      <c r="G301" s="3">
        <v>290.42</v>
      </c>
      <c r="H301" t="str">
        <f>"CRIMESTOPPER FEES SEPT 2018"</f>
        <v>CRIMESTOPPER FEES SEPT 2018</v>
      </c>
    </row>
    <row r="302" spans="1:8" x14ac:dyDescent="0.25">
      <c r="A302" t="s">
        <v>108</v>
      </c>
      <c r="B302">
        <v>79158</v>
      </c>
      <c r="C302" s="2">
        <v>3545.61</v>
      </c>
      <c r="D302" s="1">
        <v>43383</v>
      </c>
      <c r="E302" t="str">
        <f>"201810104414"</f>
        <v>201810104414</v>
      </c>
      <c r="F302" t="str">
        <f>"ACCT#5000057374 / 10022018"</f>
        <v>ACCT#5000057374 / 10022018</v>
      </c>
      <c r="G302" s="3">
        <v>3545.61</v>
      </c>
      <c r="H302" t="str">
        <f>"ACCT#5000057374 / 10022018"</f>
        <v>ACCT#5000057374 / 10022018</v>
      </c>
    </row>
    <row r="303" spans="1:8" x14ac:dyDescent="0.25">
      <c r="E303" t="str">
        <f>""</f>
        <v/>
      </c>
      <c r="F303" t="str">
        <f>""</f>
        <v/>
      </c>
      <c r="H303" t="str">
        <f>"ACCT#5000057374 / 10022018"</f>
        <v>ACCT#5000057374 / 10022018</v>
      </c>
    </row>
    <row r="304" spans="1:8" x14ac:dyDescent="0.25">
      <c r="E304" t="str">
        <f>""</f>
        <v/>
      </c>
      <c r="F304" t="str">
        <f>""</f>
        <v/>
      </c>
      <c r="H304" t="str">
        <f>"ACCT#5000057374 / 10022018"</f>
        <v>ACCT#5000057374 / 10022018</v>
      </c>
    </row>
    <row r="305" spans="1:8" x14ac:dyDescent="0.25">
      <c r="E305" t="str">
        <f>""</f>
        <v/>
      </c>
      <c r="F305" t="str">
        <f>""</f>
        <v/>
      </c>
      <c r="H305" t="str">
        <f>"ACCT#5000057374 / 10022018"</f>
        <v>ACCT#5000057374 / 10022018</v>
      </c>
    </row>
    <row r="306" spans="1:8" x14ac:dyDescent="0.25">
      <c r="A306" t="s">
        <v>108</v>
      </c>
      <c r="B306">
        <v>79375</v>
      </c>
      <c r="C306" s="2">
        <v>22594.799999999999</v>
      </c>
      <c r="D306" s="1">
        <v>43402</v>
      </c>
      <c r="E306" t="str">
        <f>"60240189"</f>
        <v>60240189</v>
      </c>
      <c r="F306" t="str">
        <f>"WORK ORD#60240189"</f>
        <v>WORK ORD#60240189</v>
      </c>
      <c r="G306" s="3">
        <v>22594.799999999999</v>
      </c>
      <c r="H306" t="str">
        <f>"WORK ORD#60240189"</f>
        <v>WORK ORD#60240189</v>
      </c>
    </row>
    <row r="307" spans="1:8" x14ac:dyDescent="0.25">
      <c r="A307" t="s">
        <v>109</v>
      </c>
      <c r="B307">
        <v>999999</v>
      </c>
      <c r="C307" s="2">
        <v>22601.54</v>
      </c>
      <c r="D307" s="1">
        <v>43396</v>
      </c>
      <c r="E307" t="str">
        <f>"201810164534"</f>
        <v>201810164534</v>
      </c>
      <c r="F307" t="str">
        <f>"GRANT REIMBURSEMENT"</f>
        <v>GRANT REIMBURSEMENT</v>
      </c>
      <c r="G307" s="3">
        <v>21601.54</v>
      </c>
      <c r="H307" t="str">
        <f>"GRANT REIMBURSEMENT"</f>
        <v>GRANT REIMBURSEMENT</v>
      </c>
    </row>
    <row r="308" spans="1:8" x14ac:dyDescent="0.25">
      <c r="E308" t="str">
        <f>"25-09-2018"</f>
        <v>25-09-2018</v>
      </c>
      <c r="F308" t="str">
        <f>"INV 25-09-2018"</f>
        <v>INV 25-09-2018</v>
      </c>
      <c r="G308" s="3">
        <v>1000</v>
      </c>
      <c r="H308" t="str">
        <f>"INV 25-09-2018"</f>
        <v>INV 25-09-2018</v>
      </c>
    </row>
    <row r="309" spans="1:8" x14ac:dyDescent="0.25">
      <c r="A309" t="s">
        <v>110</v>
      </c>
      <c r="B309">
        <v>78968</v>
      </c>
      <c r="C309" s="2">
        <v>61.75</v>
      </c>
      <c r="D309" s="1">
        <v>43382</v>
      </c>
      <c r="E309" t="str">
        <f>"UT1000472589"</f>
        <v>UT1000472589</v>
      </c>
      <c r="F309" t="str">
        <f>"INV UT1000472589"</f>
        <v>INV UT1000472589</v>
      </c>
      <c r="G309" s="3">
        <v>61.75</v>
      </c>
      <c r="H309" t="str">
        <f>"INV UT1000472589"</f>
        <v>INV UT1000472589</v>
      </c>
    </row>
    <row r="310" spans="1:8" x14ac:dyDescent="0.25">
      <c r="A310" t="s">
        <v>111</v>
      </c>
      <c r="B310">
        <v>78969</v>
      </c>
      <c r="C310" s="2">
        <v>3213.61</v>
      </c>
      <c r="D310" s="1">
        <v>43382</v>
      </c>
      <c r="E310" t="str">
        <f>"8532"</f>
        <v>8532</v>
      </c>
      <c r="F310" t="str">
        <f>"INV 8532 / UNIT 6539"</f>
        <v>INV 8532 / UNIT 6539</v>
      </c>
      <c r="G310" s="3">
        <v>64.48</v>
      </c>
      <c r="H310" t="str">
        <f>"INV 8532 / UNIT 6539"</f>
        <v>INV 8532 / UNIT 6539</v>
      </c>
    </row>
    <row r="311" spans="1:8" x14ac:dyDescent="0.25">
      <c r="E311" t="str">
        <f>"8837"</f>
        <v>8837</v>
      </c>
      <c r="F311" t="str">
        <f>"INV 8837 / SEIZED"</f>
        <v>INV 8837 / SEIZED</v>
      </c>
      <c r="G311" s="3">
        <v>253.78</v>
      </c>
      <c r="H311" t="str">
        <f>"INV 8837 / SEIZED"</f>
        <v>INV 8837 / SEIZED</v>
      </c>
    </row>
    <row r="312" spans="1:8" x14ac:dyDescent="0.25">
      <c r="E312" t="str">
        <f>"8855"</f>
        <v>8855</v>
      </c>
      <c r="F312" t="str">
        <f>"2010 DODGE/PCT#1"</f>
        <v>2010 DODGE/PCT#1</v>
      </c>
      <c r="G312" s="3">
        <v>2847.35</v>
      </c>
      <c r="H312" t="str">
        <f>"2010 DODGE/PCT#1"</f>
        <v>2010 DODGE/PCT#1</v>
      </c>
    </row>
    <row r="313" spans="1:8" x14ac:dyDescent="0.25">
      <c r="E313" t="str">
        <f>"8862"</f>
        <v>8862</v>
      </c>
      <c r="F313" t="str">
        <f>"2017 FORD/PCT#1"</f>
        <v>2017 FORD/PCT#1</v>
      </c>
      <c r="G313" s="3">
        <v>48</v>
      </c>
      <c r="H313" t="str">
        <f>"2017 FORD/PCT#1"</f>
        <v>2017 FORD/PCT#1</v>
      </c>
    </row>
    <row r="314" spans="1:8" x14ac:dyDescent="0.25">
      <c r="A314" t="s">
        <v>111</v>
      </c>
      <c r="B314">
        <v>79199</v>
      </c>
      <c r="C314" s="2">
        <v>166.33</v>
      </c>
      <c r="D314" s="1">
        <v>43395</v>
      </c>
      <c r="E314" t="str">
        <f>"201810174605"</f>
        <v>201810174605</v>
      </c>
      <c r="F314" t="str">
        <f>"08 DODGE OIL CHANGE/INSPEC/P1"</f>
        <v>08 DODGE OIL CHANGE/INSPEC/P1</v>
      </c>
      <c r="G314" s="3">
        <v>82.03</v>
      </c>
      <c r="H314" t="str">
        <f>"08 DODGE OIL CHANGE/INSPEC/P1"</f>
        <v>08 DODGE OIL CHANGE/INSPEC/P1</v>
      </c>
    </row>
    <row r="315" spans="1:8" x14ac:dyDescent="0.25">
      <c r="E315" t="str">
        <f>"8946"</f>
        <v>8946</v>
      </c>
      <c r="F315" t="str">
        <f>"2010 DODGE/PCT#1"</f>
        <v>2010 DODGE/PCT#1</v>
      </c>
      <c r="G315" s="3">
        <v>84.3</v>
      </c>
      <c r="H315" t="str">
        <f>"2010 DODGE/PCT#1"</f>
        <v>2010 DODGE/PCT#1</v>
      </c>
    </row>
    <row r="316" spans="1:8" x14ac:dyDescent="0.25">
      <c r="A316" t="s">
        <v>112</v>
      </c>
      <c r="B316">
        <v>79200</v>
      </c>
      <c r="C316" s="2">
        <v>8615.5300000000007</v>
      </c>
      <c r="D316" s="1">
        <v>43395</v>
      </c>
      <c r="E316" t="str">
        <f>"201810174614"</f>
        <v>201810174614</v>
      </c>
      <c r="F316" t="str">
        <f>"REIMBURSE MILEAGE/MEALS/HOTEL"</f>
        <v>REIMBURSE MILEAGE/MEALS/HOTEL</v>
      </c>
      <c r="G316" s="3">
        <v>4300.21</v>
      </c>
      <c r="H316" t="str">
        <f>"REIMBURSE MILEAGE/MEALS/HOTEL"</f>
        <v>REIMBURSE MILEAGE/MEALS/HOTEL</v>
      </c>
    </row>
    <row r="317" spans="1:8" x14ac:dyDescent="0.25">
      <c r="E317" t="str">
        <f>"201810174617"</f>
        <v>201810174617</v>
      </c>
      <c r="F317" t="str">
        <f>"REIMBURSE MILEAGE/MEALS/HOTEL"</f>
        <v>REIMBURSE MILEAGE/MEALS/HOTEL</v>
      </c>
      <c r="G317" s="3">
        <v>4222.2299999999996</v>
      </c>
      <c r="H317" t="str">
        <f>"REIMBURSE MILEAGE/MEALS/HOTEL"</f>
        <v>REIMBURSE MILEAGE/MEALS/HOTEL</v>
      </c>
    </row>
    <row r="318" spans="1:8" x14ac:dyDescent="0.25">
      <c r="E318" t="str">
        <f>"201810174618"</f>
        <v>201810174618</v>
      </c>
      <c r="F318" t="str">
        <f>"REIMBURSE MILEAGE"</f>
        <v>REIMBURSE MILEAGE</v>
      </c>
      <c r="G318" s="3">
        <v>93.09</v>
      </c>
      <c r="H318" t="str">
        <f>"REIMBURSE MILEAGE"</f>
        <v>REIMBURSE MILEAGE</v>
      </c>
    </row>
    <row r="319" spans="1:8" x14ac:dyDescent="0.25">
      <c r="A319" t="s">
        <v>113</v>
      </c>
      <c r="B319">
        <v>79201</v>
      </c>
      <c r="C319" s="2">
        <v>420</v>
      </c>
      <c r="D319" s="1">
        <v>43395</v>
      </c>
      <c r="E319" t="str">
        <f>"6380895"</f>
        <v>6380895</v>
      </c>
      <c r="F319" t="str">
        <f>"INV 6380895"</f>
        <v>INV 6380895</v>
      </c>
      <c r="G319" s="3">
        <v>420</v>
      </c>
      <c r="H319" t="str">
        <f>"INV 6380895"</f>
        <v>INV 6380895</v>
      </c>
    </row>
    <row r="320" spans="1:8" x14ac:dyDescent="0.25">
      <c r="A320" t="s">
        <v>114</v>
      </c>
      <c r="B320">
        <v>78970</v>
      </c>
      <c r="C320" s="2">
        <v>5000</v>
      </c>
      <c r="D320" s="1">
        <v>43382</v>
      </c>
      <c r="E320" t="str">
        <f>"201810024149"</f>
        <v>201810024149</v>
      </c>
      <c r="F320" t="str">
        <f>"FISCAL YEAR 2018-2019"</f>
        <v>FISCAL YEAR 2018-2019</v>
      </c>
      <c r="G320" s="3">
        <v>5000</v>
      </c>
      <c r="H320" t="str">
        <f>"FISCAL YEAR 2018-2019"</f>
        <v>FISCAL YEAR 2018-2019</v>
      </c>
    </row>
    <row r="321" spans="1:8" x14ac:dyDescent="0.25">
      <c r="A321" t="s">
        <v>115</v>
      </c>
      <c r="B321">
        <v>78971</v>
      </c>
      <c r="C321" s="2">
        <v>1050.81</v>
      </c>
      <c r="D321" s="1">
        <v>43382</v>
      </c>
      <c r="E321" t="str">
        <f>"96448"</f>
        <v>96448</v>
      </c>
      <c r="F321" t="str">
        <f>"ACCT#1268/COMMER/PCT#3"</f>
        <v>ACCT#1268/COMMER/PCT#3</v>
      </c>
      <c r="G321" s="3">
        <v>1050.81</v>
      </c>
      <c r="H321" t="str">
        <f>"ACCT#1268/COMMER/PCT#3"</f>
        <v>ACCT#1268/COMMER/PCT#3</v>
      </c>
    </row>
    <row r="322" spans="1:8" x14ac:dyDescent="0.25">
      <c r="A322" t="s">
        <v>115</v>
      </c>
      <c r="B322">
        <v>79202</v>
      </c>
      <c r="C322" s="2">
        <v>1402.14</v>
      </c>
      <c r="D322" s="1">
        <v>43395</v>
      </c>
      <c r="E322" t="str">
        <f>"96608"</f>
        <v>96608</v>
      </c>
      <c r="F322" t="str">
        <f>"ACCT#1268/PCT#3"</f>
        <v>ACCT#1268/PCT#3</v>
      </c>
      <c r="G322" s="3">
        <v>1007.27</v>
      </c>
      <c r="H322" t="str">
        <f>"ACCT#1268/PCT#3"</f>
        <v>ACCT#1268/PCT#3</v>
      </c>
    </row>
    <row r="323" spans="1:8" x14ac:dyDescent="0.25">
      <c r="E323" t="str">
        <f>"96772"</f>
        <v>96772</v>
      </c>
      <c r="F323" t="str">
        <f>"ACCT#1268/PCT#3"</f>
        <v>ACCT#1268/PCT#3</v>
      </c>
      <c r="G323" s="3">
        <v>394.87</v>
      </c>
      <c r="H323" t="str">
        <f>"ACCT#1268/PCT#3"</f>
        <v>ACCT#1268/PCT#3</v>
      </c>
    </row>
    <row r="324" spans="1:8" x14ac:dyDescent="0.25">
      <c r="A324" t="s">
        <v>116</v>
      </c>
      <c r="B324">
        <v>78972</v>
      </c>
      <c r="C324" s="2">
        <v>514.38</v>
      </c>
      <c r="D324" s="1">
        <v>43382</v>
      </c>
      <c r="E324" t="str">
        <f>"201810024110"</f>
        <v>201810024110</v>
      </c>
      <c r="F324" t="str">
        <f>"REIMBURSE HOTEL &amp; MILEAGE"</f>
        <v>REIMBURSE HOTEL &amp; MILEAGE</v>
      </c>
      <c r="G324" s="3">
        <v>514.38</v>
      </c>
      <c r="H324" t="str">
        <f>"REIMBURSE HOTEL &amp; MILEAGE"</f>
        <v>REIMBURSE HOTEL &amp; MILEAGE</v>
      </c>
    </row>
    <row r="325" spans="1:8" x14ac:dyDescent="0.25">
      <c r="E325" t="str">
        <f>""</f>
        <v/>
      </c>
      <c r="F325" t="str">
        <f>""</f>
        <v/>
      </c>
      <c r="H325" t="str">
        <f>"REIMBURSE HOTEL &amp; MILEAGE"</f>
        <v>REIMBURSE HOTEL &amp; MILEAGE</v>
      </c>
    </row>
    <row r="326" spans="1:8" x14ac:dyDescent="0.25">
      <c r="A326" t="s">
        <v>117</v>
      </c>
      <c r="B326">
        <v>78973</v>
      </c>
      <c r="C326" s="2">
        <v>875</v>
      </c>
      <c r="D326" s="1">
        <v>43382</v>
      </c>
      <c r="E326" t="str">
        <f>"201810024053"</f>
        <v>201810024053</v>
      </c>
      <c r="F326" t="str">
        <f>"56 033"</f>
        <v>56 033</v>
      </c>
      <c r="G326" s="3">
        <v>250</v>
      </c>
      <c r="H326" t="str">
        <f>"56 033"</f>
        <v>56 033</v>
      </c>
    </row>
    <row r="327" spans="1:8" x14ac:dyDescent="0.25">
      <c r="E327" t="str">
        <f>"201810024054"</f>
        <v>201810024054</v>
      </c>
      <c r="F327" t="str">
        <f>"56 275"</f>
        <v>56 275</v>
      </c>
      <c r="G327" s="3">
        <v>250</v>
      </c>
      <c r="H327" t="str">
        <f>"56 275"</f>
        <v>56 275</v>
      </c>
    </row>
    <row r="328" spans="1:8" x14ac:dyDescent="0.25">
      <c r="E328" t="str">
        <f>"201810024055"</f>
        <v>201810024055</v>
      </c>
      <c r="F328" t="str">
        <f>"56 293  56 294"</f>
        <v>56 293  56 294</v>
      </c>
      <c r="G328" s="3">
        <v>375</v>
      </c>
      <c r="H328" t="str">
        <f>"56 293  56 294"</f>
        <v>56 293  56 294</v>
      </c>
    </row>
    <row r="329" spans="1:8" x14ac:dyDescent="0.25">
      <c r="A329" t="s">
        <v>117</v>
      </c>
      <c r="B329">
        <v>79203</v>
      </c>
      <c r="C329" s="2">
        <v>375</v>
      </c>
      <c r="D329" s="1">
        <v>43395</v>
      </c>
      <c r="E329" t="str">
        <f>"201810164554"</f>
        <v>201810164554</v>
      </c>
      <c r="F329" t="str">
        <f>"54 493  52 925"</f>
        <v>54 493  52 925</v>
      </c>
      <c r="G329" s="3">
        <v>375</v>
      </c>
      <c r="H329" t="str">
        <f>"54 493  52 925"</f>
        <v>54 493  52 925</v>
      </c>
    </row>
    <row r="330" spans="1:8" x14ac:dyDescent="0.25">
      <c r="A330" t="s">
        <v>118</v>
      </c>
      <c r="B330">
        <v>79204</v>
      </c>
      <c r="C330" s="2">
        <v>912.93</v>
      </c>
      <c r="D330" s="1">
        <v>43395</v>
      </c>
      <c r="E330" t="str">
        <f>"201810164529"</f>
        <v>201810164529</v>
      </c>
      <c r="F330" t="str">
        <f>"REIMBURSE TRAVEL EXPENSES"</f>
        <v>REIMBURSE TRAVEL EXPENSES</v>
      </c>
      <c r="G330" s="3">
        <v>912.93</v>
      </c>
      <c r="H330" t="str">
        <f>"REIMBURSE TRAVEL EXPENSES"</f>
        <v>REIMBURSE TRAVEL EXPENSES</v>
      </c>
    </row>
    <row r="331" spans="1:8" x14ac:dyDescent="0.25">
      <c r="A331" t="s">
        <v>119</v>
      </c>
      <c r="B331">
        <v>78974</v>
      </c>
      <c r="C331" s="2">
        <v>30</v>
      </c>
      <c r="D331" s="1">
        <v>43382</v>
      </c>
      <c r="E331" t="str">
        <f>"18-19250"</f>
        <v>18-19250</v>
      </c>
      <c r="F331" t="str">
        <f>"CENTRAL ADOPTION REGISTRY FUND"</f>
        <v>CENTRAL ADOPTION REGISTRY FUND</v>
      </c>
      <c r="G331" s="3">
        <v>15</v>
      </c>
      <c r="H331" t="str">
        <f>"CENTRAL ADOPTION REGISTRY FUND"</f>
        <v>CENTRAL ADOPTION REGISTRY FUND</v>
      </c>
    </row>
    <row r="332" spans="1:8" x14ac:dyDescent="0.25">
      <c r="E332" t="str">
        <f>"18-19251"</f>
        <v>18-19251</v>
      </c>
      <c r="F332" t="str">
        <f>"CENTRAL ADOPTION REGISTRY FUND"</f>
        <v>CENTRAL ADOPTION REGISTRY FUND</v>
      </c>
      <c r="G332" s="3">
        <v>15</v>
      </c>
      <c r="H332" t="str">
        <f>"CENTRAL ADOPTION REGISTRY FUND"</f>
        <v>CENTRAL ADOPTION REGISTRY FUND</v>
      </c>
    </row>
    <row r="333" spans="1:8" x14ac:dyDescent="0.25">
      <c r="A333" t="s">
        <v>119</v>
      </c>
      <c r="B333">
        <v>79205</v>
      </c>
      <c r="C333" s="2">
        <v>15</v>
      </c>
      <c r="D333" s="1">
        <v>43395</v>
      </c>
      <c r="E333" t="str">
        <f>"18-19205"</f>
        <v>18-19205</v>
      </c>
      <c r="F333" t="str">
        <f>"CENTRAL ADOPTION REGISTRY FUND"</f>
        <v>CENTRAL ADOPTION REGISTRY FUND</v>
      </c>
      <c r="G333" s="3">
        <v>15</v>
      </c>
      <c r="H333" t="str">
        <f>"CENTRAL ADOPTION REGISTRY FUND"</f>
        <v>CENTRAL ADOPTION REGISTRY FUND</v>
      </c>
    </row>
    <row r="334" spans="1:8" x14ac:dyDescent="0.25">
      <c r="A334" t="s">
        <v>120</v>
      </c>
      <c r="B334">
        <v>999999</v>
      </c>
      <c r="C334" s="2">
        <v>982.75</v>
      </c>
      <c r="D334" s="1">
        <v>43383</v>
      </c>
      <c r="E334" t="str">
        <f>"274024"</f>
        <v>274024</v>
      </c>
      <c r="F334" t="str">
        <f>"CAD SUPPLIES SPECIALTY"</f>
        <v>CAD SUPPLIES SPECIALTY</v>
      </c>
      <c r="G334" s="3">
        <v>982.75</v>
      </c>
      <c r="H334" t="str">
        <f>"#727 Printhead"</f>
        <v>#727 Printhead</v>
      </c>
    </row>
    <row r="335" spans="1:8" x14ac:dyDescent="0.25">
      <c r="E335" t="str">
        <f>""</f>
        <v/>
      </c>
      <c r="F335" t="str">
        <f>""</f>
        <v/>
      </c>
      <c r="H335" t="str">
        <f>"Cyan Cartridge"</f>
        <v>Cyan Cartridge</v>
      </c>
    </row>
    <row r="336" spans="1:8" x14ac:dyDescent="0.25">
      <c r="E336" t="str">
        <f>""</f>
        <v/>
      </c>
      <c r="F336" t="str">
        <f>""</f>
        <v/>
      </c>
      <c r="H336" t="str">
        <f>"Magenta Cartridge"</f>
        <v>Magenta Cartridge</v>
      </c>
    </row>
    <row r="337" spans="1:8" x14ac:dyDescent="0.25">
      <c r="E337" t="str">
        <f>""</f>
        <v/>
      </c>
      <c r="F337" t="str">
        <f>""</f>
        <v/>
      </c>
      <c r="H337" t="str">
        <f>"Yellow Cartridge"</f>
        <v>Yellow Cartridge</v>
      </c>
    </row>
    <row r="338" spans="1:8" x14ac:dyDescent="0.25">
      <c r="E338" t="str">
        <f>""</f>
        <v/>
      </c>
      <c r="F338" t="str">
        <f>""</f>
        <v/>
      </c>
      <c r="H338" t="str">
        <f>"Black Cartridge"</f>
        <v>Black Cartridge</v>
      </c>
    </row>
    <row r="339" spans="1:8" x14ac:dyDescent="0.25">
      <c r="E339" t="str">
        <f>""</f>
        <v/>
      </c>
      <c r="F339" t="str">
        <f>""</f>
        <v/>
      </c>
      <c r="H339" t="str">
        <f>"Cartridge Gray"</f>
        <v>Cartridge Gray</v>
      </c>
    </row>
    <row r="340" spans="1:8" x14ac:dyDescent="0.25">
      <c r="E340" t="str">
        <f>""</f>
        <v/>
      </c>
      <c r="F340" t="str">
        <f>""</f>
        <v/>
      </c>
      <c r="H340" t="str">
        <f>"Cartridge Matte Blk"</f>
        <v>Cartridge Matte Blk</v>
      </c>
    </row>
    <row r="341" spans="1:8" x14ac:dyDescent="0.25">
      <c r="E341" t="str">
        <f>""</f>
        <v/>
      </c>
      <c r="F341" t="str">
        <f>""</f>
        <v/>
      </c>
      <c r="H341" t="str">
        <f>"IJ BOND 92 HI-BRITE"</f>
        <v>IJ BOND 92 HI-BRITE</v>
      </c>
    </row>
    <row r="342" spans="1:8" x14ac:dyDescent="0.25">
      <c r="A342" t="s">
        <v>121</v>
      </c>
      <c r="B342">
        <v>79206</v>
      </c>
      <c r="C342" s="2">
        <v>240</v>
      </c>
      <c r="D342" s="1">
        <v>43395</v>
      </c>
      <c r="E342" t="str">
        <f>"12529"</f>
        <v>12529</v>
      </c>
      <c r="F342" t="str">
        <f>"SERVICE"</f>
        <v>SERVICE</v>
      </c>
      <c r="G342" s="3">
        <v>240</v>
      </c>
      <c r="H342" t="str">
        <f>"SERVICE"</f>
        <v>SERVICE</v>
      </c>
    </row>
    <row r="343" spans="1:8" x14ac:dyDescent="0.25">
      <c r="A343" t="s">
        <v>122</v>
      </c>
      <c r="B343">
        <v>78975</v>
      </c>
      <c r="C343" s="2">
        <v>4467.6000000000004</v>
      </c>
      <c r="D343" s="1">
        <v>43382</v>
      </c>
      <c r="E343" t="str">
        <f>"11844"</f>
        <v>11844</v>
      </c>
      <c r="F343" t="str">
        <f>"REGISTRATION INV 24193"</f>
        <v>REGISTRATION INV 24193</v>
      </c>
      <c r="G343" s="3">
        <v>72</v>
      </c>
      <c r="H343" t="str">
        <f>"REGISTRA S. BAADE"</f>
        <v>REGISTRA S. BAADE</v>
      </c>
    </row>
    <row r="344" spans="1:8" x14ac:dyDescent="0.25">
      <c r="E344" t="str">
        <f>"11925"</f>
        <v>11925</v>
      </c>
      <c r="F344" t="str">
        <f>"REGISTRATION INV 24270"</f>
        <v>REGISTRATION INV 24270</v>
      </c>
      <c r="G344" s="3">
        <v>72</v>
      </c>
      <c r="H344" t="str">
        <f>"REGISTR  K. LITTLE"</f>
        <v>REGISTR  K. LITTLE</v>
      </c>
    </row>
    <row r="345" spans="1:8" x14ac:dyDescent="0.25">
      <c r="E345" t="str">
        <f>"2019M 165"</f>
        <v>2019M 165</v>
      </c>
      <c r="F345" t="str">
        <f>"2019 CAPCOG ANNUAL DUES"</f>
        <v>2019 CAPCOG ANNUAL DUES</v>
      </c>
      <c r="G345" s="3">
        <v>4323.6000000000004</v>
      </c>
      <c r="H345" t="str">
        <f>"2019 CAPCOG ANNUAL DUES"</f>
        <v>2019 CAPCOG ANNUAL DUES</v>
      </c>
    </row>
    <row r="346" spans="1:8" x14ac:dyDescent="0.25">
      <c r="A346" t="s">
        <v>123</v>
      </c>
      <c r="B346">
        <v>999999</v>
      </c>
      <c r="C346" s="2">
        <v>800.85</v>
      </c>
      <c r="D346" s="1">
        <v>43383</v>
      </c>
      <c r="E346" t="str">
        <f>"1621287  498846"</f>
        <v>1621287  498846</v>
      </c>
      <c r="F346" t="str">
        <f>"ACCT#000690/PCT#2"</f>
        <v>ACCT#000690/PCT#2</v>
      </c>
      <c r="G346" s="3">
        <v>800.85</v>
      </c>
      <c r="H346" t="str">
        <f>"ACCT#000690/PCT#2"</f>
        <v>ACCT#000690/PCT#2</v>
      </c>
    </row>
    <row r="347" spans="1:8" x14ac:dyDescent="0.25">
      <c r="A347" t="s">
        <v>124</v>
      </c>
      <c r="B347">
        <v>0</v>
      </c>
      <c r="C347" s="2">
        <v>5073.0200000000004</v>
      </c>
      <c r="D347" s="1">
        <v>43382</v>
      </c>
      <c r="E347" t="str">
        <f>"201810013991"</f>
        <v>201810013991</v>
      </c>
      <c r="F347" t="str">
        <f>"Acct# 0058"</f>
        <v>Acct# 0058</v>
      </c>
      <c r="G347" s="3">
        <v>5073.0200000000004</v>
      </c>
      <c r="H347" t="str">
        <f>"Walmart"</f>
        <v>Walmart</v>
      </c>
    </row>
    <row r="348" spans="1:8" x14ac:dyDescent="0.25">
      <c r="E348" t="str">
        <f>""</f>
        <v/>
      </c>
      <c r="F348" t="str">
        <f>""</f>
        <v/>
      </c>
      <c r="H348" t="str">
        <f>"SHRM"</f>
        <v>SHRM</v>
      </c>
    </row>
    <row r="349" spans="1:8" x14ac:dyDescent="0.25">
      <c r="E349" t="str">
        <f>""</f>
        <v/>
      </c>
      <c r="F349" t="str">
        <f>""</f>
        <v/>
      </c>
      <c r="H349" t="str">
        <f>"Austin Human"</f>
        <v>Austin Human</v>
      </c>
    </row>
    <row r="350" spans="1:8" x14ac:dyDescent="0.25">
      <c r="E350" t="str">
        <f>""</f>
        <v/>
      </c>
      <c r="F350" t="str">
        <f>""</f>
        <v/>
      </c>
      <c r="H350" t="str">
        <f>"WhenIWork"</f>
        <v>WhenIWork</v>
      </c>
    </row>
    <row r="351" spans="1:8" x14ac:dyDescent="0.25">
      <c r="E351" t="str">
        <f>""</f>
        <v/>
      </c>
      <c r="F351" t="str">
        <f>""</f>
        <v/>
      </c>
      <c r="H351" t="str">
        <f>"Google"</f>
        <v>Google</v>
      </c>
    </row>
    <row r="352" spans="1:8" x14ac:dyDescent="0.25">
      <c r="E352" t="str">
        <f>""</f>
        <v/>
      </c>
      <c r="F352" t="str">
        <f>""</f>
        <v/>
      </c>
      <c r="H352" t="str">
        <f>"GoDaddy"</f>
        <v>GoDaddy</v>
      </c>
    </row>
    <row r="353" spans="5:8" x14ac:dyDescent="0.25">
      <c r="E353" t="str">
        <f>""</f>
        <v/>
      </c>
      <c r="F353" t="str">
        <f>""</f>
        <v/>
      </c>
      <c r="H353" t="str">
        <f>"WebEx"</f>
        <v>WebEx</v>
      </c>
    </row>
    <row r="354" spans="5:8" x14ac:dyDescent="0.25">
      <c r="E354" t="str">
        <f>""</f>
        <v/>
      </c>
      <c r="F354" t="str">
        <f>""</f>
        <v/>
      </c>
      <c r="H354" t="str">
        <f>"WebEx"</f>
        <v>WebEx</v>
      </c>
    </row>
    <row r="355" spans="5:8" x14ac:dyDescent="0.25">
      <c r="E355" t="str">
        <f>""</f>
        <v/>
      </c>
      <c r="F355" t="str">
        <f>""</f>
        <v/>
      </c>
      <c r="H355" t="str">
        <f>"DVM"</f>
        <v>DVM</v>
      </c>
    </row>
    <row r="356" spans="5:8" x14ac:dyDescent="0.25">
      <c r="E356" t="str">
        <f>""</f>
        <v/>
      </c>
      <c r="F356" t="str">
        <f>""</f>
        <v/>
      </c>
      <c r="H356" t="str">
        <f>"TxTag"</f>
        <v>TxTag</v>
      </c>
    </row>
    <row r="357" spans="5:8" x14ac:dyDescent="0.25">
      <c r="E357" t="str">
        <f>""</f>
        <v/>
      </c>
      <c r="F357" t="str">
        <f>""</f>
        <v/>
      </c>
      <c r="H357" t="str">
        <f>"Erika Dejesus"</f>
        <v>Erika Dejesus</v>
      </c>
    </row>
    <row r="358" spans="5:8" x14ac:dyDescent="0.25">
      <c r="E358" t="str">
        <f>""</f>
        <v/>
      </c>
      <c r="F358" t="str">
        <f>""</f>
        <v/>
      </c>
      <c r="H358" t="str">
        <f>"Rosanna Garza"</f>
        <v>Rosanna Garza</v>
      </c>
    </row>
    <row r="359" spans="5:8" x14ac:dyDescent="0.25">
      <c r="E359" t="str">
        <f>""</f>
        <v/>
      </c>
      <c r="F359" t="str">
        <f>""</f>
        <v/>
      </c>
      <c r="H359" t="str">
        <f>"Robert Bennet"</f>
        <v>Robert Bennet</v>
      </c>
    </row>
    <row r="360" spans="5:8" x14ac:dyDescent="0.25">
      <c r="E360" t="str">
        <f>""</f>
        <v/>
      </c>
      <c r="F360" t="str">
        <f>""</f>
        <v/>
      </c>
      <c r="H360" t="str">
        <f>"Annette Murley"</f>
        <v>Annette Murley</v>
      </c>
    </row>
    <row r="361" spans="5:8" x14ac:dyDescent="0.25">
      <c r="E361" t="str">
        <f>""</f>
        <v/>
      </c>
      <c r="F361" t="str">
        <f>""</f>
        <v/>
      </c>
      <c r="H361" t="str">
        <f>"Kenneth Leatherwood"</f>
        <v>Kenneth Leatherwood</v>
      </c>
    </row>
    <row r="362" spans="5:8" x14ac:dyDescent="0.25">
      <c r="E362" t="str">
        <f>""</f>
        <v/>
      </c>
      <c r="F362" t="str">
        <f>""</f>
        <v/>
      </c>
      <c r="H362" t="str">
        <f>"TxTag"</f>
        <v>TxTag</v>
      </c>
    </row>
    <row r="363" spans="5:8" x14ac:dyDescent="0.25">
      <c r="E363" t="str">
        <f>""</f>
        <v/>
      </c>
      <c r="F363" t="str">
        <f>""</f>
        <v/>
      </c>
      <c r="H363" t="str">
        <f>"TxTag"</f>
        <v>TxTag</v>
      </c>
    </row>
    <row r="364" spans="5:8" x14ac:dyDescent="0.25">
      <c r="E364" t="str">
        <f>""</f>
        <v/>
      </c>
      <c r="F364" t="str">
        <f>""</f>
        <v/>
      </c>
      <c r="H364" t="str">
        <f>"The Parking Spot"</f>
        <v>The Parking Spot</v>
      </c>
    </row>
    <row r="365" spans="5:8" x14ac:dyDescent="0.25">
      <c r="E365" t="str">
        <f>""</f>
        <v/>
      </c>
      <c r="F365" t="str">
        <f>""</f>
        <v/>
      </c>
      <c r="H365" t="str">
        <f>"Hotel"</f>
        <v>Hotel</v>
      </c>
    </row>
    <row r="366" spans="5:8" x14ac:dyDescent="0.25">
      <c r="E366" t="str">
        <f>""</f>
        <v/>
      </c>
      <c r="F366" t="str">
        <f>""</f>
        <v/>
      </c>
      <c r="H366" t="str">
        <f>"TxTag"</f>
        <v>TxTag</v>
      </c>
    </row>
    <row r="367" spans="5:8" x14ac:dyDescent="0.25">
      <c r="E367" t="str">
        <f>""</f>
        <v/>
      </c>
      <c r="F367" t="str">
        <f>""</f>
        <v/>
      </c>
      <c r="H367" t="str">
        <f>"Expedia"</f>
        <v>Expedia</v>
      </c>
    </row>
    <row r="368" spans="5:8" x14ac:dyDescent="0.25">
      <c r="E368" t="str">
        <f>""</f>
        <v/>
      </c>
      <c r="F368" t="str">
        <f>""</f>
        <v/>
      </c>
      <c r="H368" t="str">
        <f>"Flight to pensacola"</f>
        <v>Flight to pensacola</v>
      </c>
    </row>
    <row r="369" spans="1:8" x14ac:dyDescent="0.25">
      <c r="E369" t="str">
        <f>""</f>
        <v/>
      </c>
      <c r="F369" t="str">
        <f>""</f>
        <v/>
      </c>
      <c r="H369" t="str">
        <f>"Flight to austin"</f>
        <v>Flight to austin</v>
      </c>
    </row>
    <row r="370" spans="1:8" x14ac:dyDescent="0.25">
      <c r="E370" t="str">
        <f>""</f>
        <v/>
      </c>
      <c r="F370" t="str">
        <f>""</f>
        <v/>
      </c>
      <c r="H370" t="str">
        <f>"Academy"</f>
        <v>Academy</v>
      </c>
    </row>
    <row r="371" spans="1:8" x14ac:dyDescent="0.25">
      <c r="E371" t="str">
        <f>""</f>
        <v/>
      </c>
      <c r="F371" t="str">
        <f>""</f>
        <v/>
      </c>
      <c r="H371" t="str">
        <f>"TxTag"</f>
        <v>TxTag</v>
      </c>
    </row>
    <row r="372" spans="1:8" x14ac:dyDescent="0.25">
      <c r="E372" t="str">
        <f>""</f>
        <v/>
      </c>
      <c r="F372" t="str">
        <f>""</f>
        <v/>
      </c>
      <c r="H372" t="str">
        <f>"TxTag"</f>
        <v>TxTag</v>
      </c>
    </row>
    <row r="373" spans="1:8" x14ac:dyDescent="0.25">
      <c r="E373" t="str">
        <f>""</f>
        <v/>
      </c>
      <c r="F373" t="str">
        <f>""</f>
        <v/>
      </c>
      <c r="H373" t="str">
        <f>"NTTA"</f>
        <v>NTTA</v>
      </c>
    </row>
    <row r="374" spans="1:8" x14ac:dyDescent="0.25">
      <c r="E374" t="str">
        <f>""</f>
        <v/>
      </c>
      <c r="F374" t="str">
        <f>""</f>
        <v/>
      </c>
      <c r="H374" t="str">
        <f>"Webstrauant.com"</f>
        <v>Webstrauant.com</v>
      </c>
    </row>
    <row r="375" spans="1:8" x14ac:dyDescent="0.25">
      <c r="E375" t="str">
        <f>""</f>
        <v/>
      </c>
      <c r="F375" t="str">
        <f>""</f>
        <v/>
      </c>
      <c r="H375" t="str">
        <f>"Tractor Supply"</f>
        <v>Tractor Supply</v>
      </c>
    </row>
    <row r="376" spans="1:8" x14ac:dyDescent="0.25">
      <c r="E376" t="str">
        <f>""</f>
        <v/>
      </c>
      <c r="F376" t="str">
        <f>""</f>
        <v/>
      </c>
      <c r="H376" t="str">
        <f>"TxTag"</f>
        <v>TxTag</v>
      </c>
    </row>
    <row r="377" spans="1:8" x14ac:dyDescent="0.25">
      <c r="E377" t="str">
        <f>""</f>
        <v/>
      </c>
      <c r="F377" t="str">
        <f>""</f>
        <v/>
      </c>
      <c r="H377" t="str">
        <f>"TxTag"</f>
        <v>TxTag</v>
      </c>
    </row>
    <row r="378" spans="1:8" x14ac:dyDescent="0.25">
      <c r="E378" t="str">
        <f>""</f>
        <v/>
      </c>
      <c r="F378" t="str">
        <f>""</f>
        <v/>
      </c>
      <c r="H378" t="str">
        <f>"TxTag"</f>
        <v>TxTag</v>
      </c>
    </row>
    <row r="379" spans="1:8" x14ac:dyDescent="0.25">
      <c r="A379" t="s">
        <v>124</v>
      </c>
      <c r="B379">
        <v>0</v>
      </c>
      <c r="C379" s="2">
        <v>1866.33</v>
      </c>
      <c r="D379" s="1">
        <v>43382</v>
      </c>
      <c r="E379" t="str">
        <f>"201810034169"</f>
        <v>201810034169</v>
      </c>
      <c r="F379" t="str">
        <f>"STATEMENT 0574"</f>
        <v>STATEMENT 0574</v>
      </c>
      <c r="G379" s="3">
        <v>942.53</v>
      </c>
      <c r="H379" t="str">
        <f>"PARIS LV HOTEL"</f>
        <v>PARIS LV HOTEL</v>
      </c>
    </row>
    <row r="380" spans="1:8" x14ac:dyDescent="0.25">
      <c r="E380" t="str">
        <f>""</f>
        <v/>
      </c>
      <c r="F380" t="str">
        <f>""</f>
        <v/>
      </c>
      <c r="H380" t="str">
        <f>"TCOLE EVENT"</f>
        <v>TCOLE EVENT</v>
      </c>
    </row>
    <row r="381" spans="1:8" x14ac:dyDescent="0.25">
      <c r="E381" t="str">
        <f>""</f>
        <v/>
      </c>
      <c r="F381" t="str">
        <f>""</f>
        <v/>
      </c>
      <c r="H381" t="str">
        <f>"TCOLE EVENT"</f>
        <v>TCOLE EVENT</v>
      </c>
    </row>
    <row r="382" spans="1:8" x14ac:dyDescent="0.25">
      <c r="E382" t="str">
        <f>""</f>
        <v/>
      </c>
      <c r="F382" t="str">
        <f>""</f>
        <v/>
      </c>
      <c r="H382" t="str">
        <f>"NCCHC"</f>
        <v>NCCHC</v>
      </c>
    </row>
    <row r="383" spans="1:8" x14ac:dyDescent="0.25">
      <c r="E383" t="str">
        <f>"201810034170"</f>
        <v>201810034170</v>
      </c>
      <c r="F383" t="str">
        <f>"STATEMENT 0574"</f>
        <v>STATEMENT 0574</v>
      </c>
      <c r="G383" s="3">
        <v>923.8</v>
      </c>
      <c r="H383" t="str">
        <f>"STAPLES"</f>
        <v>STAPLES</v>
      </c>
    </row>
    <row r="384" spans="1:8" x14ac:dyDescent="0.25">
      <c r="E384" t="str">
        <f>""</f>
        <v/>
      </c>
      <c r="F384" t="str">
        <f>""</f>
        <v/>
      </c>
      <c r="H384" t="str">
        <f>"STAPLES"</f>
        <v>STAPLES</v>
      </c>
    </row>
    <row r="385" spans="1:8" x14ac:dyDescent="0.25">
      <c r="E385" t="str">
        <f>""</f>
        <v/>
      </c>
      <c r="F385" t="str">
        <f>""</f>
        <v/>
      </c>
      <c r="H385" t="str">
        <f>"CUSTOM COLLAGEN"</f>
        <v>CUSTOM COLLAGEN</v>
      </c>
    </row>
    <row r="386" spans="1:8" x14ac:dyDescent="0.25">
      <c r="E386" t="str">
        <f>""</f>
        <v/>
      </c>
      <c r="F386" t="str">
        <f>""</f>
        <v/>
      </c>
      <c r="H386" t="str">
        <f>"REFUND CAMBRIA HOTEL"</f>
        <v>REFUND CAMBRIA HOTEL</v>
      </c>
    </row>
    <row r="387" spans="1:8" x14ac:dyDescent="0.25">
      <c r="E387" t="str">
        <f>""</f>
        <v/>
      </c>
      <c r="F387" t="str">
        <f>""</f>
        <v/>
      </c>
      <c r="H387" t="str">
        <f>"REFUND CAMBRIA HOTEL"</f>
        <v>REFUND CAMBRIA HOTEL</v>
      </c>
    </row>
    <row r="388" spans="1:8" x14ac:dyDescent="0.25">
      <c r="E388" t="str">
        <f>""</f>
        <v/>
      </c>
      <c r="F388" t="str">
        <f>""</f>
        <v/>
      </c>
      <c r="H388" t="str">
        <f>"REFUND SAN LUIS HOTE"</f>
        <v>REFUND SAN LUIS HOTE</v>
      </c>
    </row>
    <row r="389" spans="1:8" x14ac:dyDescent="0.25">
      <c r="E389" t="str">
        <f>""</f>
        <v/>
      </c>
      <c r="F389" t="str">
        <f>""</f>
        <v/>
      </c>
      <c r="H389" t="str">
        <f>"REFUND MOODY GARDENS"</f>
        <v>REFUND MOODY GARDENS</v>
      </c>
    </row>
    <row r="390" spans="1:8" x14ac:dyDescent="0.25">
      <c r="E390" t="str">
        <f>""</f>
        <v/>
      </c>
      <c r="F390" t="str">
        <f>""</f>
        <v/>
      </c>
      <c r="H390" t="str">
        <f>"MOODY GARDENS HOTEL"</f>
        <v>MOODY GARDENS HOTEL</v>
      </c>
    </row>
    <row r="391" spans="1:8" x14ac:dyDescent="0.25">
      <c r="E391" t="str">
        <f>""</f>
        <v/>
      </c>
      <c r="F391" t="str">
        <f>""</f>
        <v/>
      </c>
      <c r="H391" t="str">
        <f>"INC. STORE.COM"</f>
        <v>INC. STORE.COM</v>
      </c>
    </row>
    <row r="392" spans="1:8" x14ac:dyDescent="0.25">
      <c r="A392" t="s">
        <v>125</v>
      </c>
      <c r="B392">
        <v>78976</v>
      </c>
      <c r="C392" s="2">
        <v>10000</v>
      </c>
      <c r="D392" s="1">
        <v>43382</v>
      </c>
      <c r="E392" t="str">
        <f>"201810024125"</f>
        <v>201810024125</v>
      </c>
      <c r="F392" t="str">
        <f>"FISCAL YEAR 2018-2019"</f>
        <v>FISCAL YEAR 2018-2019</v>
      </c>
      <c r="G392" s="3">
        <v>10000</v>
      </c>
      <c r="H392" t="str">
        <f>"FISCAL YEAR 2018-2019"</f>
        <v>FISCAL YEAR 2018-2019</v>
      </c>
    </row>
    <row r="393" spans="1:8" x14ac:dyDescent="0.25">
      <c r="A393" t="s">
        <v>126</v>
      </c>
      <c r="B393">
        <v>78977</v>
      </c>
      <c r="C393" s="2">
        <v>11000</v>
      </c>
      <c r="D393" s="1">
        <v>43382</v>
      </c>
      <c r="E393" t="str">
        <f>"201809253933"</f>
        <v>201809253933</v>
      </c>
      <c r="F393" t="str">
        <f>"FUNDS FOR FY 2018-2019"</f>
        <v>FUNDS FOR FY 2018-2019</v>
      </c>
      <c r="G393" s="3">
        <v>11000</v>
      </c>
      <c r="H393" t="str">
        <f>"FUNDS FOR FY 2018-2019"</f>
        <v>FUNDS FOR FY 2018-2019</v>
      </c>
    </row>
    <row r="394" spans="1:8" x14ac:dyDescent="0.25">
      <c r="A394" t="s">
        <v>127</v>
      </c>
      <c r="B394">
        <v>79165</v>
      </c>
      <c r="C394" s="2">
        <v>125</v>
      </c>
      <c r="D394" s="1">
        <v>43388</v>
      </c>
      <c r="E394" t="str">
        <f>"201810154520"</f>
        <v>201810154520</v>
      </c>
      <c r="F394" t="str">
        <f>"CDCAT ANNUAL DUES - S LOUCKS"</f>
        <v>CDCAT ANNUAL DUES - S LOUCKS</v>
      </c>
      <c r="G394" s="3">
        <v>125</v>
      </c>
    </row>
    <row r="395" spans="1:8" x14ac:dyDescent="0.25">
      <c r="A395" t="s">
        <v>128</v>
      </c>
      <c r="B395">
        <v>999999</v>
      </c>
      <c r="C395" s="2">
        <v>75.099999999999994</v>
      </c>
      <c r="D395" s="1">
        <v>43383</v>
      </c>
      <c r="E395" t="str">
        <f>"PJT4141"</f>
        <v>PJT4141</v>
      </c>
      <c r="F395" t="str">
        <f>"KVM SWITCH"</f>
        <v>KVM SWITCH</v>
      </c>
      <c r="G395" s="3">
        <v>75.099999999999994</v>
      </c>
      <c r="H395" t="str">
        <f>"KVM SWITCH"</f>
        <v>KVM SWITCH</v>
      </c>
    </row>
    <row r="396" spans="1:8" x14ac:dyDescent="0.25">
      <c r="A396" t="s">
        <v>129</v>
      </c>
      <c r="B396">
        <v>78875</v>
      </c>
      <c r="C396" s="2">
        <v>1324.75</v>
      </c>
      <c r="D396" s="1">
        <v>43376</v>
      </c>
      <c r="E396" t="str">
        <f>"201810034214"</f>
        <v>201810034214</v>
      </c>
      <c r="F396" t="str">
        <f>"ACCT#8000081165-5 / 09192018"</f>
        <v>ACCT#8000081165-5 / 09192018</v>
      </c>
      <c r="G396" s="3">
        <v>1324.75</v>
      </c>
      <c r="H396" t="str">
        <f>"ACCT#8000081165-5 / 09192018"</f>
        <v>ACCT#8000081165-5 / 09192018</v>
      </c>
    </row>
    <row r="397" spans="1:8" x14ac:dyDescent="0.25">
      <c r="E397" t="str">
        <f>""</f>
        <v/>
      </c>
      <c r="F397" t="str">
        <f>""</f>
        <v/>
      </c>
      <c r="H397" t="str">
        <f>"ACCT#8000081165-5 / 09192018"</f>
        <v>ACCT#8000081165-5 / 09192018</v>
      </c>
    </row>
    <row r="398" spans="1:8" x14ac:dyDescent="0.25">
      <c r="A398" t="s">
        <v>129</v>
      </c>
      <c r="B398">
        <v>79373</v>
      </c>
      <c r="C398" s="2">
        <v>1397.54</v>
      </c>
      <c r="D398" s="1">
        <v>43397</v>
      </c>
      <c r="E398" t="str">
        <f>"201810244649"</f>
        <v>201810244649</v>
      </c>
      <c r="F398" t="str">
        <f>"ACCT#8000081165-5 / 10182018"</f>
        <v>ACCT#8000081165-5 / 10182018</v>
      </c>
      <c r="G398" s="3">
        <v>1397.54</v>
      </c>
      <c r="H398" t="str">
        <f>"ACCT#8000081165-5 / 10182018"</f>
        <v>ACCT#8000081165-5 / 10182018</v>
      </c>
    </row>
    <row r="399" spans="1:8" x14ac:dyDescent="0.25">
      <c r="E399" t="str">
        <f>""</f>
        <v/>
      </c>
      <c r="F399" t="str">
        <f>""</f>
        <v/>
      </c>
      <c r="H399" t="str">
        <f>"ACCT#8000081165-5 / 10182018"</f>
        <v>ACCT#8000081165-5 / 10182018</v>
      </c>
    </row>
    <row r="400" spans="1:8" x14ac:dyDescent="0.25">
      <c r="A400" t="s">
        <v>130</v>
      </c>
      <c r="B400">
        <v>79207</v>
      </c>
      <c r="C400" s="2">
        <v>4250.2</v>
      </c>
      <c r="D400" s="1">
        <v>43395</v>
      </c>
      <c r="E400" t="str">
        <f>"CID2329145"</f>
        <v>CID2329145</v>
      </c>
      <c r="F400" t="str">
        <f>"ACCT#238567/ORD#CID2386715"</f>
        <v>ACCT#238567/ORD#CID2386715</v>
      </c>
      <c r="G400" s="3">
        <v>4250.2</v>
      </c>
      <c r="H400" t="str">
        <f>"ACCT#238567/ORD#CID2386715"</f>
        <v>ACCT#238567/ORD#CID2386715</v>
      </c>
    </row>
    <row r="401" spans="1:8" x14ac:dyDescent="0.25">
      <c r="A401" t="s">
        <v>131</v>
      </c>
      <c r="B401">
        <v>79208</v>
      </c>
      <c r="C401" s="2">
        <v>3192.2</v>
      </c>
      <c r="D401" s="1">
        <v>43395</v>
      </c>
      <c r="E401" t="str">
        <f>"30128564"</f>
        <v>30128564</v>
      </c>
      <c r="F401" t="str">
        <f>"CUST#BASPCT4/ORD#37-19552/P4"</f>
        <v>CUST#BASPCT4/ORD#37-19552/P4</v>
      </c>
      <c r="G401" s="3">
        <v>1114.1600000000001</v>
      </c>
      <c r="H401" t="str">
        <f>"CUST#BASPCT4/ORD#37-19552/P4"</f>
        <v>CUST#BASPCT4/ORD#37-19552/P4</v>
      </c>
    </row>
    <row r="402" spans="1:8" x14ac:dyDescent="0.25">
      <c r="E402" t="str">
        <f>"30128585"</f>
        <v>30128585</v>
      </c>
      <c r="F402" t="str">
        <f>"CUST#BASPCT4/ORD#37-19552/P4"</f>
        <v>CUST#BASPCT4/ORD#37-19552/P4</v>
      </c>
      <c r="G402" s="3">
        <v>943.33</v>
      </c>
      <c r="H402" t="str">
        <f>"CUST#BASPCT4/ORD#37-19552/P4"</f>
        <v>CUST#BASPCT4/ORD#37-19552/P4</v>
      </c>
    </row>
    <row r="403" spans="1:8" x14ac:dyDescent="0.25">
      <c r="E403" t="str">
        <f>"30128617"</f>
        <v>30128617</v>
      </c>
      <c r="F403" t="str">
        <f>"CUST#BASPCT4/ORD#37-19552/P4"</f>
        <v>CUST#BASPCT4/ORD#37-19552/P4</v>
      </c>
      <c r="G403" s="3">
        <v>573.39</v>
      </c>
      <c r="H403" t="str">
        <f>"CUST#BASPCT4/ORD#37-19552/P4"</f>
        <v>CUST#BASPCT4/ORD#37-19552/P4</v>
      </c>
    </row>
    <row r="404" spans="1:8" x14ac:dyDescent="0.25">
      <c r="E404" t="str">
        <f>"30128676"</f>
        <v>30128676</v>
      </c>
      <c r="F404" t="str">
        <f>"CUST#BASPCT4/ORD#37-19552/P4"</f>
        <v>CUST#BASPCT4/ORD#37-19552/P4</v>
      </c>
      <c r="G404" s="3">
        <v>561.32000000000005</v>
      </c>
      <c r="H404" t="str">
        <f>"CUST#BASPCT4/ORD#37-19552/P4"</f>
        <v>CUST#BASPCT4/ORD#37-19552/P4</v>
      </c>
    </row>
    <row r="405" spans="1:8" x14ac:dyDescent="0.25">
      <c r="A405" t="s">
        <v>132</v>
      </c>
      <c r="B405">
        <v>79209</v>
      </c>
      <c r="C405" s="2">
        <v>195</v>
      </c>
      <c r="D405" s="1">
        <v>43395</v>
      </c>
      <c r="E405" t="str">
        <f>" BC2#015"</f>
        <v xml:space="preserve"> BC2#015</v>
      </c>
      <c r="F405" t="str">
        <f>"RENTAL DATES SEPT28-OCT28/P2"</f>
        <v>RENTAL DATES SEPT28-OCT28/P2</v>
      </c>
      <c r="G405" s="3">
        <v>176.13</v>
      </c>
      <c r="H405" t="str">
        <f>"RENTAL DATES SEPT28-OCT28/P2"</f>
        <v>RENTAL DATES SEPT28-OCT28/P2</v>
      </c>
    </row>
    <row r="406" spans="1:8" x14ac:dyDescent="0.25">
      <c r="E406" t="str">
        <f>"BC2#015"</f>
        <v>BC2#015</v>
      </c>
      <c r="F406" t="str">
        <f>"RENTAL DATES SEPT28-OCT28/P2"</f>
        <v>RENTAL DATES SEPT28-OCT28/P2</v>
      </c>
      <c r="G406" s="3">
        <v>18.87</v>
      </c>
      <c r="H406" t="str">
        <f>"RENTAL DATES SEPT28-OCT28/P2"</f>
        <v>RENTAL DATES SEPT28-OCT28/P2</v>
      </c>
    </row>
    <row r="407" spans="1:8" x14ac:dyDescent="0.25">
      <c r="A407" t="s">
        <v>133</v>
      </c>
      <c r="B407">
        <v>79210</v>
      </c>
      <c r="C407" s="2">
        <v>16800</v>
      </c>
      <c r="D407" s="1">
        <v>43395</v>
      </c>
      <c r="E407" t="str">
        <f>"12483"</f>
        <v>12483</v>
      </c>
      <c r="F407" t="str">
        <f>"CTA 069-18 - J. FONTENOT"</f>
        <v>CTA 069-18 - J. FONTENOT</v>
      </c>
      <c r="G407" s="3">
        <v>2100</v>
      </c>
      <c r="H407" t="str">
        <f>"CTA 069-18 - J. FONTENOT"</f>
        <v>CTA 069-18 - J. FONTENOT</v>
      </c>
    </row>
    <row r="408" spans="1:8" x14ac:dyDescent="0.25">
      <c r="E408" t="str">
        <f>"12496"</f>
        <v>12496</v>
      </c>
      <c r="F408" t="str">
        <f>"CTA 128-18 - J.L. BRANTON"</f>
        <v>CTA 128-18 - J.L. BRANTON</v>
      </c>
      <c r="G408" s="3">
        <v>2100</v>
      </c>
      <c r="H408" t="str">
        <f>"CTA 128-18 - J.L. BRANTON"</f>
        <v>CTA 128-18 - J.L. BRANTON</v>
      </c>
    </row>
    <row r="409" spans="1:8" x14ac:dyDescent="0.25">
      <c r="E409" t="str">
        <f>"12497"</f>
        <v>12497</v>
      </c>
      <c r="F409" t="str">
        <f>"CTA 135-18 - A. NORFLEET"</f>
        <v>CTA 135-18 - A. NORFLEET</v>
      </c>
      <c r="G409" s="3">
        <v>2100</v>
      </c>
      <c r="H409" t="str">
        <f>"CTA 135-18 - A. NORFLEET"</f>
        <v>CTA 135-18 - A. NORFLEET</v>
      </c>
    </row>
    <row r="410" spans="1:8" x14ac:dyDescent="0.25">
      <c r="E410" t="str">
        <f>"12498"</f>
        <v>12498</v>
      </c>
      <c r="F410" t="str">
        <f>"CTA 154-18 - M. ROSADO"</f>
        <v>CTA 154-18 - M. ROSADO</v>
      </c>
      <c r="G410" s="3">
        <v>2100</v>
      </c>
      <c r="H410" t="str">
        <f>"CTA 154-18 - M. ROSADO"</f>
        <v>CTA 154-18 - M. ROSADO</v>
      </c>
    </row>
    <row r="411" spans="1:8" x14ac:dyDescent="0.25">
      <c r="E411" t="str">
        <f>"12499"</f>
        <v>12499</v>
      </c>
      <c r="F411" t="str">
        <f>"CTA 235-18 - S.L. LASSITER"</f>
        <v>CTA 235-18 - S.L. LASSITER</v>
      </c>
      <c r="G411" s="3">
        <v>2100</v>
      </c>
      <c r="H411" t="str">
        <f>"CTA 235-18 - S.L. LASSITER"</f>
        <v>CTA 235-18 - S.L. LASSITER</v>
      </c>
    </row>
    <row r="412" spans="1:8" x14ac:dyDescent="0.25">
      <c r="E412" t="str">
        <f>"12500"</f>
        <v>12500</v>
      </c>
      <c r="F412" t="str">
        <f>"CTA 268-18 - D.L. COMFORT"</f>
        <v>CTA 268-18 - D.L. COMFORT</v>
      </c>
      <c r="G412" s="3">
        <v>2100</v>
      </c>
      <c r="H412" t="str">
        <f>"CTA 268-18 - D.L. COMFORT"</f>
        <v>CTA 268-18 - D.L. COMFORT</v>
      </c>
    </row>
    <row r="413" spans="1:8" x14ac:dyDescent="0.25">
      <c r="E413" t="str">
        <f>"12501"</f>
        <v>12501</v>
      </c>
      <c r="F413" t="str">
        <f>"CTA 304-18 - W. EMERSON"</f>
        <v>CTA 304-18 - W. EMERSON</v>
      </c>
      <c r="G413" s="3">
        <v>2100</v>
      </c>
      <c r="H413" t="str">
        <f>"CTA 304-18 - W. EMERSON"</f>
        <v>CTA 304-18 - W. EMERSON</v>
      </c>
    </row>
    <row r="414" spans="1:8" x14ac:dyDescent="0.25">
      <c r="E414" t="str">
        <f>"12503"</f>
        <v>12503</v>
      </c>
      <c r="F414" t="str">
        <f>"CTA 338-18 - J. PEELER"</f>
        <v>CTA 338-18 - J. PEELER</v>
      </c>
      <c r="G414" s="3">
        <v>2100</v>
      </c>
      <c r="H414" t="str">
        <f>"CTA 338-18 - J. PEELER"</f>
        <v>CTA 338-18 - J. PEELER</v>
      </c>
    </row>
    <row r="415" spans="1:8" x14ac:dyDescent="0.25">
      <c r="A415" t="s">
        <v>134</v>
      </c>
      <c r="B415">
        <v>78978</v>
      </c>
      <c r="C415" s="2">
        <v>750</v>
      </c>
      <c r="D415" s="1">
        <v>43382</v>
      </c>
      <c r="E415" t="str">
        <f>"201810024067"</f>
        <v>201810024067</v>
      </c>
      <c r="F415" t="str">
        <f>"17-18493"</f>
        <v>17-18493</v>
      </c>
      <c r="G415" s="3">
        <v>100</v>
      </c>
      <c r="H415" t="str">
        <f>"17-18493"</f>
        <v>17-18493</v>
      </c>
    </row>
    <row r="416" spans="1:8" x14ac:dyDescent="0.25">
      <c r="E416" t="str">
        <f>"201810024068"</f>
        <v>201810024068</v>
      </c>
      <c r="F416" t="str">
        <f>"17-18764"</f>
        <v>17-18764</v>
      </c>
      <c r="G416" s="3">
        <v>100</v>
      </c>
      <c r="H416" t="str">
        <f>"17-18764"</f>
        <v>17-18764</v>
      </c>
    </row>
    <row r="417" spans="1:8" x14ac:dyDescent="0.25">
      <c r="E417" t="str">
        <f>"201810024069"</f>
        <v>201810024069</v>
      </c>
      <c r="F417" t="str">
        <f>"18-18960"</f>
        <v>18-18960</v>
      </c>
      <c r="G417" s="3">
        <v>100</v>
      </c>
      <c r="H417" t="str">
        <f>"18-18960"</f>
        <v>18-18960</v>
      </c>
    </row>
    <row r="418" spans="1:8" x14ac:dyDescent="0.25">
      <c r="E418" t="str">
        <f>"201810024070"</f>
        <v>201810024070</v>
      </c>
      <c r="F418" t="str">
        <f>"J-3150"</f>
        <v>J-3150</v>
      </c>
      <c r="G418" s="3">
        <v>250</v>
      </c>
      <c r="H418" t="str">
        <f>"J-3150"</f>
        <v>J-3150</v>
      </c>
    </row>
    <row r="419" spans="1:8" x14ac:dyDescent="0.25">
      <c r="E419" t="str">
        <f>"201810024071"</f>
        <v>201810024071</v>
      </c>
      <c r="F419" t="str">
        <f>"17-18765"</f>
        <v>17-18765</v>
      </c>
      <c r="G419" s="3">
        <v>100</v>
      </c>
      <c r="H419" t="str">
        <f>"17-18765"</f>
        <v>17-18765</v>
      </c>
    </row>
    <row r="420" spans="1:8" x14ac:dyDescent="0.25">
      <c r="E420" t="str">
        <f>"201810024072"</f>
        <v>201810024072</v>
      </c>
      <c r="F420" t="str">
        <f>"17-18269"</f>
        <v>17-18269</v>
      </c>
      <c r="G420" s="3">
        <v>100</v>
      </c>
      <c r="H420" t="str">
        <f>"17-18269"</f>
        <v>17-18269</v>
      </c>
    </row>
    <row r="421" spans="1:8" x14ac:dyDescent="0.25">
      <c r="A421" t="s">
        <v>135</v>
      </c>
      <c r="B421">
        <v>999999</v>
      </c>
      <c r="C421" s="2">
        <v>239.8</v>
      </c>
      <c r="D421" s="1">
        <v>43396</v>
      </c>
      <c r="E421" t="str">
        <f>"0173442-IN"</f>
        <v>0173442-IN</v>
      </c>
      <c r="F421" t="str">
        <f>"INV 0173442-IN"</f>
        <v>INV 0173442-IN</v>
      </c>
      <c r="G421" s="3">
        <v>239.8</v>
      </c>
      <c r="H421" t="str">
        <f>"INV 0173442-IN"</f>
        <v>INV 0173442-IN</v>
      </c>
    </row>
    <row r="422" spans="1:8" x14ac:dyDescent="0.25">
      <c r="A422" t="s">
        <v>136</v>
      </c>
      <c r="B422">
        <v>999999</v>
      </c>
      <c r="C422" s="2">
        <v>950</v>
      </c>
      <c r="D422" s="1">
        <v>43383</v>
      </c>
      <c r="E422" t="str">
        <f>"201809273952"</f>
        <v>201809273952</v>
      </c>
      <c r="F422" t="str">
        <f>"13 711"</f>
        <v>13 711</v>
      </c>
      <c r="G422" s="3">
        <v>400</v>
      </c>
      <c r="H422" t="str">
        <f>"13 711"</f>
        <v>13 711</v>
      </c>
    </row>
    <row r="423" spans="1:8" x14ac:dyDescent="0.25">
      <c r="E423" t="str">
        <f>"201810024096"</f>
        <v>201810024096</v>
      </c>
      <c r="F423" t="str">
        <f>"17-18672"</f>
        <v>17-18672</v>
      </c>
      <c r="G423" s="3">
        <v>100</v>
      </c>
      <c r="H423" t="str">
        <f>"17-18672"</f>
        <v>17-18672</v>
      </c>
    </row>
    <row r="424" spans="1:8" x14ac:dyDescent="0.25">
      <c r="E424" t="str">
        <f>"201810024097"</f>
        <v>201810024097</v>
      </c>
      <c r="F424" t="str">
        <f>"NO CAUSE # LISTED!"</f>
        <v>NO CAUSE # LISTED!</v>
      </c>
      <c r="G424" s="3">
        <v>100</v>
      </c>
      <c r="H424" t="str">
        <f>"NO CAUSE # LISTED!"</f>
        <v>NO CAUSE # LISTED!</v>
      </c>
    </row>
    <row r="425" spans="1:8" x14ac:dyDescent="0.25">
      <c r="E425" t="str">
        <f>"201810024116"</f>
        <v>201810024116</v>
      </c>
      <c r="F425" t="str">
        <f>"17-18764"</f>
        <v>17-18764</v>
      </c>
      <c r="G425" s="3">
        <v>100</v>
      </c>
      <c r="H425" t="str">
        <f>"17-18764"</f>
        <v>17-18764</v>
      </c>
    </row>
    <row r="426" spans="1:8" x14ac:dyDescent="0.25">
      <c r="E426" t="str">
        <f>"201810024121"</f>
        <v>201810024121</v>
      </c>
      <c r="F426" t="str">
        <f>"J-3156"</f>
        <v>J-3156</v>
      </c>
      <c r="G426" s="3">
        <v>250</v>
      </c>
      <c r="H426" t="str">
        <f>"J-3156"</f>
        <v>J-3156</v>
      </c>
    </row>
    <row r="427" spans="1:8" x14ac:dyDescent="0.25">
      <c r="A427" t="s">
        <v>137</v>
      </c>
      <c r="B427">
        <v>78979</v>
      </c>
      <c r="C427" s="2">
        <v>140</v>
      </c>
      <c r="D427" s="1">
        <v>43382</v>
      </c>
      <c r="E427" t="str">
        <f>"201810034162"</f>
        <v>201810034162</v>
      </c>
      <c r="F427" t="str">
        <f>"PER DIEM"</f>
        <v>PER DIEM</v>
      </c>
      <c r="G427" s="3">
        <v>140</v>
      </c>
      <c r="H427" t="str">
        <f>"PER DIEM"</f>
        <v>PER DIEM</v>
      </c>
    </row>
    <row r="428" spans="1:8" x14ac:dyDescent="0.25">
      <c r="A428" t="s">
        <v>138</v>
      </c>
      <c r="B428">
        <v>78980</v>
      </c>
      <c r="C428" s="2">
        <v>900</v>
      </c>
      <c r="D428" s="1">
        <v>43382</v>
      </c>
      <c r="E428" t="str">
        <f>"201809263945"</f>
        <v>201809263945</v>
      </c>
      <c r="F428" t="str">
        <f>"REVIEW &amp; REVISE CONTRACT"</f>
        <v>REVIEW &amp; REVISE CONTRACT</v>
      </c>
      <c r="G428" s="3">
        <v>450</v>
      </c>
      <c r="H428" t="str">
        <f>"REVIEW &amp; REVISE CONTRACT"</f>
        <v>REVIEW &amp; REVISE CONTRACT</v>
      </c>
    </row>
    <row r="429" spans="1:8" x14ac:dyDescent="0.25">
      <c r="E429" t="str">
        <f>"201809263946"</f>
        <v>201809263946</v>
      </c>
      <c r="F429" t="str">
        <f>"REVIEW TITLE COMMITMENT"</f>
        <v>REVIEW TITLE COMMITMENT</v>
      </c>
      <c r="G429" s="3">
        <v>450</v>
      </c>
      <c r="H429" t="str">
        <f>"REVIEW TITLE COMMITMENT"</f>
        <v>REVIEW TITLE COMMITMENT</v>
      </c>
    </row>
    <row r="430" spans="1:8" x14ac:dyDescent="0.25">
      <c r="A430" t="s">
        <v>139</v>
      </c>
      <c r="B430">
        <v>79211</v>
      </c>
      <c r="C430" s="2">
        <v>77.55</v>
      </c>
      <c r="D430" s="1">
        <v>43395</v>
      </c>
      <c r="E430" t="str">
        <f>"5011778053"</f>
        <v>5011778053</v>
      </c>
      <c r="F430" t="str">
        <f>"ORD#7007585069/PAYER#11167181"</f>
        <v>ORD#7007585069/PAYER#11167181</v>
      </c>
      <c r="G430" s="3">
        <v>77.55</v>
      </c>
      <c r="H430" t="str">
        <f>"ORD#7007585069/PAYER#11167181"</f>
        <v>ORD#7007585069/PAYER#11167181</v>
      </c>
    </row>
    <row r="431" spans="1:8" x14ac:dyDescent="0.25">
      <c r="A431" t="s">
        <v>140</v>
      </c>
      <c r="B431">
        <v>78981</v>
      </c>
      <c r="C431" s="2">
        <v>302.87</v>
      </c>
      <c r="D431" s="1">
        <v>43382</v>
      </c>
      <c r="E431" t="str">
        <f>"8403810346"</f>
        <v>8403810346</v>
      </c>
      <c r="F431" t="str">
        <f>"CUST#10377368/PCT#3"</f>
        <v>CUST#10377368/PCT#3</v>
      </c>
      <c r="G431" s="3">
        <v>302.87</v>
      </c>
      <c r="H431" t="str">
        <f>"CUST#10377368/PCT#3"</f>
        <v>CUST#10377368/PCT#3</v>
      </c>
    </row>
    <row r="432" spans="1:8" x14ac:dyDescent="0.25">
      <c r="A432" t="s">
        <v>140</v>
      </c>
      <c r="B432">
        <v>79212</v>
      </c>
      <c r="C432" s="2">
        <v>291.58</v>
      </c>
      <c r="D432" s="1">
        <v>43395</v>
      </c>
      <c r="E432" t="str">
        <f>"8403832346"</f>
        <v>8403832346</v>
      </c>
      <c r="F432" t="str">
        <f>"CUST#10377368/PCT#2"</f>
        <v>CUST#10377368/PCT#2</v>
      </c>
      <c r="G432" s="3">
        <v>53.18</v>
      </c>
      <c r="H432" t="str">
        <f>"CUST#10377368/PCT#2"</f>
        <v>CUST#10377368/PCT#2</v>
      </c>
    </row>
    <row r="433" spans="1:9" x14ac:dyDescent="0.25">
      <c r="E433" t="str">
        <f>"8403849533"</f>
        <v>8403849533</v>
      </c>
      <c r="F433" t="str">
        <f>"CUST#10377368/PCT#3"</f>
        <v>CUST#10377368/PCT#3</v>
      </c>
      <c r="G433" s="3">
        <v>238.4</v>
      </c>
      <c r="H433" t="str">
        <f>"CUST#10377368/PCT#3"</f>
        <v>CUST#10377368/PCT#3</v>
      </c>
    </row>
    <row r="434" spans="1:9" x14ac:dyDescent="0.25">
      <c r="A434" t="s">
        <v>141</v>
      </c>
      <c r="B434">
        <v>79213</v>
      </c>
      <c r="C434" s="2">
        <v>3344.28</v>
      </c>
      <c r="D434" s="1">
        <v>43395</v>
      </c>
      <c r="E434" t="str">
        <f>"201810104460"</f>
        <v>201810104460</v>
      </c>
      <c r="F434" t="str">
        <f>"PAYER#13242108/ANIMAL SHELTER"</f>
        <v>PAYER#13242108/ANIMAL SHELTER</v>
      </c>
      <c r="G434" s="3">
        <v>36.51</v>
      </c>
      <c r="H434" t="str">
        <f>"PAYER#13242108/ANIMAL SHELTER"</f>
        <v>PAYER#13242108/ANIMAL SHELTER</v>
      </c>
    </row>
    <row r="435" spans="1:9" x14ac:dyDescent="0.25">
      <c r="E435" t="str">
        <f>"201810104461"</f>
        <v>201810104461</v>
      </c>
      <c r="F435" t="str">
        <f>"PAYER#13242108/ANIMAL SHELTER"</f>
        <v>PAYER#13242108/ANIMAL SHELTER</v>
      </c>
      <c r="G435" s="3">
        <v>173.61</v>
      </c>
      <c r="H435" t="str">
        <f>"PAYER#13242108/ANIMAL SHELTER"</f>
        <v>PAYER#13242108/ANIMAL SHELTER</v>
      </c>
    </row>
    <row r="436" spans="1:9" x14ac:dyDescent="0.25">
      <c r="E436" t="str">
        <f>"201810104462"</f>
        <v>201810104462</v>
      </c>
      <c r="F436" t="str">
        <f>"PAYER#13242108/ANIMAL SHELTER"</f>
        <v>PAYER#13242108/ANIMAL SHELTER</v>
      </c>
      <c r="G436" s="3">
        <v>902.93</v>
      </c>
      <c r="H436" t="str">
        <f>"PAYER#13242108/ANIMAL SHELTER"</f>
        <v>PAYER#13242108/ANIMAL SHELTER</v>
      </c>
    </row>
    <row r="437" spans="1:9" x14ac:dyDescent="0.25">
      <c r="E437" t="str">
        <f>"201810104468"</f>
        <v>201810104468</v>
      </c>
      <c r="F437" t="str">
        <f>"PAYER#13242108/PCT#1"</f>
        <v>PAYER#13242108/PCT#1</v>
      </c>
      <c r="G437" s="3">
        <v>472.73</v>
      </c>
      <c r="H437" t="str">
        <f>"PAYER#13242108/PCT#1"</f>
        <v>PAYER#13242108/PCT#1</v>
      </c>
    </row>
    <row r="438" spans="1:9" x14ac:dyDescent="0.25">
      <c r="E438" t="str">
        <f>"201810104470"</f>
        <v>201810104470</v>
      </c>
      <c r="F438" t="str">
        <f>"PAYER#13242108/PCT#2"</f>
        <v>PAYER#13242108/PCT#2</v>
      </c>
      <c r="G438" s="3">
        <v>560.24</v>
      </c>
      <c r="H438" t="str">
        <f>"PAYER#13242108/PCT#2"</f>
        <v>PAYER#13242108/PCT#2</v>
      </c>
    </row>
    <row r="439" spans="1:9" x14ac:dyDescent="0.25">
      <c r="E439" t="str">
        <f>"201810114476"</f>
        <v>201810114476</v>
      </c>
      <c r="F439" t="str">
        <f>"PAYER#13242108/PCT#4"</f>
        <v>PAYER#13242108/PCT#4</v>
      </c>
      <c r="G439" s="3">
        <v>816.17</v>
      </c>
      <c r="H439" t="str">
        <f>"PAYER#13242108/PCT#4"</f>
        <v>PAYER#13242108/PCT#4</v>
      </c>
    </row>
    <row r="440" spans="1:9" x14ac:dyDescent="0.25">
      <c r="E440" t="str">
        <f>"201810124505"</f>
        <v>201810124505</v>
      </c>
      <c r="F440" t="str">
        <f>"PAYER#13034093/PCT#3"</f>
        <v>PAYER#13034093/PCT#3</v>
      </c>
      <c r="G440" s="3">
        <v>382.09</v>
      </c>
      <c r="H440" t="str">
        <f>"PAYER#13034093/PCT#3"</f>
        <v>PAYER#13034093/PCT#3</v>
      </c>
    </row>
    <row r="441" spans="1:9" x14ac:dyDescent="0.25">
      <c r="A441" t="s">
        <v>142</v>
      </c>
      <c r="B441">
        <v>79214</v>
      </c>
      <c r="C441" s="2">
        <v>8529.2000000000007</v>
      </c>
      <c r="D441" s="1">
        <v>43395</v>
      </c>
      <c r="E441" t="str">
        <f>"13962019"</f>
        <v>13962019</v>
      </c>
      <c r="F441" t="str">
        <f>"Cistera 1 yr Renewal"</f>
        <v>Cistera 1 yr Renewal</v>
      </c>
      <c r="G441" s="3">
        <v>8529.2000000000007</v>
      </c>
      <c r="H441" t="str">
        <f>"Cistera 1 yr Renewal"</f>
        <v>Cistera 1 yr Renewal</v>
      </c>
    </row>
    <row r="442" spans="1:9" x14ac:dyDescent="0.25">
      <c r="A442" t="s">
        <v>143</v>
      </c>
      <c r="B442">
        <v>78982</v>
      </c>
      <c r="C442" s="2">
        <v>50</v>
      </c>
      <c r="D442" s="1">
        <v>43382</v>
      </c>
      <c r="E442" t="s">
        <v>144</v>
      </c>
      <c r="F442" t="s">
        <v>145</v>
      </c>
      <c r="G442" s="3" t="str">
        <f>"RESTITUTION-A.M. LAWRENCE"</f>
        <v>RESTITUTION-A.M. LAWRENCE</v>
      </c>
      <c r="H442" t="str">
        <f>"210-0000"</f>
        <v>210-0000</v>
      </c>
      <c r="I442" t="str">
        <f>""</f>
        <v/>
      </c>
    </row>
    <row r="443" spans="1:9" x14ac:dyDescent="0.25">
      <c r="A443" t="s">
        <v>143</v>
      </c>
      <c r="B443">
        <v>79159</v>
      </c>
      <c r="C443" s="2">
        <v>43554.35</v>
      </c>
      <c r="D443" s="1">
        <v>43383</v>
      </c>
      <c r="E443" t="str">
        <f>"201810104416"</f>
        <v>201810104416</v>
      </c>
      <c r="F443" t="str">
        <f>"ACCT#02-2083-04 / 09302018"</f>
        <v>ACCT#02-2083-04 / 09302018</v>
      </c>
      <c r="G443" s="3">
        <v>1180.58</v>
      </c>
      <c r="H443" t="str">
        <f>"ACCT#02-2083-04 / 09302018"</f>
        <v>ACCT#02-2083-04 / 09302018</v>
      </c>
    </row>
    <row r="444" spans="1:9" x14ac:dyDescent="0.25">
      <c r="E444" t="str">
        <f>"201810104417"</f>
        <v>201810104417</v>
      </c>
      <c r="F444" t="str">
        <f>"COUNTY DEVELOPMENT CENTER"</f>
        <v>COUNTY DEVELOPMENT CENTER</v>
      </c>
      <c r="G444" s="3">
        <v>2248.63</v>
      </c>
      <c r="H444" t="str">
        <f>"COUNTY DEVELOPMENT CENTER"</f>
        <v>COUNTY DEVELOPMENT CENTER</v>
      </c>
    </row>
    <row r="445" spans="1:9" x14ac:dyDescent="0.25">
      <c r="E445" t="str">
        <f>"201810104418"</f>
        <v>201810104418</v>
      </c>
      <c r="F445" t="str">
        <f>"LAW ENFORCEMENT CENTER"</f>
        <v>LAW ENFORCEMENT CENTER</v>
      </c>
      <c r="G445" s="3">
        <v>26611.07</v>
      </c>
      <c r="H445" t="str">
        <f>"LAW ENFORCEMENT CENTER"</f>
        <v>LAW ENFORCEMENT CENTER</v>
      </c>
    </row>
    <row r="446" spans="1:9" x14ac:dyDescent="0.25">
      <c r="E446" t="str">
        <f>"201810104419"</f>
        <v>201810104419</v>
      </c>
      <c r="F446" t="str">
        <f>"BASTROP COUNTY COURTHOUSE"</f>
        <v>BASTROP COUNTY COURTHOUSE</v>
      </c>
      <c r="G446" s="3">
        <v>13514.07</v>
      </c>
      <c r="H446" t="str">
        <f>"BASTROP COUNTY COURTHOUSE"</f>
        <v>BASTROP COUNTY COURTHOUSE</v>
      </c>
    </row>
    <row r="447" spans="1:9" x14ac:dyDescent="0.25">
      <c r="A447" t="s">
        <v>143</v>
      </c>
      <c r="B447">
        <v>79215</v>
      </c>
      <c r="C447" s="2">
        <v>500</v>
      </c>
      <c r="D447" s="1">
        <v>43395</v>
      </c>
      <c r="E447" t="str">
        <f>"201810104450"</f>
        <v>201810104450</v>
      </c>
      <c r="F447" t="str">
        <f>"RENTAL-PARKING LOT"</f>
        <v>RENTAL-PARKING LOT</v>
      </c>
      <c r="G447" s="3">
        <v>500</v>
      </c>
      <c r="H447" t="str">
        <f>"RENTAL-PARKING LOT"</f>
        <v>RENTAL-PARKING LOT</v>
      </c>
    </row>
    <row r="448" spans="1:9" x14ac:dyDescent="0.25">
      <c r="A448" t="s">
        <v>146</v>
      </c>
      <c r="B448">
        <v>78876</v>
      </c>
      <c r="C448" s="2">
        <v>1805.32</v>
      </c>
      <c r="D448" s="1">
        <v>43376</v>
      </c>
      <c r="E448" t="str">
        <f>"201810034215"</f>
        <v>201810034215</v>
      </c>
      <c r="F448" t="str">
        <f>"ACCT#007-0000388-000/09252018"</f>
        <v>ACCT#007-0000388-000/09252018</v>
      </c>
      <c r="G448" s="3">
        <v>757.07</v>
      </c>
      <c r="H448" t="str">
        <f>"ACCT#007-0000388-000/09252018"</f>
        <v>ACCT#007-0000388-000/09252018</v>
      </c>
    </row>
    <row r="449" spans="1:9" x14ac:dyDescent="0.25">
      <c r="E449" t="str">
        <f>"201810034216"</f>
        <v>201810034216</v>
      </c>
      <c r="F449" t="str">
        <f>"ACCT#007-0000389-000/09252018"</f>
        <v>ACCT#007-0000389-000/09252018</v>
      </c>
      <c r="G449" s="3">
        <v>47.68</v>
      </c>
      <c r="H449" t="str">
        <f>"ACCT#007-0000389-000/09252018"</f>
        <v>ACCT#007-0000389-000/09252018</v>
      </c>
    </row>
    <row r="450" spans="1:9" x14ac:dyDescent="0.25">
      <c r="E450" t="str">
        <f>"201810034217"</f>
        <v>201810034217</v>
      </c>
      <c r="F450" t="str">
        <f>"ACCT#044-0001240-000/09252018"</f>
        <v>ACCT#044-0001240-000/09252018</v>
      </c>
      <c r="G450" s="3">
        <v>444.17</v>
      </c>
      <c r="H450" t="str">
        <f>"ACCT#044-0001240-000/09252018"</f>
        <v>ACCT#044-0001240-000/09252018</v>
      </c>
    </row>
    <row r="451" spans="1:9" x14ac:dyDescent="0.25">
      <c r="E451" t="str">
        <f>"201810034218"</f>
        <v>201810034218</v>
      </c>
      <c r="F451" t="str">
        <f>"ACCT#044-0001250-000/09252018"</f>
        <v>ACCT#044-0001250-000/09252018</v>
      </c>
      <c r="G451" s="3">
        <v>55.33</v>
      </c>
      <c r="H451" t="str">
        <f>"ACCT#044-0001250-000/09252018"</f>
        <v>ACCT#044-0001250-000/09252018</v>
      </c>
    </row>
    <row r="452" spans="1:9" x14ac:dyDescent="0.25">
      <c r="E452" t="str">
        <f>"201810034219"</f>
        <v>201810034219</v>
      </c>
      <c r="F452" t="str">
        <f>"ACCT#044-0001252-000/09252018"</f>
        <v>ACCT#044-0001252-000/09252018</v>
      </c>
      <c r="G452" s="3">
        <v>472.62</v>
      </c>
      <c r="H452" t="str">
        <f>"ACCT#044-0001252-000/09252018"</f>
        <v>ACCT#044-0001252-000/09252018</v>
      </c>
    </row>
    <row r="453" spans="1:9" x14ac:dyDescent="0.25">
      <c r="E453" t="str">
        <f>"201810034220"</f>
        <v>201810034220</v>
      </c>
      <c r="F453" t="str">
        <f>"ACCT#044-0001253-000/09252018"</f>
        <v>ACCT#044-0001253-000/09252018</v>
      </c>
      <c r="G453" s="3">
        <v>28.45</v>
      </c>
      <c r="H453" t="str">
        <f>"ACCT#044-0001253-000/09252018"</f>
        <v>ACCT#044-0001253-000/09252018</v>
      </c>
    </row>
    <row r="454" spans="1:9" x14ac:dyDescent="0.25">
      <c r="A454" t="s">
        <v>147</v>
      </c>
      <c r="B454">
        <v>999999</v>
      </c>
      <c r="C454" s="2">
        <v>157.35</v>
      </c>
      <c r="D454" s="1">
        <v>43383</v>
      </c>
      <c r="E454" t="str">
        <f>"201810024138"</f>
        <v>201810024138</v>
      </c>
      <c r="F454" t="str">
        <f>"INDIGENT HEALTH"</f>
        <v>INDIGENT HEALTH</v>
      </c>
      <c r="G454" s="3">
        <v>157.35</v>
      </c>
      <c r="H454" t="str">
        <f>"INDIGENT HEALTH"</f>
        <v>INDIGENT HEALTH</v>
      </c>
    </row>
    <row r="455" spans="1:9" x14ac:dyDescent="0.25">
      <c r="A455" t="s">
        <v>147</v>
      </c>
      <c r="B455">
        <v>999999</v>
      </c>
      <c r="C455" s="2">
        <v>275.45999999999998</v>
      </c>
      <c r="D455" s="1">
        <v>43396</v>
      </c>
      <c r="E455" t="str">
        <f>"18-21235"</f>
        <v>18-21235</v>
      </c>
      <c r="F455" t="str">
        <f>"INV 201809-0"</f>
        <v>INV 201809-0</v>
      </c>
      <c r="G455" s="3">
        <v>119.25</v>
      </c>
      <c r="H455" t="str">
        <f>"INV 201809-0"</f>
        <v>INV 201809-0</v>
      </c>
    </row>
    <row r="456" spans="1:9" x14ac:dyDescent="0.25">
      <c r="E456" t="str">
        <f>"4443*98062*1"</f>
        <v>4443*98062*1</v>
      </c>
      <c r="F456" t="str">
        <f>"JAIL MEDICAL"</f>
        <v>JAIL MEDICAL</v>
      </c>
      <c r="G456" s="3">
        <v>156.21</v>
      </c>
      <c r="H456" t="str">
        <f>"JAIL MEDICAL"</f>
        <v>JAIL MEDICAL</v>
      </c>
    </row>
    <row r="457" spans="1:9" x14ac:dyDescent="0.25">
      <c r="A457" t="s">
        <v>148</v>
      </c>
      <c r="B457">
        <v>78983</v>
      </c>
      <c r="C457" s="2">
        <v>92.5</v>
      </c>
      <c r="D457" s="1">
        <v>43382</v>
      </c>
      <c r="E457" t="str">
        <f>"61524177"</f>
        <v>61524177</v>
      </c>
      <c r="F457" t="str">
        <f>"BOND#61524177/GARY SNOWDEN"</f>
        <v>BOND#61524177/GARY SNOWDEN</v>
      </c>
      <c r="G457" s="3">
        <v>92.5</v>
      </c>
      <c r="H457" t="str">
        <f>"BOND#61524177/GARY SNOWDEN"</f>
        <v>BOND#61524177/GARY SNOWDEN</v>
      </c>
    </row>
    <row r="458" spans="1:9" x14ac:dyDescent="0.25">
      <c r="A458" t="s">
        <v>149</v>
      </c>
      <c r="B458">
        <v>78984</v>
      </c>
      <c r="C458" s="2">
        <v>19.62</v>
      </c>
      <c r="D458" s="1">
        <v>43382</v>
      </c>
      <c r="E458" t="str">
        <f>"201810024112"</f>
        <v>201810024112</v>
      </c>
      <c r="F458" t="str">
        <f>"REIMBURSE-MILEAGE"</f>
        <v>REIMBURSE-MILEAGE</v>
      </c>
      <c r="G458" s="3">
        <v>19.62</v>
      </c>
      <c r="H458" t="str">
        <f>"REIMBURSE-MILEAGE"</f>
        <v>REIMBURSE-MILEAGE</v>
      </c>
    </row>
    <row r="459" spans="1:9" x14ac:dyDescent="0.25">
      <c r="A459" t="s">
        <v>150</v>
      </c>
      <c r="B459">
        <v>78985</v>
      </c>
      <c r="C459" s="2">
        <v>12.5</v>
      </c>
      <c r="D459" s="1">
        <v>43382</v>
      </c>
      <c r="E459" t="s">
        <v>151</v>
      </c>
      <c r="F459" t="s">
        <v>152</v>
      </c>
      <c r="G459" s="3" t="str">
        <f>"RESTITUTION-K. PURCELL"</f>
        <v>RESTITUTION-K. PURCELL</v>
      </c>
      <c r="H459" t="str">
        <f>"210-0000"</f>
        <v>210-0000</v>
      </c>
      <c r="I459" t="str">
        <f>""</f>
        <v/>
      </c>
    </row>
    <row r="460" spans="1:9" x14ac:dyDescent="0.25">
      <c r="A460" t="s">
        <v>153</v>
      </c>
      <c r="B460">
        <v>78986</v>
      </c>
      <c r="C460" s="2">
        <v>33.119999999999997</v>
      </c>
      <c r="D460" s="1">
        <v>43382</v>
      </c>
      <c r="E460" t="str">
        <f>"17305993"</f>
        <v>17305993</v>
      </c>
      <c r="F460" t="str">
        <f>"ACCT#434304/PCT#4"</f>
        <v>ACCT#434304/PCT#4</v>
      </c>
      <c r="G460" s="3">
        <v>33.119999999999997</v>
      </c>
      <c r="H460" t="str">
        <f>"ACCT#434304/PCT#4"</f>
        <v>ACCT#434304/PCT#4</v>
      </c>
    </row>
    <row r="461" spans="1:9" x14ac:dyDescent="0.25">
      <c r="A461" t="s">
        <v>154</v>
      </c>
      <c r="B461">
        <v>78987</v>
      </c>
      <c r="C461" s="2">
        <v>520</v>
      </c>
      <c r="D461" s="1">
        <v>43382</v>
      </c>
      <c r="E461" t="str">
        <f>"201810034165"</f>
        <v>201810034165</v>
      </c>
      <c r="F461" t="str">
        <f>"CORRECTIONAL MANAGEMENT INSTIT"</f>
        <v>CORRECTIONAL MANAGEMENT INSTIT</v>
      </c>
      <c r="G461" s="3">
        <v>520</v>
      </c>
      <c r="H461" t="str">
        <f>"CAPT MILLER"</f>
        <v>CAPT MILLER</v>
      </c>
    </row>
    <row r="462" spans="1:9" x14ac:dyDescent="0.25">
      <c r="E462" t="str">
        <f>""</f>
        <v/>
      </c>
      <c r="F462" t="str">
        <f>""</f>
        <v/>
      </c>
      <c r="H462" t="str">
        <f>"LT GOMEZ"</f>
        <v>LT GOMEZ</v>
      </c>
    </row>
    <row r="463" spans="1:9" x14ac:dyDescent="0.25">
      <c r="A463" t="s">
        <v>155</v>
      </c>
      <c r="B463">
        <v>79216</v>
      </c>
      <c r="C463" s="2">
        <v>340</v>
      </c>
      <c r="D463" s="1">
        <v>43395</v>
      </c>
      <c r="E463" t="str">
        <f>"17777"</f>
        <v>17777</v>
      </c>
      <c r="F463" t="str">
        <f>"LABOR/SERVICE CALL"</f>
        <v>LABOR/SERVICE CALL</v>
      </c>
      <c r="G463" s="3">
        <v>340</v>
      </c>
      <c r="H463" t="str">
        <f>"LABOR/SERVICE CALL"</f>
        <v>LABOR/SERVICE CALL</v>
      </c>
    </row>
    <row r="464" spans="1:9" x14ac:dyDescent="0.25">
      <c r="A464" t="s">
        <v>156</v>
      </c>
      <c r="B464">
        <v>78988</v>
      </c>
      <c r="C464" s="2">
        <v>614.1</v>
      </c>
      <c r="D464" s="1">
        <v>43382</v>
      </c>
      <c r="E464" t="str">
        <f>"201810034164"</f>
        <v>201810034164</v>
      </c>
      <c r="F464" t="str">
        <f>"SAN MARCOS PLATINUM  LLC"</f>
        <v>SAN MARCOS PLATINUM  LLC</v>
      </c>
      <c r="G464" s="3">
        <v>614.1</v>
      </c>
      <c r="H464" t="str">
        <f>"CAPT MILLER"</f>
        <v>CAPT MILLER</v>
      </c>
    </row>
    <row r="465" spans="1:8" x14ac:dyDescent="0.25">
      <c r="E465" t="str">
        <f>""</f>
        <v/>
      </c>
      <c r="F465" t="str">
        <f>""</f>
        <v/>
      </c>
      <c r="H465" t="str">
        <f>"LT GOMEZ"</f>
        <v>LT GOMEZ</v>
      </c>
    </row>
    <row r="466" spans="1:8" x14ac:dyDescent="0.25">
      <c r="A466" t="s">
        <v>157</v>
      </c>
      <c r="B466">
        <v>999999</v>
      </c>
      <c r="C466" s="2">
        <v>229.38</v>
      </c>
      <c r="D466" s="1">
        <v>43383</v>
      </c>
      <c r="E466" t="str">
        <f>"CVCS513717"</f>
        <v>CVCS513717</v>
      </c>
      <c r="F466" t="str">
        <f>"INV CVCS513717"</f>
        <v>INV CVCS513717</v>
      </c>
      <c r="G466" s="3">
        <v>229.38</v>
      </c>
      <c r="H466" t="str">
        <f>"INV CVCS513717"</f>
        <v>INV CVCS513717</v>
      </c>
    </row>
    <row r="467" spans="1:8" x14ac:dyDescent="0.25">
      <c r="A467" t="s">
        <v>158</v>
      </c>
      <c r="B467">
        <v>78989</v>
      </c>
      <c r="C467" s="2">
        <v>600</v>
      </c>
      <c r="D467" s="1">
        <v>43382</v>
      </c>
      <c r="E467" t="str">
        <f>"201810034184"</f>
        <v>201810034184</v>
      </c>
      <c r="F467" t="str">
        <f>"CovertTrack 1 Year Renewa"</f>
        <v>CovertTrack 1 Year Renewa</v>
      </c>
      <c r="G467" s="3">
        <v>600</v>
      </c>
      <c r="H467" t="str">
        <f>"DevID867844000226616"</f>
        <v>DevID867844000226616</v>
      </c>
    </row>
    <row r="468" spans="1:8" x14ac:dyDescent="0.25">
      <c r="A468" t="s">
        <v>159</v>
      </c>
      <c r="B468">
        <v>79217</v>
      </c>
      <c r="C468" s="2">
        <v>500</v>
      </c>
      <c r="D468" s="1">
        <v>43395</v>
      </c>
      <c r="E468" t="str">
        <f>"SEPTEMBER 2018"</f>
        <v>SEPTEMBER 2018</v>
      </c>
      <c r="F468" t="str">
        <f>"SEPTEMBER 2018"</f>
        <v>SEPTEMBER 2018</v>
      </c>
      <c r="G468" s="3">
        <v>500</v>
      </c>
      <c r="H468" t="str">
        <f>"SEPTEMBER 2018"</f>
        <v>SEPTEMBER 2018</v>
      </c>
    </row>
    <row r="469" spans="1:8" x14ac:dyDescent="0.25">
      <c r="A469" t="s">
        <v>160</v>
      </c>
      <c r="B469">
        <v>79218</v>
      </c>
      <c r="C469" s="2">
        <v>165</v>
      </c>
      <c r="D469" s="1">
        <v>43395</v>
      </c>
      <c r="E469" t="str">
        <f>"201810114479"</f>
        <v>201810114479</v>
      </c>
      <c r="F469" t="str">
        <f>"REFUND-OSSF PERMIT FEE OVERPAY"</f>
        <v>REFUND-OSSF PERMIT FEE OVERPAY</v>
      </c>
      <c r="G469" s="3">
        <v>165</v>
      </c>
      <c r="H469" t="str">
        <f>"REFUND-OSSF PERMIT FEE OVERPAY"</f>
        <v>REFUND-OSSF PERMIT FEE OVERPAY</v>
      </c>
    </row>
    <row r="470" spans="1:8" x14ac:dyDescent="0.25">
      <c r="A470" t="s">
        <v>161</v>
      </c>
      <c r="B470">
        <v>78990</v>
      </c>
      <c r="C470" s="2">
        <v>1190</v>
      </c>
      <c r="D470" s="1">
        <v>43382</v>
      </c>
      <c r="E470" t="str">
        <f>"161000108-1"</f>
        <v>161000108-1</v>
      </c>
      <c r="F470" t="str">
        <f>"CUST#16100000100/PCT#4"</f>
        <v>CUST#16100000100/PCT#4</v>
      </c>
      <c r="G470" s="3">
        <v>190</v>
      </c>
      <c r="H470" t="str">
        <f>"CUST#16100000100/PCT#4"</f>
        <v>CUST#16100000100/PCT#4</v>
      </c>
    </row>
    <row r="471" spans="1:8" x14ac:dyDescent="0.25">
      <c r="E471" t="str">
        <f>"16100055-1"</f>
        <v>16100055-1</v>
      </c>
      <c r="F471" t="str">
        <f>"INV 16100055-1"</f>
        <v>INV 16100055-1</v>
      </c>
      <c r="G471" s="3">
        <v>540</v>
      </c>
      <c r="H471" t="str">
        <f>"INV 16100055-1"</f>
        <v>INV 16100055-1</v>
      </c>
    </row>
    <row r="472" spans="1:8" x14ac:dyDescent="0.25">
      <c r="E472" t="str">
        <f>"513002413-1"</f>
        <v>513002413-1</v>
      </c>
      <c r="F472" t="str">
        <f>"CUST#16100000100/PCT#4"</f>
        <v>CUST#16100000100/PCT#4</v>
      </c>
      <c r="G472" s="3">
        <v>460</v>
      </c>
      <c r="H472" t="str">
        <f>"CUST#16100000100/PCT#4"</f>
        <v>CUST#16100000100/PCT#4</v>
      </c>
    </row>
    <row r="473" spans="1:8" x14ac:dyDescent="0.25">
      <c r="A473" t="s">
        <v>161</v>
      </c>
      <c r="B473">
        <v>79219</v>
      </c>
      <c r="C473" s="2">
        <v>240</v>
      </c>
      <c r="D473" s="1">
        <v>43395</v>
      </c>
      <c r="E473" t="str">
        <f>"1610000107-1"</f>
        <v>1610000107-1</v>
      </c>
      <c r="F473" t="str">
        <f>"INV 161000107-1"</f>
        <v>INV 161000107-1</v>
      </c>
      <c r="G473" s="3">
        <v>240</v>
      </c>
      <c r="H473" t="str">
        <f>"INV 161000107-1"</f>
        <v>INV 161000107-1</v>
      </c>
    </row>
    <row r="474" spans="1:8" x14ac:dyDescent="0.25">
      <c r="A474" t="s">
        <v>162</v>
      </c>
      <c r="B474">
        <v>78991</v>
      </c>
      <c r="C474" s="2">
        <v>150</v>
      </c>
      <c r="D474" s="1">
        <v>43382</v>
      </c>
      <c r="E474" t="str">
        <f>"201810014014"</f>
        <v>201810014014</v>
      </c>
      <c r="F474" t="str">
        <f>"CLEANING SVCS 09/07-09/21/P2"</f>
        <v>CLEANING SVCS 09/07-09/21/P2</v>
      </c>
      <c r="G474" s="3">
        <v>150</v>
      </c>
      <c r="H474" t="str">
        <f>"-CLEANING SVCS 09/07-09/21/P2"</f>
        <v>-CLEANING SVCS 09/07-09/21/P2</v>
      </c>
    </row>
    <row r="475" spans="1:8" x14ac:dyDescent="0.25">
      <c r="A475" t="s">
        <v>163</v>
      </c>
      <c r="B475">
        <v>78992</v>
      </c>
      <c r="C475" s="2">
        <v>692</v>
      </c>
      <c r="D475" s="1">
        <v>43382</v>
      </c>
      <c r="E475" t="str">
        <f>"073288"</f>
        <v>073288</v>
      </c>
      <c r="F475" t="str">
        <f>"CUST#BCO0001/PCT#3"</f>
        <v>CUST#BCO0001/PCT#3</v>
      </c>
      <c r="G475" s="3">
        <v>692</v>
      </c>
      <c r="H475" t="str">
        <f>"CUST#BCO0001/PCT#3"</f>
        <v>CUST#BCO0001/PCT#3</v>
      </c>
    </row>
    <row r="476" spans="1:8" x14ac:dyDescent="0.25">
      <c r="A476" t="s">
        <v>164</v>
      </c>
      <c r="B476">
        <v>78993</v>
      </c>
      <c r="C476" s="2">
        <v>80</v>
      </c>
      <c r="D476" s="1">
        <v>43382</v>
      </c>
      <c r="E476" t="str">
        <f>"12965"</f>
        <v>12965</v>
      </c>
      <c r="F476" t="str">
        <f>"SERVICE"</f>
        <v>SERVICE</v>
      </c>
      <c r="G476" s="3">
        <v>80</v>
      </c>
      <c r="H476" t="str">
        <f>"SERVICE"</f>
        <v>SERVICE</v>
      </c>
    </row>
    <row r="477" spans="1:8" x14ac:dyDescent="0.25">
      <c r="A477" t="s">
        <v>164</v>
      </c>
      <c r="B477">
        <v>79220</v>
      </c>
      <c r="C477" s="2">
        <v>400</v>
      </c>
      <c r="D477" s="1">
        <v>43395</v>
      </c>
      <c r="E477" t="str">
        <f>"12465"</f>
        <v>12465</v>
      </c>
      <c r="F477" t="str">
        <f>"SERVICE"</f>
        <v>SERVICE</v>
      </c>
      <c r="G477" s="3">
        <v>320</v>
      </c>
      <c r="H477" t="str">
        <f>"SERVICE"</f>
        <v>SERVICE</v>
      </c>
    </row>
    <row r="478" spans="1:8" x14ac:dyDescent="0.25">
      <c r="E478" t="str">
        <f>"12529"</f>
        <v>12529</v>
      </c>
      <c r="F478" t="str">
        <f>"SERVICE"</f>
        <v>SERVICE</v>
      </c>
      <c r="G478" s="3">
        <v>80</v>
      </c>
      <c r="H478" t="str">
        <f>"SERVICE"</f>
        <v>SERVICE</v>
      </c>
    </row>
    <row r="479" spans="1:8" x14ac:dyDescent="0.25">
      <c r="A479" t="s">
        <v>165</v>
      </c>
      <c r="B479">
        <v>78994</v>
      </c>
      <c r="C479" s="2">
        <v>100</v>
      </c>
      <c r="D479" s="1">
        <v>43382</v>
      </c>
      <c r="E479" t="str">
        <f>"201810034196"</f>
        <v>201810034196</v>
      </c>
      <c r="F479" t="str">
        <f>"LEGAL CONSULT SERVICES-SEPT"</f>
        <v>LEGAL CONSULT SERVICES-SEPT</v>
      </c>
      <c r="G479" s="3">
        <v>100</v>
      </c>
      <c r="H479" t="str">
        <f>"LEGAL CONSULT SERVICES-SEPT"</f>
        <v>LEGAL CONSULT SERVICES-SEPT</v>
      </c>
    </row>
    <row r="480" spans="1:8" x14ac:dyDescent="0.25">
      <c r="A480" t="s">
        <v>166</v>
      </c>
      <c r="B480">
        <v>78995</v>
      </c>
      <c r="C480" s="2">
        <v>25</v>
      </c>
      <c r="D480" s="1">
        <v>43382</v>
      </c>
      <c r="E480" t="str">
        <f>"201809253886"</f>
        <v>201809253886</v>
      </c>
      <c r="F480" t="str">
        <f>"REFUND DRIVEWAY PERMIT"</f>
        <v>REFUND DRIVEWAY PERMIT</v>
      </c>
      <c r="G480" s="3">
        <v>25</v>
      </c>
      <c r="H480" t="str">
        <f>"REFUND DRIVEWAY PERMIT"</f>
        <v>REFUND DRIVEWAY PERMIT</v>
      </c>
    </row>
    <row r="481" spans="1:8" x14ac:dyDescent="0.25">
      <c r="A481" t="s">
        <v>167</v>
      </c>
      <c r="B481">
        <v>78996</v>
      </c>
      <c r="C481" s="2">
        <v>530.02</v>
      </c>
      <c r="D481" s="1">
        <v>43382</v>
      </c>
      <c r="E481" t="str">
        <f>"201810024108"</f>
        <v>201810024108</v>
      </c>
      <c r="F481" t="str">
        <f>"REIMBURSE HOTEL &amp; MILEAGE"</f>
        <v>REIMBURSE HOTEL &amp; MILEAGE</v>
      </c>
      <c r="G481" s="3">
        <v>530.02</v>
      </c>
      <c r="H481" t="str">
        <f>"REIMBURSE HOTEL &amp; MILEAGE"</f>
        <v>REIMBURSE HOTEL &amp; MILEAGE</v>
      </c>
    </row>
    <row r="482" spans="1:8" x14ac:dyDescent="0.25">
      <c r="E482" t="str">
        <f>""</f>
        <v/>
      </c>
      <c r="F482" t="str">
        <f>""</f>
        <v/>
      </c>
      <c r="H482" t="str">
        <f>"REIMBURSE HOTEL &amp; MILEAGE"</f>
        <v>REIMBURSE HOTEL &amp; MILEAGE</v>
      </c>
    </row>
    <row r="483" spans="1:8" x14ac:dyDescent="0.25">
      <c r="A483" t="s">
        <v>168</v>
      </c>
      <c r="B483">
        <v>999999</v>
      </c>
      <c r="C483" s="2">
        <v>702.5</v>
      </c>
      <c r="D483" s="1">
        <v>43383</v>
      </c>
      <c r="E483" t="str">
        <f>"201810024039"</f>
        <v>201810024039</v>
      </c>
      <c r="F483" t="str">
        <f>"16-17819"</f>
        <v>16-17819</v>
      </c>
      <c r="G483" s="3">
        <v>30</v>
      </c>
      <c r="H483" t="str">
        <f>"16-17819"</f>
        <v>16-17819</v>
      </c>
    </row>
    <row r="484" spans="1:8" x14ac:dyDescent="0.25">
      <c r="E484" t="str">
        <f>"201810024040"</f>
        <v>201810024040</v>
      </c>
      <c r="F484" t="str">
        <f>"17-18754"</f>
        <v>17-18754</v>
      </c>
      <c r="G484" s="3">
        <v>250</v>
      </c>
      <c r="H484" t="str">
        <f>"17-18754"</f>
        <v>17-18754</v>
      </c>
    </row>
    <row r="485" spans="1:8" x14ac:dyDescent="0.25">
      <c r="E485" t="str">
        <f>"201810024041"</f>
        <v>201810024041</v>
      </c>
      <c r="F485" t="str">
        <f>"18-18990"</f>
        <v>18-18990</v>
      </c>
      <c r="G485" s="3">
        <v>175</v>
      </c>
      <c r="H485" t="str">
        <f>"18-18990"</f>
        <v>18-18990</v>
      </c>
    </row>
    <row r="486" spans="1:8" x14ac:dyDescent="0.25">
      <c r="E486" t="str">
        <f>"201810024042"</f>
        <v>201810024042</v>
      </c>
      <c r="F486" t="str">
        <f>"17-18637"</f>
        <v>17-18637</v>
      </c>
      <c r="G486" s="3">
        <v>247.5</v>
      </c>
      <c r="H486" t="str">
        <f>"17-18637"</f>
        <v>17-18637</v>
      </c>
    </row>
    <row r="487" spans="1:8" x14ac:dyDescent="0.25">
      <c r="A487" t="s">
        <v>168</v>
      </c>
      <c r="B487">
        <v>999999</v>
      </c>
      <c r="C487" s="2">
        <v>1755</v>
      </c>
      <c r="D487" s="1">
        <v>43396</v>
      </c>
      <c r="E487" t="str">
        <f>"201810164563"</f>
        <v>201810164563</v>
      </c>
      <c r="F487" t="str">
        <f>"17-18637"</f>
        <v>17-18637</v>
      </c>
      <c r="G487" s="3">
        <v>1140</v>
      </c>
      <c r="H487" t="str">
        <f>"17-18637"</f>
        <v>17-18637</v>
      </c>
    </row>
    <row r="488" spans="1:8" x14ac:dyDescent="0.25">
      <c r="E488" t="str">
        <f>"201810164564"</f>
        <v>201810164564</v>
      </c>
      <c r="F488" t="str">
        <f>"18-18941"</f>
        <v>18-18941</v>
      </c>
      <c r="G488" s="3">
        <v>202.5</v>
      </c>
      <c r="H488" t="str">
        <f>"18-18941"</f>
        <v>18-18941</v>
      </c>
    </row>
    <row r="489" spans="1:8" x14ac:dyDescent="0.25">
      <c r="E489" t="str">
        <f>"201810164565"</f>
        <v>201810164565</v>
      </c>
      <c r="F489" t="str">
        <f>"15-17513"</f>
        <v>15-17513</v>
      </c>
      <c r="G489" s="3">
        <v>112.5</v>
      </c>
      <c r="H489" t="str">
        <f>"15-17513"</f>
        <v>15-17513</v>
      </c>
    </row>
    <row r="490" spans="1:8" x14ac:dyDescent="0.25">
      <c r="E490" t="str">
        <f>"201810164566"</f>
        <v>201810164566</v>
      </c>
      <c r="F490" t="str">
        <f>"17-18392"</f>
        <v>17-18392</v>
      </c>
      <c r="G490" s="3">
        <v>300</v>
      </c>
      <c r="H490" t="str">
        <f>"17-18392"</f>
        <v>17-18392</v>
      </c>
    </row>
    <row r="491" spans="1:8" x14ac:dyDescent="0.25">
      <c r="A491" t="s">
        <v>169</v>
      </c>
      <c r="B491">
        <v>78997</v>
      </c>
      <c r="C491" s="2">
        <v>1673.11</v>
      </c>
      <c r="D491" s="1">
        <v>43382</v>
      </c>
      <c r="E491" t="str">
        <f>"10267742874"</f>
        <v>10267742874</v>
      </c>
      <c r="F491" t="str">
        <f>"1025784196343"</f>
        <v>1025784196343</v>
      </c>
      <c r="G491" s="3">
        <v>1673.11</v>
      </c>
      <c r="H491" t="str">
        <f>"Latitude 7490"</f>
        <v>Latitude 7490</v>
      </c>
    </row>
    <row r="492" spans="1:8" x14ac:dyDescent="0.25">
      <c r="A492" t="s">
        <v>170</v>
      </c>
      <c r="B492">
        <v>999999</v>
      </c>
      <c r="C492" s="2">
        <v>1530</v>
      </c>
      <c r="D492" s="1">
        <v>43396</v>
      </c>
      <c r="E492" t="str">
        <f>"BATX015664"</f>
        <v>BATX015664</v>
      </c>
      <c r="F492" t="str">
        <f>"INV BATX015664"</f>
        <v>INV BATX015664</v>
      </c>
      <c r="G492" s="3">
        <v>1530</v>
      </c>
      <c r="H492" t="str">
        <f>"INV BATX015664"</f>
        <v>INV BATX015664</v>
      </c>
    </row>
    <row r="493" spans="1:8" x14ac:dyDescent="0.25">
      <c r="A493" t="s">
        <v>171</v>
      </c>
      <c r="B493">
        <v>78998</v>
      </c>
      <c r="C493" s="2">
        <v>614.67999999999995</v>
      </c>
      <c r="D493" s="1">
        <v>43382</v>
      </c>
      <c r="E493" t="str">
        <f>"201810024148"</f>
        <v>201810024148</v>
      </c>
      <c r="F493" t="str">
        <f>"INDIGENT HEALTH"</f>
        <v>INDIGENT HEALTH</v>
      </c>
      <c r="G493" s="3">
        <v>614.67999999999995</v>
      </c>
      <c r="H493" t="str">
        <f>"INDIGENT HEALTH"</f>
        <v>INDIGENT HEALTH</v>
      </c>
    </row>
    <row r="494" spans="1:8" x14ac:dyDescent="0.25">
      <c r="E494" t="str">
        <f>""</f>
        <v/>
      </c>
      <c r="F494" t="str">
        <f>""</f>
        <v/>
      </c>
      <c r="H494" t="str">
        <f>"INDIGENT HEALTH"</f>
        <v>INDIGENT HEALTH</v>
      </c>
    </row>
    <row r="495" spans="1:8" x14ac:dyDescent="0.25">
      <c r="A495" t="s">
        <v>172</v>
      </c>
      <c r="B495">
        <v>78999</v>
      </c>
      <c r="C495" s="2">
        <v>475</v>
      </c>
      <c r="D495" s="1">
        <v>43382</v>
      </c>
      <c r="E495" t="str">
        <f>"24796"</f>
        <v>24796</v>
      </c>
      <c r="F495" t="str">
        <f>"INV 24796"</f>
        <v>INV 24796</v>
      </c>
      <c r="G495" s="3">
        <v>15</v>
      </c>
      <c r="H495" t="str">
        <f>"INV 24796"</f>
        <v>INV 24796</v>
      </c>
    </row>
    <row r="496" spans="1:8" x14ac:dyDescent="0.25">
      <c r="E496" t="str">
        <f>"24797"</f>
        <v>24797</v>
      </c>
      <c r="F496" t="str">
        <f>"INV 24797"</f>
        <v>INV 24797</v>
      </c>
      <c r="G496" s="3">
        <v>400</v>
      </c>
      <c r="H496" t="str">
        <f>"INV 24797"</f>
        <v>INV 24797</v>
      </c>
    </row>
    <row r="497" spans="1:8" x14ac:dyDescent="0.25">
      <c r="E497" t="str">
        <f>"24855"</f>
        <v>24855</v>
      </c>
      <c r="F497" t="str">
        <f>"INV 24855"</f>
        <v>INV 24855</v>
      </c>
      <c r="G497" s="3">
        <v>60</v>
      </c>
      <c r="H497" t="str">
        <f>"INV 24855"</f>
        <v>INV 24855</v>
      </c>
    </row>
    <row r="498" spans="1:8" x14ac:dyDescent="0.25">
      <c r="A498" t="s">
        <v>173</v>
      </c>
      <c r="B498">
        <v>79000</v>
      </c>
      <c r="C498" s="2">
        <v>2360.04</v>
      </c>
      <c r="D498" s="1">
        <v>43382</v>
      </c>
      <c r="E498" t="str">
        <f>"18081120N"</f>
        <v>18081120N</v>
      </c>
      <c r="F498" t="str">
        <f>"CUST#PKE5000/08/01-08/31"</f>
        <v>CUST#PKE5000/08/01-08/31</v>
      </c>
      <c r="G498" s="3">
        <v>2360.04</v>
      </c>
      <c r="H498" t="str">
        <f>"CUST#PKE5000/08/01-08/31"</f>
        <v>CUST#PKE5000/08/01-08/31</v>
      </c>
    </row>
    <row r="499" spans="1:8" x14ac:dyDescent="0.25">
      <c r="E499" t="str">
        <f>""</f>
        <v/>
      </c>
      <c r="F499" t="str">
        <f>""</f>
        <v/>
      </c>
      <c r="H499" t="str">
        <f>"CUST#PKE5000/08/01-08/31"</f>
        <v>CUST#PKE5000/08/01-08/31</v>
      </c>
    </row>
    <row r="500" spans="1:8" x14ac:dyDescent="0.25">
      <c r="A500" t="s">
        <v>174</v>
      </c>
      <c r="B500">
        <v>79221</v>
      </c>
      <c r="C500" s="2">
        <v>1839.13</v>
      </c>
      <c r="D500" s="1">
        <v>43395</v>
      </c>
      <c r="E500" t="str">
        <f>"102547"</f>
        <v>102547</v>
      </c>
      <c r="F500" t="str">
        <f>"inv# 102547"</f>
        <v>inv# 102547</v>
      </c>
      <c r="G500" s="3">
        <v>250.1</v>
      </c>
      <c r="H500" t="str">
        <f>"inv# 102547"</f>
        <v>inv# 102547</v>
      </c>
    </row>
    <row r="501" spans="1:8" x14ac:dyDescent="0.25">
      <c r="E501" t="str">
        <f>"102932"</f>
        <v>102932</v>
      </c>
      <c r="F501" t="str">
        <f>"inv# 102932"</f>
        <v>inv# 102932</v>
      </c>
      <c r="G501" s="3">
        <v>1589.03</v>
      </c>
      <c r="H501" t="str">
        <f>"inv# 102932"</f>
        <v>inv# 102932</v>
      </c>
    </row>
    <row r="502" spans="1:8" x14ac:dyDescent="0.25">
      <c r="A502" t="s">
        <v>175</v>
      </c>
      <c r="B502">
        <v>79001</v>
      </c>
      <c r="C502" s="2">
        <v>302.10000000000002</v>
      </c>
      <c r="D502" s="1">
        <v>43382</v>
      </c>
      <c r="E502" t="str">
        <f>"1589"</f>
        <v>1589</v>
      </c>
      <c r="F502" t="str">
        <f>"INV 1589"</f>
        <v>INV 1589</v>
      </c>
      <c r="G502" s="3">
        <v>302.10000000000002</v>
      </c>
      <c r="H502" t="str">
        <f>"INV 1589"</f>
        <v>INV 1589</v>
      </c>
    </row>
    <row r="503" spans="1:8" x14ac:dyDescent="0.25">
      <c r="E503" t="str">
        <f>""</f>
        <v/>
      </c>
      <c r="F503" t="str">
        <f>""</f>
        <v/>
      </c>
      <c r="H503" t="str">
        <f>"INV 1589"</f>
        <v>INV 1589</v>
      </c>
    </row>
    <row r="504" spans="1:8" x14ac:dyDescent="0.25">
      <c r="A504" t="s">
        <v>176</v>
      </c>
      <c r="B504">
        <v>79002</v>
      </c>
      <c r="C504" s="2">
        <v>195</v>
      </c>
      <c r="D504" s="1">
        <v>43382</v>
      </c>
      <c r="E504" t="str">
        <f>"201810034171"</f>
        <v>201810034171</v>
      </c>
      <c r="F504" t="str">
        <f>"1306-04092018-2328-2511"</f>
        <v>1306-04092018-2328-2511</v>
      </c>
      <c r="G504" s="3">
        <v>195</v>
      </c>
      <c r="H504" t="str">
        <f>"1306-04092018-2328-2511"</f>
        <v>1306-04092018-2328-2511</v>
      </c>
    </row>
    <row r="505" spans="1:8" x14ac:dyDescent="0.25">
      <c r="A505" t="s">
        <v>177</v>
      </c>
      <c r="B505">
        <v>78877</v>
      </c>
      <c r="C505" s="2">
        <v>749.4</v>
      </c>
      <c r="D505" s="1">
        <v>43376</v>
      </c>
      <c r="E505" t="str">
        <f>"201810034221"</f>
        <v>201810034221</v>
      </c>
      <c r="F505" t="str">
        <f>"ACCT#405900029213/10012018"</f>
        <v>ACCT#405900029213/10012018</v>
      </c>
      <c r="G505" s="3">
        <v>374.7</v>
      </c>
      <c r="H505" t="str">
        <f>"ACCT#405900029213/10012018"</f>
        <v>ACCT#405900029213/10012018</v>
      </c>
    </row>
    <row r="506" spans="1:8" x14ac:dyDescent="0.25">
      <c r="E506" t="str">
        <f>"201810034222"</f>
        <v>201810034222</v>
      </c>
      <c r="F506" t="str">
        <f>"ACCT#405900029225/10012018"</f>
        <v>ACCT#405900029225/10012018</v>
      </c>
      <c r="G506" s="3">
        <v>187.35</v>
      </c>
      <c r="H506" t="str">
        <f>"ACCT#405900029225/10012018"</f>
        <v>ACCT#405900029225/10012018</v>
      </c>
    </row>
    <row r="507" spans="1:8" x14ac:dyDescent="0.25">
      <c r="E507" t="str">
        <f>"201810034223"</f>
        <v>201810034223</v>
      </c>
      <c r="F507" t="str">
        <f>"ACCT#405900028789/10012018"</f>
        <v>ACCT#405900028789/10012018</v>
      </c>
      <c r="G507" s="3">
        <v>187.35</v>
      </c>
      <c r="H507" t="str">
        <f>"ACCT#405900028789/10012018"</f>
        <v>ACCT#405900028789/10012018</v>
      </c>
    </row>
    <row r="508" spans="1:8" x14ac:dyDescent="0.25">
      <c r="A508" t="s">
        <v>177</v>
      </c>
      <c r="B508">
        <v>79372</v>
      </c>
      <c r="C508" s="2">
        <v>749.4</v>
      </c>
      <c r="D508" s="1">
        <v>43397</v>
      </c>
      <c r="E508" t="str">
        <f>"201810244650"</f>
        <v>201810244650</v>
      </c>
      <c r="F508" t="str">
        <f>"ACCT#405900029213/11012018"</f>
        <v>ACCT#405900029213/11012018</v>
      </c>
      <c r="G508" s="3">
        <v>374.7</v>
      </c>
      <c r="H508" t="str">
        <f>"ACCT#405900029213/11012018"</f>
        <v>ACCT#405900029213/11012018</v>
      </c>
    </row>
    <row r="509" spans="1:8" x14ac:dyDescent="0.25">
      <c r="E509" t="str">
        <f>"201810244651"</f>
        <v>201810244651</v>
      </c>
      <c r="F509" t="str">
        <f>"ACCT#405900029225/11012018"</f>
        <v>ACCT#405900029225/11012018</v>
      </c>
      <c r="G509" s="3">
        <v>187.35</v>
      </c>
      <c r="H509" t="str">
        <f>"ACCT#405900029225/11012018"</f>
        <v>ACCT#405900029225/11012018</v>
      </c>
    </row>
    <row r="510" spans="1:8" x14ac:dyDescent="0.25">
      <c r="E510" t="str">
        <f>"201810244652"</f>
        <v>201810244652</v>
      </c>
      <c r="F510" t="str">
        <f>"ACCT#405900028789/11012018"</f>
        <v>ACCT#405900028789/11012018</v>
      </c>
      <c r="G510" s="3">
        <v>187.35</v>
      </c>
      <c r="H510" t="str">
        <f>"ACCT#405900028789/11012018"</f>
        <v>ACCT#405900028789/11012018</v>
      </c>
    </row>
    <row r="511" spans="1:8" x14ac:dyDescent="0.25">
      <c r="A511" t="s">
        <v>178</v>
      </c>
      <c r="B511">
        <v>79003</v>
      </c>
      <c r="C511" s="2">
        <v>4883.25</v>
      </c>
      <c r="D511" s="1">
        <v>43382</v>
      </c>
      <c r="E511" t="str">
        <f>"28542A"</f>
        <v>28542A</v>
      </c>
      <c r="F511" t="str">
        <f>"INV 28542A"</f>
        <v>INV 28542A</v>
      </c>
      <c r="G511" s="3">
        <v>4883.25</v>
      </c>
      <c r="H511" t="str">
        <f>"INV 28542A"</f>
        <v>INV 28542A</v>
      </c>
    </row>
    <row r="512" spans="1:8" x14ac:dyDescent="0.25">
      <c r="A512" t="s">
        <v>179</v>
      </c>
      <c r="B512">
        <v>999999</v>
      </c>
      <c r="C512" s="2">
        <v>2637.5</v>
      </c>
      <c r="D512" s="1">
        <v>43383</v>
      </c>
      <c r="E512" t="str">
        <f>"201809253888"</f>
        <v>201809253888</v>
      </c>
      <c r="F512" t="str">
        <f>"18-18960"</f>
        <v>18-18960</v>
      </c>
      <c r="G512" s="3">
        <v>187.5</v>
      </c>
      <c r="H512" t="str">
        <f>"18-18960"</f>
        <v>18-18960</v>
      </c>
    </row>
    <row r="513" spans="1:8" x14ac:dyDescent="0.25">
      <c r="E513" t="str">
        <f>"201809273951"</f>
        <v>201809273951</v>
      </c>
      <c r="F513" t="str">
        <f>"16321"</f>
        <v>16321</v>
      </c>
      <c r="G513" s="3">
        <v>400</v>
      </c>
      <c r="H513" t="str">
        <f>"16321"</f>
        <v>16321</v>
      </c>
    </row>
    <row r="514" spans="1:8" x14ac:dyDescent="0.25">
      <c r="E514" t="str">
        <f>"201809283969"</f>
        <v>201809283969</v>
      </c>
      <c r="F514" t="str">
        <f>"1JP7918B  933-335"</f>
        <v>1JP7918B  933-335</v>
      </c>
      <c r="G514" s="3">
        <v>100</v>
      </c>
      <c r="H514" t="str">
        <f>"1JP7918B  933-335"</f>
        <v>1JP7918B  933-335</v>
      </c>
    </row>
    <row r="515" spans="1:8" x14ac:dyDescent="0.25">
      <c r="E515" t="str">
        <f>"201809283970"</f>
        <v>201809283970</v>
      </c>
      <c r="F515" t="str">
        <f>"DCPC-18-132  423-6022"</f>
        <v>DCPC-18-132  423-6022</v>
      </c>
      <c r="G515" s="3">
        <v>100</v>
      </c>
      <c r="H515" t="str">
        <f>"DCPC-18-132  423-6022"</f>
        <v>DCPC-18-132  423-6022</v>
      </c>
    </row>
    <row r="516" spans="1:8" x14ac:dyDescent="0.25">
      <c r="E516" t="str">
        <f>"201810024058"</f>
        <v>201810024058</v>
      </c>
      <c r="F516" t="str">
        <f>"55745  TX4XUI0SFHGJ"</f>
        <v>55745  TX4XUI0SFHGJ</v>
      </c>
      <c r="G516" s="3">
        <v>375</v>
      </c>
      <c r="H516" t="str">
        <f>"55745  TX4XUI0SFHGJ"</f>
        <v>55745  TX4XUI0SFHGJ</v>
      </c>
    </row>
    <row r="517" spans="1:8" x14ac:dyDescent="0.25">
      <c r="E517" t="str">
        <f>"201810024086"</f>
        <v>201810024086</v>
      </c>
      <c r="F517" t="str">
        <f>"18-18960"</f>
        <v>18-18960</v>
      </c>
      <c r="G517" s="3">
        <v>550</v>
      </c>
      <c r="H517" t="str">
        <f>"18-18960"</f>
        <v>18-18960</v>
      </c>
    </row>
    <row r="518" spans="1:8" x14ac:dyDescent="0.25">
      <c r="E518" t="str">
        <f>"201810024089"</f>
        <v>201810024089</v>
      </c>
      <c r="F518" t="str">
        <f>"17-18764"</f>
        <v>17-18764</v>
      </c>
      <c r="G518" s="3">
        <v>175</v>
      </c>
      <c r="H518" t="str">
        <f>"17-18764"</f>
        <v>17-18764</v>
      </c>
    </row>
    <row r="519" spans="1:8" x14ac:dyDescent="0.25">
      <c r="E519" t="str">
        <f>"201810024090"</f>
        <v>201810024090</v>
      </c>
      <c r="F519" t="str">
        <f>"17-18493"</f>
        <v>17-18493</v>
      </c>
      <c r="G519" s="3">
        <v>212.5</v>
      </c>
      <c r="H519" t="str">
        <f>"17-18493"</f>
        <v>17-18493</v>
      </c>
    </row>
    <row r="520" spans="1:8" x14ac:dyDescent="0.25">
      <c r="E520" t="str">
        <f>"201810024091"</f>
        <v>201810024091</v>
      </c>
      <c r="F520" t="str">
        <f>"18-19239"</f>
        <v>18-19239</v>
      </c>
      <c r="G520" s="3">
        <v>287.5</v>
      </c>
      <c r="H520" t="str">
        <f>"18-19239"</f>
        <v>18-19239</v>
      </c>
    </row>
    <row r="521" spans="1:8" x14ac:dyDescent="0.25">
      <c r="E521" t="str">
        <f>"201810024094"</f>
        <v>201810024094</v>
      </c>
      <c r="F521" t="str">
        <f>"J-3158"</f>
        <v>J-3158</v>
      </c>
      <c r="G521" s="3">
        <v>250</v>
      </c>
      <c r="H521" t="str">
        <f>"J-3158"</f>
        <v>J-3158</v>
      </c>
    </row>
    <row r="522" spans="1:8" x14ac:dyDescent="0.25">
      <c r="A522" t="s">
        <v>179</v>
      </c>
      <c r="B522">
        <v>999999</v>
      </c>
      <c r="C522" s="2">
        <v>5812.5</v>
      </c>
      <c r="D522" s="1">
        <v>43396</v>
      </c>
      <c r="E522" t="str">
        <f>"201810124483"</f>
        <v>201810124483</v>
      </c>
      <c r="F522" t="str">
        <f>"423-4038"</f>
        <v>423-4038</v>
      </c>
      <c r="G522" s="3">
        <v>212.5</v>
      </c>
      <c r="H522" t="str">
        <f>"423-4038"</f>
        <v>423-4038</v>
      </c>
    </row>
    <row r="523" spans="1:8" x14ac:dyDescent="0.25">
      <c r="E523" t="str">
        <f>"201810124484"</f>
        <v>201810124484</v>
      </c>
      <c r="F523" t="str">
        <f>"16125  16281"</f>
        <v>16125  16281</v>
      </c>
      <c r="G523" s="3">
        <v>2000</v>
      </c>
      <c r="H523" t="str">
        <f>"16125  16281"</f>
        <v>16125  16281</v>
      </c>
    </row>
    <row r="524" spans="1:8" x14ac:dyDescent="0.25">
      <c r="E524" t="str">
        <f>"201810124485"</f>
        <v>201810124485</v>
      </c>
      <c r="F524" t="str">
        <f>"955-21  956-335"</f>
        <v>955-21  956-335</v>
      </c>
      <c r="G524" s="3">
        <v>200</v>
      </c>
      <c r="H524" t="str">
        <f>"955-21  956-335"</f>
        <v>955-21  956-335</v>
      </c>
    </row>
    <row r="525" spans="1:8" x14ac:dyDescent="0.25">
      <c r="E525" t="str">
        <f>"201810124486"</f>
        <v>201810124486</v>
      </c>
      <c r="F525" t="str">
        <f>"14599"</f>
        <v>14599</v>
      </c>
      <c r="G525" s="3">
        <v>400</v>
      </c>
      <c r="H525" t="str">
        <f>"14599"</f>
        <v>14599</v>
      </c>
    </row>
    <row r="526" spans="1:8" x14ac:dyDescent="0.25">
      <c r="E526" t="str">
        <f>"201810124487"</f>
        <v>201810124487</v>
      </c>
      <c r="F526" t="str">
        <f>"14989"</f>
        <v>14989</v>
      </c>
      <c r="G526" s="3">
        <v>400</v>
      </c>
      <c r="H526" t="str">
        <f>"14989"</f>
        <v>14989</v>
      </c>
    </row>
    <row r="527" spans="1:8" x14ac:dyDescent="0.25">
      <c r="E527" t="str">
        <f>"201810164536"</f>
        <v>201810164536</v>
      </c>
      <c r="F527" t="str">
        <f>"17-18119"</f>
        <v>17-18119</v>
      </c>
      <c r="G527" s="3">
        <v>175</v>
      </c>
      <c r="H527" t="str">
        <f>"17-18119"</f>
        <v>17-18119</v>
      </c>
    </row>
    <row r="528" spans="1:8" x14ac:dyDescent="0.25">
      <c r="E528" t="str">
        <f>"201810164555"</f>
        <v>201810164555</v>
      </c>
      <c r="F528" t="str">
        <f>"17-S-05055  -2CTS"</f>
        <v>17-S-05055  -2CTS</v>
      </c>
      <c r="G528" s="3">
        <v>375</v>
      </c>
      <c r="H528" t="str">
        <f>"17-S-05055  -2CTS"</f>
        <v>17-S-05055  -2CTS</v>
      </c>
    </row>
    <row r="529" spans="1:8" x14ac:dyDescent="0.25">
      <c r="E529" t="str">
        <f>"201810164556"</f>
        <v>201810164556</v>
      </c>
      <c r="F529" t="str">
        <f>"18-19292"</f>
        <v>18-19292</v>
      </c>
      <c r="G529" s="3">
        <v>100</v>
      </c>
      <c r="H529" t="str">
        <f>"18-19292"</f>
        <v>18-19292</v>
      </c>
    </row>
    <row r="530" spans="1:8" x14ac:dyDescent="0.25">
      <c r="E530" t="str">
        <f>"201810164574"</f>
        <v>201810164574</v>
      </c>
      <c r="F530" t="str">
        <f>"307182018H"</f>
        <v>307182018H</v>
      </c>
      <c r="G530" s="3">
        <v>250</v>
      </c>
      <c r="H530" t="str">
        <f>"307182018H"</f>
        <v>307182018H</v>
      </c>
    </row>
    <row r="531" spans="1:8" x14ac:dyDescent="0.25">
      <c r="E531" t="str">
        <f>"201810164575"</f>
        <v>201810164575</v>
      </c>
      <c r="F531" t="str">
        <f>"56464-56469"</f>
        <v>56464-56469</v>
      </c>
      <c r="G531" s="3">
        <v>875</v>
      </c>
      <c r="H531" t="str">
        <f>"56464-56469"</f>
        <v>56464-56469</v>
      </c>
    </row>
    <row r="532" spans="1:8" x14ac:dyDescent="0.25">
      <c r="E532" t="str">
        <f>"201810164576"</f>
        <v>201810164576</v>
      </c>
      <c r="F532" t="str">
        <f>"10-13856"</f>
        <v>10-13856</v>
      </c>
      <c r="G532" s="3">
        <v>100</v>
      </c>
      <c r="H532" t="str">
        <f>"10-13856"</f>
        <v>10-13856</v>
      </c>
    </row>
    <row r="533" spans="1:8" x14ac:dyDescent="0.25">
      <c r="E533" t="str">
        <f>"201810164577"</f>
        <v>201810164577</v>
      </c>
      <c r="F533" t="str">
        <f>"06-11263"</f>
        <v>06-11263</v>
      </c>
      <c r="G533" s="3">
        <v>175</v>
      </c>
      <c r="H533" t="str">
        <f>"06-11263"</f>
        <v>06-11263</v>
      </c>
    </row>
    <row r="534" spans="1:8" x14ac:dyDescent="0.25">
      <c r="E534" t="str">
        <f>"201810164586"</f>
        <v>201810164586</v>
      </c>
      <c r="F534" t="str">
        <f>"3071822018A"</f>
        <v>3071822018A</v>
      </c>
      <c r="G534" s="3">
        <v>400</v>
      </c>
      <c r="H534" t="str">
        <f>"3071822018A"</f>
        <v>3071822018A</v>
      </c>
    </row>
    <row r="535" spans="1:8" x14ac:dyDescent="0.25">
      <c r="E535" t="str">
        <f>"201810164587"</f>
        <v>201810164587</v>
      </c>
      <c r="F535" t="str">
        <f>"DUSTIN WEST"</f>
        <v>DUSTIN WEST</v>
      </c>
      <c r="G535" s="3">
        <v>150</v>
      </c>
      <c r="H535" t="str">
        <f>"DUSTIN WEST"</f>
        <v>DUSTIN WEST</v>
      </c>
    </row>
    <row r="536" spans="1:8" x14ac:dyDescent="0.25">
      <c r="A536" t="s">
        <v>180</v>
      </c>
      <c r="B536">
        <v>79222</v>
      </c>
      <c r="C536" s="2">
        <v>5616</v>
      </c>
      <c r="D536" s="1">
        <v>43395</v>
      </c>
      <c r="E536" t="str">
        <f>"15- 1353"</f>
        <v>15- 1353</v>
      </c>
      <c r="F536" t="str">
        <f>"ROAD BASE/PCT#3"</f>
        <v>ROAD BASE/PCT#3</v>
      </c>
      <c r="G536" s="3">
        <v>2160</v>
      </c>
      <c r="H536" t="str">
        <f>"ROAD BASE/PCT#3"</f>
        <v>ROAD BASE/PCT#3</v>
      </c>
    </row>
    <row r="537" spans="1:8" x14ac:dyDescent="0.25">
      <c r="E537" t="str">
        <f>"15-1353"</f>
        <v>15-1353</v>
      </c>
      <c r="F537" t="str">
        <f>"ROAD BASE/PCT#3"</f>
        <v>ROAD BASE/PCT#3</v>
      </c>
      <c r="G537" s="3">
        <v>3456</v>
      </c>
      <c r="H537" t="str">
        <f>"ROAD BASE/PCT#3"</f>
        <v>ROAD BASE/PCT#3</v>
      </c>
    </row>
    <row r="538" spans="1:8" x14ac:dyDescent="0.25">
      <c r="A538" t="s">
        <v>181</v>
      </c>
      <c r="B538">
        <v>999999</v>
      </c>
      <c r="C538" s="2">
        <v>1373.52</v>
      </c>
      <c r="D538" s="1">
        <v>43383</v>
      </c>
      <c r="E538" t="str">
        <f>"0953092"</f>
        <v>0953092</v>
      </c>
      <c r="F538" t="str">
        <f>"INV 0953092"</f>
        <v>INV 0953092</v>
      </c>
      <c r="G538" s="3">
        <v>1373.52</v>
      </c>
      <c r="H538" t="str">
        <f>"INV 0953092"</f>
        <v>INV 0953092</v>
      </c>
    </row>
    <row r="539" spans="1:8" x14ac:dyDescent="0.25">
      <c r="A539" t="s">
        <v>181</v>
      </c>
      <c r="B539">
        <v>999999</v>
      </c>
      <c r="C539" s="2">
        <v>1780.73</v>
      </c>
      <c r="D539" s="1">
        <v>43396</v>
      </c>
      <c r="E539" t="str">
        <f>"1138466"</f>
        <v>1138466</v>
      </c>
      <c r="F539" t="str">
        <f>"INV 1138466"</f>
        <v>INV 1138466</v>
      </c>
      <c r="G539" s="3">
        <v>1780.73</v>
      </c>
      <c r="H539" t="str">
        <f>"INV 1138466"</f>
        <v>INV 1138466</v>
      </c>
    </row>
    <row r="540" spans="1:8" x14ac:dyDescent="0.25">
      <c r="A540" t="s">
        <v>182</v>
      </c>
      <c r="B540">
        <v>79004</v>
      </c>
      <c r="C540" s="2">
        <v>34665.370000000003</v>
      </c>
      <c r="D540" s="1">
        <v>43382</v>
      </c>
      <c r="E540" t="str">
        <f>"1060224"</f>
        <v>1060224</v>
      </c>
      <c r="F540" t="str">
        <f>"ACCT#B06875/ORD#1157742/ELECT"</f>
        <v>ACCT#B06875/ORD#1157742/ELECT</v>
      </c>
      <c r="G540" s="3">
        <v>992.25</v>
      </c>
      <c r="H540" t="str">
        <f>"ACCT#B06875/ORD#1157742/ELECT"</f>
        <v>ACCT#B06875/ORD#1157742/ELECT</v>
      </c>
    </row>
    <row r="541" spans="1:8" x14ac:dyDescent="0.25">
      <c r="E541" t="str">
        <f>"201810034177"</f>
        <v>201810034177</v>
      </c>
      <c r="F541" t="str">
        <f>"ExpressVote Software"</f>
        <v>ExpressVote Software</v>
      </c>
      <c r="G541" s="3">
        <v>33673.120000000003</v>
      </c>
      <c r="H541" t="str">
        <f>"Payment 1"</f>
        <v>Payment 1</v>
      </c>
    </row>
    <row r="542" spans="1:8" x14ac:dyDescent="0.25">
      <c r="A542" t="s">
        <v>182</v>
      </c>
      <c r="B542">
        <v>79223</v>
      </c>
      <c r="C542" s="2">
        <v>21561.46</v>
      </c>
      <c r="D542" s="1">
        <v>43395</v>
      </c>
      <c r="E542" t="str">
        <f>"1064045"</f>
        <v>1064045</v>
      </c>
      <c r="F542" t="str">
        <f>"ACCT#B06875/ELECTIONS"</f>
        <v>ACCT#B06875/ELECTIONS</v>
      </c>
      <c r="G542" s="3">
        <v>5185.93</v>
      </c>
      <c r="H542" t="str">
        <f>"ACCT#B06875/ELECTIONS"</f>
        <v>ACCT#B06875/ELECTIONS</v>
      </c>
    </row>
    <row r="543" spans="1:8" x14ac:dyDescent="0.25">
      <c r="E543" t="str">
        <f>"1064250"</f>
        <v>1064250</v>
      </c>
      <c r="F543" t="str">
        <f>"ACCT#B06875/ORD#1161237/ELECT"</f>
        <v>ACCT#B06875/ORD#1161237/ELECT</v>
      </c>
      <c r="G543" s="3">
        <v>8816.81</v>
      </c>
      <c r="H543" t="str">
        <f>"ACCT#B06875/ORD#1161237/ELECT"</f>
        <v>ACCT#B06875/ORD#1161237/ELECT</v>
      </c>
    </row>
    <row r="544" spans="1:8" x14ac:dyDescent="0.25">
      <c r="E544" t="str">
        <f>"1064482"</f>
        <v>1064482</v>
      </c>
      <c r="F544" t="str">
        <f>"ACCT#B06875/ELECTIONS"</f>
        <v>ACCT#B06875/ELECTIONS</v>
      </c>
      <c r="G544" s="3">
        <v>7558.72</v>
      </c>
      <c r="H544" t="str">
        <f>"ACCT#B06875/ELECTIONS"</f>
        <v>ACCT#B06875/ELECTIONS</v>
      </c>
    </row>
    <row r="545" spans="1:8" x14ac:dyDescent="0.25">
      <c r="A545" t="s">
        <v>183</v>
      </c>
      <c r="B545">
        <v>79005</v>
      </c>
      <c r="C545" s="2">
        <v>7764.64</v>
      </c>
      <c r="D545" s="1">
        <v>43382</v>
      </c>
      <c r="E545" t="str">
        <f>"8714"</f>
        <v>8714</v>
      </c>
      <c r="F545" t="str">
        <f>"Ballot Carriers"</f>
        <v>Ballot Carriers</v>
      </c>
      <c r="G545" s="3">
        <v>7764.64</v>
      </c>
      <c r="H545" t="str">
        <f>"Ballot Carriers"</f>
        <v>Ballot Carriers</v>
      </c>
    </row>
    <row r="546" spans="1:8" x14ac:dyDescent="0.25">
      <c r="E546" t="str">
        <f>""</f>
        <v/>
      </c>
      <c r="F546" t="str">
        <f>""</f>
        <v/>
      </c>
      <c r="H546" t="str">
        <f>"Shipping &amp; Liftgate"</f>
        <v>Shipping &amp; Liftgate</v>
      </c>
    </row>
    <row r="547" spans="1:8" x14ac:dyDescent="0.25">
      <c r="A547" t="s">
        <v>184</v>
      </c>
      <c r="B547">
        <v>79224</v>
      </c>
      <c r="C547" s="2">
        <v>7000</v>
      </c>
      <c r="D547" s="1">
        <v>43395</v>
      </c>
      <c r="E547" t="str">
        <f>"201810124503"</f>
        <v>201810124503</v>
      </c>
      <c r="F547" t="str">
        <f>"2018-2019 FY FUNDS"</f>
        <v>2018-2019 FY FUNDS</v>
      </c>
      <c r="G547" s="3">
        <v>7000</v>
      </c>
      <c r="H547" t="str">
        <f>"2018-2019 FY FUNDS"</f>
        <v>2018-2019 FY FUNDS</v>
      </c>
    </row>
    <row r="548" spans="1:8" x14ac:dyDescent="0.25">
      <c r="A548" t="s">
        <v>185</v>
      </c>
      <c r="B548">
        <v>79225</v>
      </c>
      <c r="C548" s="2">
        <v>119.99</v>
      </c>
      <c r="D548" s="1">
        <v>43395</v>
      </c>
      <c r="E548" t="str">
        <f>"772537"</f>
        <v>772537</v>
      </c>
      <c r="F548" t="str">
        <f>"DRILLER/STATEMENT#11881/PCT#4"</f>
        <v>DRILLER/STATEMENT#11881/PCT#4</v>
      </c>
      <c r="G548" s="3">
        <v>119.99</v>
      </c>
      <c r="H548" t="str">
        <f>"DRILLER/STATEMENT#11881/PCT#4"</f>
        <v>DRILLER/STATEMENT#11881/PCT#4</v>
      </c>
    </row>
    <row r="549" spans="1:8" x14ac:dyDescent="0.25">
      <c r="A549" t="s">
        <v>186</v>
      </c>
      <c r="B549">
        <v>79226</v>
      </c>
      <c r="C549" s="2">
        <v>28.01</v>
      </c>
      <c r="D549" s="1">
        <v>43395</v>
      </c>
      <c r="E549" t="str">
        <f>"201810164527"</f>
        <v>201810164527</v>
      </c>
      <c r="F549" t="str">
        <f>"ARREST FEES 07/01-09/30"</f>
        <v>ARREST FEES 07/01-09/30</v>
      </c>
      <c r="G549" s="3">
        <v>28.01</v>
      </c>
      <c r="H549" t="str">
        <f>"ARREST FEES 07/01-09/30"</f>
        <v>ARREST FEES 07/01-09/30</v>
      </c>
    </row>
    <row r="550" spans="1:8" x14ac:dyDescent="0.25">
      <c r="A550" t="s">
        <v>187</v>
      </c>
      <c r="B550">
        <v>79160</v>
      </c>
      <c r="C550" s="2">
        <v>1255.17</v>
      </c>
      <c r="D550" s="1">
        <v>43383</v>
      </c>
      <c r="E550" t="str">
        <f>"201810104420"</f>
        <v>201810104420</v>
      </c>
      <c r="F550" t="str">
        <f>"ACCT#007-0008410-002/09302018"</f>
        <v>ACCT#007-0008410-002/09302018</v>
      </c>
      <c r="G550" s="3">
        <v>226.73</v>
      </c>
      <c r="H550" t="str">
        <f>"ACCT#007-0008410-002/09302018"</f>
        <v>ACCT#007-0008410-002/09302018</v>
      </c>
    </row>
    <row r="551" spans="1:8" x14ac:dyDescent="0.25">
      <c r="E551" t="str">
        <f>"201810104421"</f>
        <v>201810104421</v>
      </c>
      <c r="F551" t="str">
        <f>"ACCT#007-0011501-000/09302018"</f>
        <v>ACCT#007-0011501-000/09302018</v>
      </c>
      <c r="G551" s="3">
        <v>111.52</v>
      </c>
      <c r="H551" t="str">
        <f>"ACCT#007-0011501-000/09302018"</f>
        <v>ACCT#007-0011501-000/09302018</v>
      </c>
    </row>
    <row r="552" spans="1:8" x14ac:dyDescent="0.25">
      <c r="E552" t="str">
        <f>"201810104422"</f>
        <v>201810104422</v>
      </c>
      <c r="F552" t="str">
        <f>"ACCT#007-0011510-000/09302018"</f>
        <v>ACCT#007-0011510-000/09302018</v>
      </c>
      <c r="G552" s="3">
        <v>235.91</v>
      </c>
      <c r="H552" t="str">
        <f>"ACCT#007-0011510-000/09302018"</f>
        <v>ACCT#007-0011510-000/09302018</v>
      </c>
    </row>
    <row r="553" spans="1:8" x14ac:dyDescent="0.25">
      <c r="E553" t="str">
        <f>"201810104423"</f>
        <v>201810104423</v>
      </c>
      <c r="F553" t="str">
        <f>"ACCT#007-0011530-000/09302018"</f>
        <v>ACCT#007-0011530-000/09302018</v>
      </c>
      <c r="G553" s="3">
        <v>97.4</v>
      </c>
      <c r="H553" t="str">
        <f>"ACCT#007-0011530-000/09302018"</f>
        <v>ACCT#007-0011530-000/09302018</v>
      </c>
    </row>
    <row r="554" spans="1:8" x14ac:dyDescent="0.25">
      <c r="E554" t="str">
        <f>"201810104424"</f>
        <v>201810104424</v>
      </c>
      <c r="F554" t="str">
        <f>"ACCT#007-0011534-001/09303018"</f>
        <v>ACCT#007-0011534-001/09303018</v>
      </c>
      <c r="G554" s="3">
        <v>156.88</v>
      </c>
      <c r="H554" t="str">
        <f>"ACCT#007-0011534-001/09303018"</f>
        <v>ACCT#007-0011534-001/09303018</v>
      </c>
    </row>
    <row r="555" spans="1:8" x14ac:dyDescent="0.25">
      <c r="E555" t="str">
        <f>"201810104425"</f>
        <v>201810104425</v>
      </c>
      <c r="F555" t="str">
        <f>"ACCT#007-0011535-000/09302018"</f>
        <v>ACCT#007-0011535-000/09302018</v>
      </c>
      <c r="G555" s="3">
        <v>311.23</v>
      </c>
      <c r="H555" t="str">
        <f>"ACCT#007-0011535-000/09302018"</f>
        <v>ACCT#007-0011535-000/09302018</v>
      </c>
    </row>
    <row r="556" spans="1:8" x14ac:dyDescent="0.25">
      <c r="E556" t="str">
        <f>"201810104426"</f>
        <v>201810104426</v>
      </c>
      <c r="F556" t="str">
        <f>"ACCT#007-0011544-001/09302018"</f>
        <v>ACCT#007-0011544-001/09302018</v>
      </c>
      <c r="G556" s="3">
        <v>111.49</v>
      </c>
      <c r="H556" t="str">
        <f>"ACCT#007-0011544-001/09302018"</f>
        <v>ACCT#007-0011544-001/09302018</v>
      </c>
    </row>
    <row r="557" spans="1:8" x14ac:dyDescent="0.25">
      <c r="E557" t="str">
        <f>"201810104427"</f>
        <v>201810104427</v>
      </c>
      <c r="F557" t="str">
        <f>"ACCT#007-0071128-001/09302018"</f>
        <v>ACCT#007-0071128-001/09302018</v>
      </c>
      <c r="G557" s="3">
        <v>4.01</v>
      </c>
      <c r="H557" t="str">
        <f>"ACCT#007-0071128-001/09302018"</f>
        <v>ACCT#007-0071128-001/09302018</v>
      </c>
    </row>
    <row r="558" spans="1:8" x14ac:dyDescent="0.25">
      <c r="A558" t="s">
        <v>188</v>
      </c>
      <c r="B558">
        <v>79006</v>
      </c>
      <c r="C558" s="2">
        <v>26.24</v>
      </c>
      <c r="D558" s="1">
        <v>43382</v>
      </c>
      <c r="E558" t="str">
        <f>"145-21775-01"</f>
        <v>145-21775-01</v>
      </c>
      <c r="F558" t="str">
        <f>"ACCT#0888336/ANIMAL SHELTER"</f>
        <v>ACCT#0888336/ANIMAL SHELTER</v>
      </c>
      <c r="G558" s="3">
        <v>26.24</v>
      </c>
      <c r="H558" t="str">
        <f>"ACCT#0888336/ANIMAL SHELTER"</f>
        <v>ACCT#0888336/ANIMAL SHELTER</v>
      </c>
    </row>
    <row r="559" spans="1:8" x14ac:dyDescent="0.25">
      <c r="A559" t="s">
        <v>188</v>
      </c>
      <c r="B559">
        <v>79227</v>
      </c>
      <c r="C559" s="2">
        <v>70.84</v>
      </c>
      <c r="D559" s="1">
        <v>43395</v>
      </c>
      <c r="E559" t="str">
        <f>"145-21988-01"</f>
        <v>145-21988-01</v>
      </c>
      <c r="F559" t="str">
        <f>"CUST#0888336"</f>
        <v>CUST#0888336</v>
      </c>
      <c r="G559" s="3">
        <v>70.84</v>
      </c>
      <c r="H559" t="str">
        <f>"CUST#0888336"</f>
        <v>CUST#0888336</v>
      </c>
    </row>
    <row r="560" spans="1:8" x14ac:dyDescent="0.25">
      <c r="A560" t="s">
        <v>189</v>
      </c>
      <c r="B560">
        <v>79228</v>
      </c>
      <c r="C560" s="2">
        <v>1007.5</v>
      </c>
      <c r="D560" s="1">
        <v>43395</v>
      </c>
      <c r="E560" t="str">
        <f>"93530166"</f>
        <v>93530166</v>
      </c>
      <c r="F560" t="str">
        <f>"ENVIRONMENTAL SYSTEMS RESEARCH"</f>
        <v>ENVIRONMENTAL SYSTEMS RESEARCH</v>
      </c>
      <c r="G560" s="3">
        <v>1007.5</v>
      </c>
      <c r="H560" t="str">
        <f>"Primary Maintenance"</f>
        <v>Primary Maintenance</v>
      </c>
    </row>
    <row r="561" spans="1:9" x14ac:dyDescent="0.25">
      <c r="E561" t="str">
        <f>""</f>
        <v/>
      </c>
      <c r="F561" t="str">
        <f>""</f>
        <v/>
      </c>
      <c r="H561" t="str">
        <f>"Secondary"</f>
        <v>Secondary</v>
      </c>
    </row>
    <row r="562" spans="1:9" x14ac:dyDescent="0.25">
      <c r="A562" t="s">
        <v>190</v>
      </c>
      <c r="B562">
        <v>79007</v>
      </c>
      <c r="C562" s="2">
        <v>4998.16</v>
      </c>
      <c r="D562" s="1">
        <v>43382</v>
      </c>
      <c r="E562" t="str">
        <f>"9401925148"</f>
        <v>9401925148</v>
      </c>
      <c r="F562" t="str">
        <f>"ACCT#912923/BOL#23453/PCT#4"</f>
        <v>ACCT#912923/BOL#23453/PCT#4</v>
      </c>
      <c r="G562" s="3">
        <v>4998.16</v>
      </c>
      <c r="H562" t="str">
        <f>"ACCT#912923/BOL#23453/PCT#4"</f>
        <v>ACCT#912923/BOL#23453/PCT#4</v>
      </c>
    </row>
    <row r="563" spans="1:9" x14ac:dyDescent="0.25">
      <c r="A563" t="s">
        <v>190</v>
      </c>
      <c r="B563">
        <v>79229</v>
      </c>
      <c r="C563" s="2">
        <v>17627.59</v>
      </c>
      <c r="D563" s="1">
        <v>43395</v>
      </c>
      <c r="E563" t="str">
        <f>"9401938506"</f>
        <v>9401938506</v>
      </c>
      <c r="F563" t="str">
        <f>"ACCT#912922/BOL#23560/PCT#1"</f>
        <v>ACCT#912922/BOL#23560/PCT#1</v>
      </c>
      <c r="G563" s="3">
        <v>4278.13</v>
      </c>
      <c r="H563" t="str">
        <f>"ACCT#912922/BOL#23560/PCT#1"</f>
        <v>ACCT#912922/BOL#23560/PCT#1</v>
      </c>
    </row>
    <row r="564" spans="1:9" x14ac:dyDescent="0.25">
      <c r="E564" t="str">
        <f>"9401939553"</f>
        <v>9401939553</v>
      </c>
      <c r="F564" t="str">
        <f>"ACCT#912922/BOL#23568/PCT#1"</f>
        <v>ACCT#912922/BOL#23568/PCT#1</v>
      </c>
      <c r="G564" s="3">
        <v>13349.46</v>
      </c>
      <c r="H564" t="str">
        <f>"ACCT#912922/BOL#23568/PCT#1"</f>
        <v>ACCT#912922/BOL#23568/PCT#1</v>
      </c>
    </row>
    <row r="565" spans="1:9" x14ac:dyDescent="0.25">
      <c r="A565" t="s">
        <v>191</v>
      </c>
      <c r="B565">
        <v>79230</v>
      </c>
      <c r="C565" s="2">
        <v>261.04000000000002</v>
      </c>
      <c r="D565" s="1">
        <v>43395</v>
      </c>
      <c r="E565" t="str">
        <f>"201810164572"</f>
        <v>201810164572</v>
      </c>
      <c r="F565" t="str">
        <f>"423-5672"</f>
        <v>423-5672</v>
      </c>
      <c r="G565" s="3">
        <v>261.04000000000002</v>
      </c>
      <c r="H565" t="str">
        <f>"423-5672"</f>
        <v>423-5672</v>
      </c>
    </row>
    <row r="566" spans="1:9" x14ac:dyDescent="0.25">
      <c r="A566" t="s">
        <v>192</v>
      </c>
      <c r="B566">
        <v>999999</v>
      </c>
      <c r="C566" s="2">
        <v>40.700000000000003</v>
      </c>
      <c r="D566" s="1">
        <v>43383</v>
      </c>
      <c r="E566" t="str">
        <f>"3419315"</f>
        <v>3419315</v>
      </c>
      <c r="F566" t="str">
        <f>"ACCT#00405/PCT#3"</f>
        <v>ACCT#00405/PCT#3</v>
      </c>
      <c r="G566" s="3">
        <v>40.700000000000003</v>
      </c>
      <c r="H566" t="str">
        <f>"ACCT#00405/PCT#3"</f>
        <v>ACCT#00405/PCT#3</v>
      </c>
    </row>
    <row r="567" spans="1:9" x14ac:dyDescent="0.25">
      <c r="A567" t="s">
        <v>193</v>
      </c>
      <c r="B567">
        <v>999999</v>
      </c>
      <c r="C567" s="2">
        <v>2124</v>
      </c>
      <c r="D567" s="1">
        <v>43383</v>
      </c>
      <c r="E567" t="str">
        <f>"201810034183"</f>
        <v>201810034183</v>
      </c>
      <c r="F567" t="str">
        <f>"ezTask Renewal"</f>
        <v>ezTask Renewal</v>
      </c>
      <c r="G567" s="3">
        <v>2124</v>
      </c>
      <c r="H567" t="str">
        <f>"annual Fee"</f>
        <v>annual Fee</v>
      </c>
    </row>
    <row r="568" spans="1:9" x14ac:dyDescent="0.25">
      <c r="A568" t="s">
        <v>193</v>
      </c>
      <c r="B568">
        <v>999999</v>
      </c>
      <c r="C568" s="2">
        <v>4479</v>
      </c>
      <c r="D568" s="1">
        <v>43396</v>
      </c>
      <c r="E568" t="str">
        <f>"07910520"</f>
        <v>07910520</v>
      </c>
      <c r="F568" t="str">
        <f>"EZTASK.COM INC."</f>
        <v>EZTASK.COM INC.</v>
      </c>
      <c r="G568" s="3">
        <v>4479</v>
      </c>
      <c r="H568" t="str">
        <f>"BC Custom Mobile Web"</f>
        <v>BC Custom Mobile Web</v>
      </c>
    </row>
    <row r="569" spans="1:9" x14ac:dyDescent="0.25">
      <c r="A569" t="s">
        <v>194</v>
      </c>
      <c r="B569">
        <v>79008</v>
      </c>
      <c r="C569" s="2">
        <v>10791.88</v>
      </c>
      <c r="D569" s="1">
        <v>43382</v>
      </c>
      <c r="E569" t="str">
        <f>"201809253942"</f>
        <v>201809253942</v>
      </c>
      <c r="F569" t="str">
        <f>"GRANT REIMBURSEMENT"</f>
        <v>GRANT REIMBURSEMENT</v>
      </c>
      <c r="G569" s="3">
        <v>10791.88</v>
      </c>
      <c r="H569" t="str">
        <f>"GRANT REIMBURSEMENT"</f>
        <v>GRANT REIMBURSEMENT</v>
      </c>
    </row>
    <row r="570" spans="1:9" x14ac:dyDescent="0.25">
      <c r="A570" t="s">
        <v>195</v>
      </c>
      <c r="B570">
        <v>79009</v>
      </c>
      <c r="C570" s="2">
        <v>46.73</v>
      </c>
      <c r="D570" s="1">
        <v>43382</v>
      </c>
      <c r="E570" t="str">
        <f>"201810024139"</f>
        <v>201810024139</v>
      </c>
      <c r="F570" t="str">
        <f>"INDIGENT HEALTH"</f>
        <v>INDIGENT HEALTH</v>
      </c>
      <c r="G570" s="3">
        <v>46.73</v>
      </c>
      <c r="H570" t="str">
        <f>"INDIGENT HEALTH"</f>
        <v>INDIGENT HEALTH</v>
      </c>
    </row>
    <row r="571" spans="1:9" x14ac:dyDescent="0.25">
      <c r="A571" t="s">
        <v>196</v>
      </c>
      <c r="B571">
        <v>79231</v>
      </c>
      <c r="C571" s="2">
        <v>100</v>
      </c>
      <c r="D571" s="1">
        <v>43395</v>
      </c>
      <c r="E571" t="str">
        <f>"12529"</f>
        <v>12529</v>
      </c>
      <c r="F571" t="str">
        <f>"SERVICE"</f>
        <v>SERVICE</v>
      </c>
      <c r="G571" s="3">
        <v>100</v>
      </c>
      <c r="H571" t="str">
        <f>"SERVICE"</f>
        <v>SERVICE</v>
      </c>
    </row>
    <row r="572" spans="1:9" x14ac:dyDescent="0.25">
      <c r="A572" t="s">
        <v>197</v>
      </c>
      <c r="B572">
        <v>79232</v>
      </c>
      <c r="C572" s="2">
        <v>49.2</v>
      </c>
      <c r="D572" s="1">
        <v>43395</v>
      </c>
      <c r="E572" t="str">
        <f>"261900"</f>
        <v>261900</v>
      </c>
      <c r="F572" t="str">
        <f>"ORD#83052/ANIMAL SHELTER"</f>
        <v>ORD#83052/ANIMAL SHELTER</v>
      </c>
      <c r="G572" s="3">
        <v>32.799999999999997</v>
      </c>
      <c r="H572" t="str">
        <f>"ORD#83052/ANIMAL SHELTER"</f>
        <v>ORD#83052/ANIMAL SHELTER</v>
      </c>
    </row>
    <row r="573" spans="1:9" x14ac:dyDescent="0.25">
      <c r="E573" t="str">
        <f>"271887"</f>
        <v>271887</v>
      </c>
      <c r="F573" t="str">
        <f>"ORD#85557/ANIMAL SHELTER"</f>
        <v>ORD#85557/ANIMAL SHELTER</v>
      </c>
      <c r="G573" s="3">
        <v>16.399999999999999</v>
      </c>
      <c r="H573" t="str">
        <f>"ORD#85557/ANIMAL SHELTER"</f>
        <v>ORD#85557/ANIMAL SHELTER</v>
      </c>
    </row>
    <row r="574" spans="1:9" x14ac:dyDescent="0.25">
      <c r="A574" t="s">
        <v>198</v>
      </c>
      <c r="B574">
        <v>79010</v>
      </c>
      <c r="C574" s="2">
        <v>37.5</v>
      </c>
      <c r="D574" s="1">
        <v>43382</v>
      </c>
      <c r="E574" t="str">
        <f>"6-312-50488"</f>
        <v>6-312-50488</v>
      </c>
      <c r="F574" t="str">
        <f>"ACCT#1230-5243-9/TAX OFFICE"</f>
        <v>ACCT#1230-5243-9/TAX OFFICE</v>
      </c>
      <c r="G574" s="3">
        <v>37.5</v>
      </c>
      <c r="H574" t="str">
        <f>"ACCT#1230-5243-9/TAX OFFICE"</f>
        <v>ACCT#1230-5243-9/TAX OFFICE</v>
      </c>
    </row>
    <row r="575" spans="1:9" x14ac:dyDescent="0.25">
      <c r="A575" t="s">
        <v>199</v>
      </c>
      <c r="B575">
        <v>79011</v>
      </c>
      <c r="C575" s="2">
        <v>12.5</v>
      </c>
      <c r="D575" s="1">
        <v>43382</v>
      </c>
      <c r="E575" t="s">
        <v>200</v>
      </c>
      <c r="F575" t="s">
        <v>201</v>
      </c>
      <c r="G575" s="3" t="str">
        <f>"RESTITUTION-K. PURCELL"</f>
        <v>RESTITUTION-K. PURCELL</v>
      </c>
      <c r="H575" t="str">
        <f>"210-0000"</f>
        <v>210-0000</v>
      </c>
      <c r="I575" t="str">
        <f>""</f>
        <v/>
      </c>
    </row>
    <row r="576" spans="1:9" x14ac:dyDescent="0.25">
      <c r="A576" t="s">
        <v>202</v>
      </c>
      <c r="B576">
        <v>79012</v>
      </c>
      <c r="C576" s="2">
        <v>13545</v>
      </c>
      <c r="D576" s="1">
        <v>43382</v>
      </c>
      <c r="E576" t="str">
        <f>"19971-5"</f>
        <v>19971-5</v>
      </c>
      <c r="F576" t="str">
        <f>"CLIENT ID:19971"</f>
        <v>CLIENT ID:19971</v>
      </c>
      <c r="G576" s="3">
        <v>13545</v>
      </c>
      <c r="H576" t="str">
        <f>"CLIENT ID:19971"</f>
        <v>CLIENT ID:19971</v>
      </c>
    </row>
    <row r="577" spans="1:8" x14ac:dyDescent="0.25">
      <c r="A577" t="s">
        <v>202</v>
      </c>
      <c r="B577">
        <v>79153</v>
      </c>
      <c r="C577" s="2">
        <v>1650</v>
      </c>
      <c r="D577" s="1">
        <v>43382</v>
      </c>
      <c r="E577" t="str">
        <f>"22422"</f>
        <v>22422</v>
      </c>
      <c r="F577" t="str">
        <f>"INV CLIENT ID 22422"</f>
        <v>INV CLIENT ID 22422</v>
      </c>
      <c r="G577" s="3">
        <v>1650</v>
      </c>
      <c r="H577" t="str">
        <f>"INV CLIENT ID 22422"</f>
        <v>INV CLIENT ID 22422</v>
      </c>
    </row>
    <row r="578" spans="1:8" x14ac:dyDescent="0.25">
      <c r="A578" t="s">
        <v>203</v>
      </c>
      <c r="B578">
        <v>79013</v>
      </c>
      <c r="C578" s="2">
        <v>438.69</v>
      </c>
      <c r="D578" s="1">
        <v>43382</v>
      </c>
      <c r="E578" t="str">
        <f>"54371251 NP5412872"</f>
        <v>54371251 NP5412872</v>
      </c>
      <c r="F578" t="str">
        <f>"Acct# BG361495"</f>
        <v>Acct# BG361495</v>
      </c>
      <c r="G578" s="3">
        <v>438.69</v>
      </c>
      <c r="H578" t="str">
        <f>"Payment"</f>
        <v>Payment</v>
      </c>
    </row>
    <row r="579" spans="1:8" x14ac:dyDescent="0.25">
      <c r="E579" t="str">
        <f>""</f>
        <v/>
      </c>
      <c r="F579" t="str">
        <f>""</f>
        <v/>
      </c>
      <c r="H579" t="str">
        <f>"Payment"</f>
        <v>Payment</v>
      </c>
    </row>
    <row r="580" spans="1:8" x14ac:dyDescent="0.25">
      <c r="A580" t="s">
        <v>204</v>
      </c>
      <c r="B580">
        <v>79014</v>
      </c>
      <c r="C580" s="2">
        <v>220.16</v>
      </c>
      <c r="D580" s="1">
        <v>43382</v>
      </c>
      <c r="E580" t="str">
        <f>"9448799"</f>
        <v>9448799</v>
      </c>
      <c r="F580" t="str">
        <f>"ACCT#80975-002/PCT#4"</f>
        <v>ACCT#80975-002/PCT#4</v>
      </c>
      <c r="G580" s="3">
        <v>108.76</v>
      </c>
      <c r="H580" t="str">
        <f>"ACCT#80975-002/PCT#4"</f>
        <v>ACCT#80975-002/PCT#4</v>
      </c>
    </row>
    <row r="581" spans="1:8" x14ac:dyDescent="0.25">
      <c r="E581" t="str">
        <f>"9732339"</f>
        <v>9732339</v>
      </c>
      <c r="F581" t="str">
        <f>"AIR HOES / P4"</f>
        <v>AIR HOES / P4</v>
      </c>
      <c r="G581" s="3">
        <v>111.4</v>
      </c>
      <c r="H581" t="str">
        <f>"AIR HOES / P4"</f>
        <v>AIR HOES / P4</v>
      </c>
    </row>
    <row r="582" spans="1:8" x14ac:dyDescent="0.25">
      <c r="A582" t="s">
        <v>204</v>
      </c>
      <c r="B582">
        <v>79233</v>
      </c>
      <c r="C582" s="2">
        <v>248.49</v>
      </c>
      <c r="D582" s="1">
        <v>43395</v>
      </c>
      <c r="E582" t="str">
        <f>"9766027"</f>
        <v>9766027</v>
      </c>
      <c r="F582" t="str">
        <f>"ACCT#80975-002/PCT#4"</f>
        <v>ACCT#80975-002/PCT#4</v>
      </c>
      <c r="G582" s="3">
        <v>167.22</v>
      </c>
      <c r="H582" t="str">
        <f>"ACCT#80975-002/PCT#4"</f>
        <v>ACCT#80975-002/PCT#4</v>
      </c>
    </row>
    <row r="583" spans="1:8" x14ac:dyDescent="0.25">
      <c r="E583" t="str">
        <f>"9776762"</f>
        <v>9776762</v>
      </c>
      <c r="F583" t="str">
        <f>"ACCT#80975/PCT#2"</f>
        <v>ACCT#80975/PCT#2</v>
      </c>
      <c r="G583" s="3">
        <v>55.08</v>
      </c>
      <c r="H583" t="str">
        <f>"ACCT#80975/PCT#2"</f>
        <v>ACCT#80975/PCT#2</v>
      </c>
    </row>
    <row r="584" spans="1:8" x14ac:dyDescent="0.25">
      <c r="E584" t="str">
        <f>"9986413"</f>
        <v>9986413</v>
      </c>
      <c r="F584" t="str">
        <f>"ACCT#80975-002/PCT#4"</f>
        <v>ACCT#80975-002/PCT#4</v>
      </c>
      <c r="G584" s="3">
        <v>26.19</v>
      </c>
      <c r="H584" t="str">
        <f>"ACCT#80975-002/PCT#4"</f>
        <v>ACCT#80975-002/PCT#4</v>
      </c>
    </row>
    <row r="585" spans="1:8" x14ac:dyDescent="0.25">
      <c r="A585" t="s">
        <v>205</v>
      </c>
      <c r="B585">
        <v>999999</v>
      </c>
      <c r="C585" s="2">
        <v>75</v>
      </c>
      <c r="D585" s="1">
        <v>43396</v>
      </c>
      <c r="E585" t="str">
        <f>"201810154509"</f>
        <v>201810154509</v>
      </c>
      <c r="F585" t="str">
        <f>"REFUND COUPONS"</f>
        <v>REFUND COUPONS</v>
      </c>
      <c r="G585" s="3">
        <v>75</v>
      </c>
      <c r="H585" t="str">
        <f>"REFUND COUPONS"</f>
        <v>REFUND COUPONS</v>
      </c>
    </row>
    <row r="586" spans="1:8" x14ac:dyDescent="0.25">
      <c r="A586" t="s">
        <v>206</v>
      </c>
      <c r="B586">
        <v>999999</v>
      </c>
      <c r="C586" s="2">
        <v>500</v>
      </c>
      <c r="D586" s="1">
        <v>43383</v>
      </c>
      <c r="E586" t="str">
        <f>"201810024056"</f>
        <v>201810024056</v>
      </c>
      <c r="F586" t="str">
        <f>"55 637"</f>
        <v>55 637</v>
      </c>
      <c r="G586" s="3">
        <v>250</v>
      </c>
      <c r="H586" t="str">
        <f>"55 637"</f>
        <v>55 637</v>
      </c>
    </row>
    <row r="587" spans="1:8" x14ac:dyDescent="0.25">
      <c r="E587" t="str">
        <f>"201810024066"</f>
        <v>201810024066</v>
      </c>
      <c r="F587" t="str">
        <f>"54 019"</f>
        <v>54 019</v>
      </c>
      <c r="G587" s="3">
        <v>250</v>
      </c>
      <c r="H587" t="str">
        <f>"54 019"</f>
        <v>54 019</v>
      </c>
    </row>
    <row r="588" spans="1:8" x14ac:dyDescent="0.25">
      <c r="A588" t="s">
        <v>206</v>
      </c>
      <c r="B588">
        <v>999999</v>
      </c>
      <c r="C588" s="2">
        <v>9475</v>
      </c>
      <c r="D588" s="1">
        <v>43396</v>
      </c>
      <c r="E588" t="str">
        <f>"201810124500"</f>
        <v>201810124500</v>
      </c>
      <c r="F588" t="str">
        <f>"03-18-00215-CR  16 373"</f>
        <v>03-18-00215-CR  16 373</v>
      </c>
      <c r="G588" s="3">
        <v>2600</v>
      </c>
      <c r="H588" t="str">
        <f>"03-18-00215-CR  16 373"</f>
        <v>03-18-00215-CR  16 373</v>
      </c>
    </row>
    <row r="589" spans="1:8" x14ac:dyDescent="0.25">
      <c r="E589" t="str">
        <f>"201810164548"</f>
        <v>201810164548</v>
      </c>
      <c r="F589" t="str">
        <f>"55 737  UNFILED"</f>
        <v>55 737  UNFILED</v>
      </c>
      <c r="G589" s="3">
        <v>375</v>
      </c>
      <c r="H589" t="str">
        <f>"55 737  UNFILED"</f>
        <v>55 737  UNFILED</v>
      </c>
    </row>
    <row r="590" spans="1:8" x14ac:dyDescent="0.25">
      <c r="E590" t="str">
        <f>"201810164569"</f>
        <v>201810164569</v>
      </c>
      <c r="F590" t="str">
        <f>"DETENTION HEARING"</f>
        <v>DETENTION HEARING</v>
      </c>
      <c r="G590" s="3">
        <v>100</v>
      </c>
      <c r="H590" t="str">
        <f>"DETENTION HEARING"</f>
        <v>DETENTION HEARING</v>
      </c>
    </row>
    <row r="591" spans="1:8" x14ac:dyDescent="0.25">
      <c r="E591" t="str">
        <f>"201810164581"</f>
        <v>201810164581</v>
      </c>
      <c r="F591" t="str">
        <f>"16 019"</f>
        <v>16 019</v>
      </c>
      <c r="G591" s="3">
        <v>5200</v>
      </c>
      <c r="H591" t="str">
        <f>"16 019"</f>
        <v>16 019</v>
      </c>
    </row>
    <row r="592" spans="1:8" x14ac:dyDescent="0.25">
      <c r="E592" t="str">
        <f>"201810164582"</f>
        <v>201810164582</v>
      </c>
      <c r="F592" t="str">
        <f>"16 217"</f>
        <v>16 217</v>
      </c>
      <c r="G592" s="3">
        <v>400</v>
      </c>
      <c r="H592" t="str">
        <f>"16 217"</f>
        <v>16 217</v>
      </c>
    </row>
    <row r="593" spans="1:8" x14ac:dyDescent="0.25">
      <c r="E593" t="str">
        <f>"201810164583"</f>
        <v>201810164583</v>
      </c>
      <c r="F593" t="str">
        <f>"16 211"</f>
        <v>16 211</v>
      </c>
      <c r="G593" s="3">
        <v>400</v>
      </c>
      <c r="H593" t="str">
        <f>"16 211"</f>
        <v>16 211</v>
      </c>
    </row>
    <row r="594" spans="1:8" x14ac:dyDescent="0.25">
      <c r="E594" t="str">
        <f>"201810164584"</f>
        <v>201810164584</v>
      </c>
      <c r="F594" t="str">
        <f>"16 323"</f>
        <v>16 323</v>
      </c>
      <c r="G594" s="3">
        <v>400</v>
      </c>
      <c r="H594" t="str">
        <f>"16 323"</f>
        <v>16 323</v>
      </c>
    </row>
    <row r="595" spans="1:8" x14ac:dyDescent="0.25">
      <c r="A595" t="s">
        <v>207</v>
      </c>
      <c r="B595">
        <v>999999</v>
      </c>
      <c r="C595" s="2">
        <v>200.3</v>
      </c>
      <c r="D595" s="1">
        <v>43383</v>
      </c>
      <c r="E595" t="str">
        <f>"SP382549"</f>
        <v>SP382549</v>
      </c>
      <c r="F595" t="str">
        <f>"TRUCK 3296 / P4"</f>
        <v>TRUCK 3296 / P4</v>
      </c>
      <c r="G595" s="3">
        <v>200.3</v>
      </c>
      <c r="H595" t="str">
        <f>"TRUCK 3296 / P4"</f>
        <v>TRUCK 3296 / P4</v>
      </c>
    </row>
    <row r="596" spans="1:8" x14ac:dyDescent="0.25">
      <c r="A596" t="s">
        <v>207</v>
      </c>
      <c r="B596">
        <v>999999</v>
      </c>
      <c r="C596" s="2">
        <v>846.39</v>
      </c>
      <c r="D596" s="1">
        <v>43396</v>
      </c>
      <c r="E596" t="str">
        <f>"AP382670"</f>
        <v>AP382670</v>
      </c>
      <c r="F596" t="str">
        <f>"ACCT#3326/PCT#4"</f>
        <v>ACCT#3326/PCT#4</v>
      </c>
      <c r="G596" s="3">
        <v>210.93</v>
      </c>
      <c r="H596" t="str">
        <f>"ACCT#3326/PCT#4"</f>
        <v>ACCT#3326/PCT#4</v>
      </c>
    </row>
    <row r="597" spans="1:8" x14ac:dyDescent="0.25">
      <c r="E597" t="str">
        <f>"AP383399"</f>
        <v>AP383399</v>
      </c>
      <c r="F597" t="str">
        <f>"ACCT#3326/PCT#4"</f>
        <v>ACCT#3326/PCT#4</v>
      </c>
      <c r="G597" s="3">
        <v>356.3</v>
      </c>
      <c r="H597" t="str">
        <f>"ACCT#3326/PCT#4"</f>
        <v>ACCT#3326/PCT#4</v>
      </c>
    </row>
    <row r="598" spans="1:8" x14ac:dyDescent="0.25">
      <c r="E598" t="str">
        <f>"AP383411"</f>
        <v>AP383411</v>
      </c>
      <c r="F598" t="str">
        <f>"ACCT#3326/PCT#4"</f>
        <v>ACCT#3326/PCT#4</v>
      </c>
      <c r="G598" s="3">
        <v>52.36</v>
      </c>
      <c r="H598" t="str">
        <f>"ACCT#3326/PCT#4"</f>
        <v>ACCT#3326/PCT#4</v>
      </c>
    </row>
    <row r="599" spans="1:8" x14ac:dyDescent="0.25">
      <c r="E599" t="str">
        <f>"AS74049"</f>
        <v>AS74049</v>
      </c>
      <c r="F599" t="str">
        <f>"2019 FRHT REPAIRS/PCT#2"</f>
        <v>2019 FRHT REPAIRS/PCT#2</v>
      </c>
      <c r="G599" s="3">
        <v>226.8</v>
      </c>
      <c r="H599" t="str">
        <f>"2019 FRHT REPAIRS/PCT#2"</f>
        <v>2019 FRHT REPAIRS/PCT#2</v>
      </c>
    </row>
    <row r="600" spans="1:8" x14ac:dyDescent="0.25">
      <c r="A600" t="s">
        <v>208</v>
      </c>
      <c r="B600">
        <v>999999</v>
      </c>
      <c r="C600" s="2">
        <v>40.96</v>
      </c>
      <c r="D600" s="1">
        <v>43383</v>
      </c>
      <c r="E600" t="str">
        <f>"GC106659"</f>
        <v>GC106659</v>
      </c>
      <c r="F600" t="str">
        <f>"INV GC106659"</f>
        <v>INV GC106659</v>
      </c>
      <c r="G600" s="3">
        <v>40.96</v>
      </c>
      <c r="H600" t="str">
        <f>"INV GC106659"</f>
        <v>INV GC106659</v>
      </c>
    </row>
    <row r="601" spans="1:8" x14ac:dyDescent="0.25">
      <c r="A601" t="s">
        <v>209</v>
      </c>
      <c r="B601">
        <v>79234</v>
      </c>
      <c r="C601" s="2">
        <v>509.67</v>
      </c>
      <c r="D601" s="1">
        <v>43395</v>
      </c>
      <c r="E601" t="str">
        <f>"010865797 OR114133"</f>
        <v>010865797 OR114133</v>
      </c>
      <c r="F601" t="str">
        <f>"INV 010865797"</f>
        <v>INV 010865797</v>
      </c>
      <c r="G601" s="3">
        <v>509.67</v>
      </c>
      <c r="H601" t="str">
        <f>"INV 010865797"</f>
        <v>INV 010865797</v>
      </c>
    </row>
    <row r="602" spans="1:8" x14ac:dyDescent="0.25">
      <c r="E602" t="str">
        <f>""</f>
        <v/>
      </c>
      <c r="F602" t="str">
        <f>""</f>
        <v/>
      </c>
      <c r="H602" t="str">
        <f>"INV OR11413318"</f>
        <v>INV OR11413318</v>
      </c>
    </row>
    <row r="603" spans="1:8" x14ac:dyDescent="0.25">
      <c r="A603" t="s">
        <v>210</v>
      </c>
      <c r="B603">
        <v>999999</v>
      </c>
      <c r="C603" s="2">
        <v>3734</v>
      </c>
      <c r="D603" s="1">
        <v>43396</v>
      </c>
      <c r="E603" t="str">
        <f>"25-TX-181023"</f>
        <v>25-TX-181023</v>
      </c>
      <c r="F603" t="str">
        <f>"Leak in roof District Cle"</f>
        <v>Leak in roof District Cle</v>
      </c>
      <c r="G603" s="3">
        <v>3734</v>
      </c>
      <c r="H603" t="str">
        <f>"Prop 25-TX-181023"</f>
        <v>Prop 25-TX-181023</v>
      </c>
    </row>
    <row r="604" spans="1:8" x14ac:dyDescent="0.25">
      <c r="A604" t="s">
        <v>211</v>
      </c>
      <c r="B604">
        <v>79235</v>
      </c>
      <c r="C604" s="2">
        <v>555.96</v>
      </c>
      <c r="D604" s="1">
        <v>43395</v>
      </c>
      <c r="E604" t="str">
        <f>"201810174596"</f>
        <v>201810174596</v>
      </c>
      <c r="F604" t="str">
        <f>"LODGING"</f>
        <v>LODGING</v>
      </c>
      <c r="G604" s="3">
        <v>555.96</v>
      </c>
      <c r="H604" t="str">
        <f>"LODGING"</f>
        <v>LODGING</v>
      </c>
    </row>
    <row r="605" spans="1:8" x14ac:dyDescent="0.25">
      <c r="A605" t="s">
        <v>212</v>
      </c>
      <c r="B605">
        <v>79236</v>
      </c>
      <c r="C605" s="2">
        <v>338</v>
      </c>
      <c r="D605" s="1">
        <v>43395</v>
      </c>
      <c r="E605" t="str">
        <f>"625-105391"</f>
        <v>625-105391</v>
      </c>
      <c r="F605" t="str">
        <f>"CUST#535538/ORD#108868/PCT#2"</f>
        <v>CUST#535538/ORD#108868/PCT#2</v>
      </c>
      <c r="G605" s="3">
        <v>338</v>
      </c>
      <c r="H605" t="str">
        <f>"CUST#535538/ORD#108868/PCT#2"</f>
        <v>CUST#535538/ORD#108868/PCT#2</v>
      </c>
    </row>
    <row r="606" spans="1:8" x14ac:dyDescent="0.25">
      <c r="A606" t="s">
        <v>213</v>
      </c>
      <c r="B606">
        <v>79015</v>
      </c>
      <c r="C606" s="2">
        <v>10198.540000000001</v>
      </c>
      <c r="D606" s="1">
        <v>43382</v>
      </c>
      <c r="E606" t="str">
        <f>"5"</f>
        <v>5</v>
      </c>
      <c r="F606" t="str">
        <f>"MITIGATION-15 914 JUNE8-SEP19"</f>
        <v>MITIGATION-15 914 JUNE8-SEP19</v>
      </c>
      <c r="G606" s="3">
        <v>10198.540000000001</v>
      </c>
      <c r="H606" t="str">
        <f>"MITIGATION-15 914 JUNE8-SEP19"</f>
        <v>MITIGATION-15 914 JUNE8-SEP19</v>
      </c>
    </row>
    <row r="607" spans="1:8" x14ac:dyDescent="0.25">
      <c r="A607" t="s">
        <v>214</v>
      </c>
      <c r="B607">
        <v>79016</v>
      </c>
      <c r="C607" s="2">
        <v>1275</v>
      </c>
      <c r="D607" s="1">
        <v>43382</v>
      </c>
      <c r="E607" t="str">
        <f>"1027"</f>
        <v>1027</v>
      </c>
      <c r="F607" t="str">
        <f>"TRANSPORT-N. JONES"</f>
        <v>TRANSPORT-N. JONES</v>
      </c>
      <c r="G607" s="3">
        <v>350</v>
      </c>
      <c r="H607" t="str">
        <f>"TRANSPORT-N. JONES"</f>
        <v>TRANSPORT-N. JONES</v>
      </c>
    </row>
    <row r="608" spans="1:8" x14ac:dyDescent="0.25">
      <c r="E608" t="str">
        <f>"1034"</f>
        <v>1034</v>
      </c>
      <c r="F608" t="str">
        <f>"TRANSPORT-J. PEELER"</f>
        <v>TRANSPORT-J. PEELER</v>
      </c>
      <c r="G608" s="3">
        <v>575</v>
      </c>
      <c r="H608" t="str">
        <f>"TRANSPORT-J. PEELER"</f>
        <v>TRANSPORT-J. PEELER</v>
      </c>
    </row>
    <row r="609" spans="1:8" x14ac:dyDescent="0.25">
      <c r="E609" t="str">
        <f>"1036"</f>
        <v>1036</v>
      </c>
      <c r="F609" t="str">
        <f>"TRANSPORT-H. BARNET"</f>
        <v>TRANSPORT-H. BARNET</v>
      </c>
      <c r="G609" s="3">
        <v>350</v>
      </c>
      <c r="H609" t="str">
        <f>"TRANSPORT-H. BARNET"</f>
        <v>TRANSPORT-H. BARNET</v>
      </c>
    </row>
    <row r="610" spans="1:8" x14ac:dyDescent="0.25">
      <c r="A610" t="s">
        <v>214</v>
      </c>
      <c r="B610">
        <v>79237</v>
      </c>
      <c r="C610" s="2">
        <v>1500</v>
      </c>
      <c r="D610" s="1">
        <v>43395</v>
      </c>
      <c r="E610" t="str">
        <f>"1028"</f>
        <v>1028</v>
      </c>
      <c r="F610" t="str">
        <f>"TRANSPORT-T.H. TRIMBLE"</f>
        <v>TRANSPORT-T.H. TRIMBLE</v>
      </c>
      <c r="G610" s="3">
        <v>575</v>
      </c>
      <c r="H610" t="str">
        <f>"TRANSPORT-T.H. TRIMBLE"</f>
        <v>TRANSPORT-T.H. TRIMBLE</v>
      </c>
    </row>
    <row r="611" spans="1:8" x14ac:dyDescent="0.25">
      <c r="E611" t="str">
        <f>"1029"</f>
        <v>1029</v>
      </c>
      <c r="F611" t="str">
        <f>"TRANSPORT-W. GRAHAM"</f>
        <v>TRANSPORT-W. GRAHAM</v>
      </c>
      <c r="G611" s="3">
        <v>575</v>
      </c>
      <c r="H611" t="str">
        <f>"TRANSPORT-W. GRAHAM"</f>
        <v>TRANSPORT-W. GRAHAM</v>
      </c>
    </row>
    <row r="612" spans="1:8" x14ac:dyDescent="0.25">
      <c r="E612" t="str">
        <f>"1038"</f>
        <v>1038</v>
      </c>
      <c r="F612" t="str">
        <f>"TRANSPORT-A.M. RUTLEDGE"</f>
        <v>TRANSPORT-A.M. RUTLEDGE</v>
      </c>
      <c r="G612" s="3">
        <v>350</v>
      </c>
      <c r="H612" t="str">
        <f>"TRANSPORT-A.M. RUTLEDGE"</f>
        <v>TRANSPORT-A.M. RUTLEDGE</v>
      </c>
    </row>
    <row r="613" spans="1:8" x14ac:dyDescent="0.25">
      <c r="A613" t="s">
        <v>215</v>
      </c>
      <c r="B613">
        <v>79238</v>
      </c>
      <c r="C613" s="2">
        <v>535</v>
      </c>
      <c r="D613" s="1">
        <v>43395</v>
      </c>
      <c r="E613" t="str">
        <f>"0000131187"</f>
        <v>0000131187</v>
      </c>
      <c r="F613" t="str">
        <f>"Ad for Elections"</f>
        <v>Ad for Elections</v>
      </c>
      <c r="G613" s="3">
        <v>535</v>
      </c>
      <c r="H613" t="str">
        <f>"Ad"</f>
        <v>Ad</v>
      </c>
    </row>
    <row r="614" spans="1:8" x14ac:dyDescent="0.25">
      <c r="A614" t="s">
        <v>216</v>
      </c>
      <c r="B614">
        <v>999999</v>
      </c>
      <c r="C614" s="2">
        <v>7304.31</v>
      </c>
      <c r="D614" s="1">
        <v>43383</v>
      </c>
      <c r="E614" t="str">
        <f>"0676652"</f>
        <v>0676652</v>
      </c>
      <c r="F614" t="str">
        <f>"INV 0676652"</f>
        <v>INV 0676652</v>
      </c>
      <c r="G614" s="3">
        <v>449.8</v>
      </c>
      <c r="H614" t="str">
        <f>"INV 0676652"</f>
        <v>INV 0676652</v>
      </c>
    </row>
    <row r="615" spans="1:8" x14ac:dyDescent="0.25">
      <c r="E615" t="str">
        <f>"INV0677247"</f>
        <v>INV0677247</v>
      </c>
      <c r="F615" t="str">
        <f>"INV0677247"</f>
        <v>INV0677247</v>
      </c>
      <c r="G615" s="3">
        <v>6854.51</v>
      </c>
      <c r="H615" t="str">
        <f>"INV0677247"</f>
        <v>INV0677247</v>
      </c>
    </row>
    <row r="616" spans="1:8" x14ac:dyDescent="0.25">
      <c r="A616" t="s">
        <v>216</v>
      </c>
      <c r="B616">
        <v>999999</v>
      </c>
      <c r="C616" s="2">
        <v>1715.32</v>
      </c>
      <c r="D616" s="1">
        <v>43396</v>
      </c>
      <c r="E616" t="str">
        <f>"0679970"</f>
        <v>0679970</v>
      </c>
      <c r="F616" t="str">
        <f>"INV 0679970"</f>
        <v>INV 0679970</v>
      </c>
      <c r="G616" s="3">
        <v>1040.32</v>
      </c>
      <c r="H616" t="str">
        <f>"INV 0679970"</f>
        <v>INV 0679970</v>
      </c>
    </row>
    <row r="617" spans="1:8" x14ac:dyDescent="0.25">
      <c r="E617" t="str">
        <f>"0680366"</f>
        <v>0680366</v>
      </c>
      <c r="F617" t="str">
        <f>"INV 0680366"</f>
        <v>INV 0680366</v>
      </c>
      <c r="G617" s="3">
        <v>675</v>
      </c>
      <c r="H617" t="str">
        <f>"INV 0680366"</f>
        <v>INV 0680366</v>
      </c>
    </row>
    <row r="618" spans="1:8" x14ac:dyDescent="0.25">
      <c r="E618" t="str">
        <f>""</f>
        <v/>
      </c>
      <c r="F618" t="str">
        <f>""</f>
        <v/>
      </c>
      <c r="H618" t="str">
        <f>"INV 0680366"</f>
        <v>INV 0680366</v>
      </c>
    </row>
    <row r="619" spans="1:8" x14ac:dyDescent="0.25">
      <c r="A619" t="s">
        <v>217</v>
      </c>
      <c r="B619">
        <v>999999</v>
      </c>
      <c r="C619" s="2">
        <v>2223.7399999999998</v>
      </c>
      <c r="D619" s="1">
        <v>43383</v>
      </c>
      <c r="E619" t="str">
        <f>"1560061"</f>
        <v>1560061</v>
      </c>
      <c r="F619" t="str">
        <f>"INV 1560061"</f>
        <v>INV 1560061</v>
      </c>
      <c r="G619" s="3">
        <v>1960.3</v>
      </c>
      <c r="H619" t="str">
        <f>"INV 1560061"</f>
        <v>INV 1560061</v>
      </c>
    </row>
    <row r="620" spans="1:8" x14ac:dyDescent="0.25">
      <c r="E620" t="str">
        <f>"1563873"</f>
        <v>1563873</v>
      </c>
      <c r="F620" t="str">
        <f>"CUST#0008007267/ANIMAL SHELTER"</f>
        <v>CUST#0008007267/ANIMAL SHELTER</v>
      </c>
      <c r="G620" s="3">
        <v>263.44</v>
      </c>
      <c r="H620" t="str">
        <f>"CUST#0008007267/ANIMAL SHELTER"</f>
        <v>CUST#0008007267/ANIMAL SHELTER</v>
      </c>
    </row>
    <row r="621" spans="1:8" x14ac:dyDescent="0.25">
      <c r="A621" t="s">
        <v>217</v>
      </c>
      <c r="B621">
        <v>999999</v>
      </c>
      <c r="C621" s="2">
        <v>1590.9</v>
      </c>
      <c r="D621" s="1">
        <v>43396</v>
      </c>
      <c r="E621" t="str">
        <f>"1567626 1567727"</f>
        <v>1567626 1567727</v>
      </c>
      <c r="F621" t="str">
        <f>"Janitorial Supplies"</f>
        <v>Janitorial Supplies</v>
      </c>
      <c r="G621" s="3">
        <v>1590.9</v>
      </c>
      <c r="H621" t="str">
        <f>"GP16560"</f>
        <v>GP16560</v>
      </c>
    </row>
    <row r="622" spans="1:8" x14ac:dyDescent="0.25">
      <c r="E622" t="str">
        <f>""</f>
        <v/>
      </c>
      <c r="F622" t="str">
        <f>""</f>
        <v/>
      </c>
      <c r="H622" t="str">
        <f>"63CL"</f>
        <v>63CL</v>
      </c>
    </row>
    <row r="623" spans="1:8" x14ac:dyDescent="0.25">
      <c r="E623" t="str">
        <f>""</f>
        <v/>
      </c>
      <c r="F623" t="str">
        <f>""</f>
        <v/>
      </c>
      <c r="H623" t="str">
        <f>"GP12798"</f>
        <v>GP12798</v>
      </c>
    </row>
    <row r="624" spans="1:8" x14ac:dyDescent="0.25">
      <c r="E624" t="str">
        <f>""</f>
        <v/>
      </c>
      <c r="F624" t="str">
        <f>""</f>
        <v/>
      </c>
      <c r="H624" t="str">
        <f>"SIG5"</f>
        <v>SIG5</v>
      </c>
    </row>
    <row r="625" spans="1:8" x14ac:dyDescent="0.25">
      <c r="E625" t="str">
        <f>""</f>
        <v/>
      </c>
      <c r="F625" t="str">
        <f>""</f>
        <v/>
      </c>
      <c r="H625" t="str">
        <f>"GP20389"</f>
        <v>GP20389</v>
      </c>
    </row>
    <row r="626" spans="1:8" x14ac:dyDescent="0.25">
      <c r="E626" t="str">
        <f>""</f>
        <v/>
      </c>
      <c r="F626" t="str">
        <f>""</f>
        <v/>
      </c>
      <c r="H626" t="str">
        <f>"M7850N"</f>
        <v>M7850N</v>
      </c>
    </row>
    <row r="627" spans="1:8" x14ac:dyDescent="0.25">
      <c r="E627" t="str">
        <f>""</f>
        <v/>
      </c>
      <c r="F627" t="str">
        <f>""</f>
        <v/>
      </c>
      <c r="H627" t="str">
        <f>"CREWBOWLCLN"</f>
        <v>CREWBOWLCLN</v>
      </c>
    </row>
    <row r="628" spans="1:8" x14ac:dyDescent="0.25">
      <c r="E628" t="str">
        <f>""</f>
        <v/>
      </c>
      <c r="F628" t="str">
        <f>""</f>
        <v/>
      </c>
      <c r="H628" t="str">
        <f>"HS6141"</f>
        <v>HS6141</v>
      </c>
    </row>
    <row r="629" spans="1:8" x14ac:dyDescent="0.25">
      <c r="E629" t="str">
        <f>""</f>
        <v/>
      </c>
      <c r="F629" t="str">
        <f>""</f>
        <v/>
      </c>
      <c r="H629" t="str">
        <f>"LD3044"</f>
        <v>LD3044</v>
      </c>
    </row>
    <row r="630" spans="1:8" x14ac:dyDescent="0.25">
      <c r="E630" t="str">
        <f>""</f>
        <v/>
      </c>
      <c r="F630" t="str">
        <f>""</f>
        <v/>
      </c>
      <c r="H630" t="str">
        <f>"JLDQT"</f>
        <v>JLDQT</v>
      </c>
    </row>
    <row r="631" spans="1:8" x14ac:dyDescent="0.25">
      <c r="E631" t="str">
        <f>""</f>
        <v/>
      </c>
      <c r="F631" t="str">
        <f>""</f>
        <v/>
      </c>
      <c r="H631" t="str">
        <f>"DVO04437"</f>
        <v>DVO04437</v>
      </c>
    </row>
    <row r="632" spans="1:8" x14ac:dyDescent="0.25">
      <c r="A632" t="s">
        <v>218</v>
      </c>
      <c r="B632">
        <v>999999</v>
      </c>
      <c r="C632" s="2">
        <v>50</v>
      </c>
      <c r="D632" s="1">
        <v>43396</v>
      </c>
      <c r="E632" t="str">
        <f>"773654"</f>
        <v>773654</v>
      </c>
      <c r="F632" t="str">
        <f>"ORD#556164/FILTER DRUMS/PCT#4"</f>
        <v>ORD#556164/FILTER DRUMS/PCT#4</v>
      </c>
      <c r="G632" s="3">
        <v>50</v>
      </c>
      <c r="H632" t="str">
        <f>"ORD#556164/FILTER DRUMS/PCT#4"</f>
        <v>ORD#556164/FILTER DRUMS/PCT#4</v>
      </c>
    </row>
    <row r="633" spans="1:8" x14ac:dyDescent="0.25">
      <c r="A633" t="s">
        <v>219</v>
      </c>
      <c r="B633">
        <v>79239</v>
      </c>
      <c r="C633" s="2">
        <v>5</v>
      </c>
      <c r="D633" s="1">
        <v>43395</v>
      </c>
      <c r="E633" t="str">
        <f>"201810164522"</f>
        <v>201810164522</v>
      </c>
      <c r="F633" t="str">
        <f>"12465-REFUND FOR OVERPAYMENT"</f>
        <v>12465-REFUND FOR OVERPAYMENT</v>
      </c>
      <c r="G633" s="3">
        <v>5</v>
      </c>
      <c r="H633" t="str">
        <f>"12465-REFUND FOR OVERPAYMENT"</f>
        <v>12465-REFUND FOR OVERPAYMENT</v>
      </c>
    </row>
    <row r="634" spans="1:8" x14ac:dyDescent="0.25">
      <c r="A634" t="s">
        <v>220</v>
      </c>
      <c r="B634">
        <v>79017</v>
      </c>
      <c r="C634" s="2">
        <v>16690.3</v>
      </c>
      <c r="D634" s="1">
        <v>43382</v>
      </c>
      <c r="E634" t="str">
        <f>"00016005"</f>
        <v>00016005</v>
      </c>
      <c r="F634" t="str">
        <f>"PROJ#033387.005/PCT#3"</f>
        <v>PROJ#033387.005/PCT#3</v>
      </c>
      <c r="G634" s="3">
        <v>6221.45</v>
      </c>
      <c r="H634" t="str">
        <f>"PROJ#033387.005/PCT#3"</f>
        <v>PROJ#033387.005/PCT#3</v>
      </c>
    </row>
    <row r="635" spans="1:8" x14ac:dyDescent="0.25">
      <c r="E635" t="str">
        <f>"00016006"</f>
        <v>00016006</v>
      </c>
      <c r="F635" t="str">
        <f>"PROJ#033387.006/PCT#2"</f>
        <v>PROJ#033387.006/PCT#2</v>
      </c>
      <c r="G635" s="3">
        <v>3544.9</v>
      </c>
      <c r="H635" t="str">
        <f>"PROJ#033387.006/PCT#2"</f>
        <v>PROJ#033387.006/PCT#2</v>
      </c>
    </row>
    <row r="636" spans="1:8" x14ac:dyDescent="0.25">
      <c r="E636" t="str">
        <f>"00016007"</f>
        <v>00016007</v>
      </c>
      <c r="F636" t="str">
        <f>"PROJ#033387.007/PCT#3"</f>
        <v>PROJ#033387.007/PCT#3</v>
      </c>
      <c r="G636" s="3">
        <v>6923.95</v>
      </c>
      <c r="H636" t="str">
        <f>"PROJ#033387.007/PCT#3"</f>
        <v>PROJ#033387.007/PCT#3</v>
      </c>
    </row>
    <row r="637" spans="1:8" x14ac:dyDescent="0.25">
      <c r="A637" t="s">
        <v>220</v>
      </c>
      <c r="B637">
        <v>79240</v>
      </c>
      <c r="C637" s="2">
        <v>19424.2</v>
      </c>
      <c r="D637" s="1">
        <v>43395</v>
      </c>
      <c r="E637" t="str">
        <f>"00016971"</f>
        <v>00016971</v>
      </c>
      <c r="F637" t="str">
        <f>"PROJ#033387.005"</f>
        <v>PROJ#033387.005</v>
      </c>
      <c r="G637" s="3">
        <v>9278.5499999999993</v>
      </c>
      <c r="H637" t="str">
        <f>"PROJ#033387.005"</f>
        <v>PROJ#033387.005</v>
      </c>
    </row>
    <row r="638" spans="1:8" x14ac:dyDescent="0.25">
      <c r="E638" t="str">
        <f>"00016972"</f>
        <v>00016972</v>
      </c>
      <c r="F638" t="str">
        <f>"PROJ#033387.006/PCT#2"</f>
        <v>PROJ#033387.006/PCT#2</v>
      </c>
      <c r="G638" s="3">
        <v>1569.6</v>
      </c>
      <c r="H638" t="str">
        <f>"PROJ#033387.006/PCT#2"</f>
        <v>PROJ#033387.006/PCT#2</v>
      </c>
    </row>
    <row r="639" spans="1:8" x14ac:dyDescent="0.25">
      <c r="E639" t="str">
        <f>"00016973"</f>
        <v>00016973</v>
      </c>
      <c r="F639" t="str">
        <f>"PROJ#033387.007"</f>
        <v>PROJ#033387.007</v>
      </c>
      <c r="G639" s="3">
        <v>8576.0499999999993</v>
      </c>
      <c r="H639" t="str">
        <f>"PROJ#033387.007"</f>
        <v>PROJ#033387.007</v>
      </c>
    </row>
    <row r="640" spans="1:8" x14ac:dyDescent="0.25">
      <c r="A640" t="s">
        <v>221</v>
      </c>
      <c r="B640">
        <v>79018</v>
      </c>
      <c r="C640" s="2">
        <v>171.92</v>
      </c>
      <c r="D640" s="1">
        <v>43382</v>
      </c>
      <c r="E640" t="str">
        <f>"221556"</f>
        <v>221556</v>
      </c>
      <c r="F640" t="str">
        <f>"ORDER #221556"</f>
        <v>ORDER #221556</v>
      </c>
      <c r="G640" s="3">
        <v>171.92</v>
      </c>
      <c r="H640" t="str">
        <f>"ORDER #221556"</f>
        <v>ORDER #221556</v>
      </c>
    </row>
    <row r="641" spans="1:8" x14ac:dyDescent="0.25">
      <c r="A641" t="s">
        <v>222</v>
      </c>
      <c r="B641">
        <v>79241</v>
      </c>
      <c r="C641" s="2">
        <v>237.26</v>
      </c>
      <c r="D641" s="1">
        <v>43395</v>
      </c>
      <c r="E641" t="str">
        <f>"201810104469"</f>
        <v>201810104469</v>
      </c>
      <c r="F641" t="str">
        <f>"MILEAGE REIMBURSEMENT"</f>
        <v>MILEAGE REIMBURSEMENT</v>
      </c>
      <c r="G641" s="3">
        <v>187.26</v>
      </c>
      <c r="H641" t="str">
        <f>"MILEAGE REIMBURSEMENT"</f>
        <v>MILEAGE REIMBURSEMENT</v>
      </c>
    </row>
    <row r="642" spans="1:8" x14ac:dyDescent="0.25">
      <c r="E642" t="str">
        <f>"300012150"</f>
        <v>300012150</v>
      </c>
      <c r="F642" t="str">
        <f>"REIMBURSE-2019 TFMA MEMBERSHIP"</f>
        <v>REIMBURSE-2019 TFMA MEMBERSHIP</v>
      </c>
      <c r="G642" s="3">
        <v>50</v>
      </c>
      <c r="H642" t="str">
        <f>"REIMBURSE-2019 TFMA MEMBERSHIP"</f>
        <v>REIMBURSE-2019 TFMA MEMBERSHIP</v>
      </c>
    </row>
    <row r="643" spans="1:8" x14ac:dyDescent="0.25">
      <c r="A643" t="s">
        <v>223</v>
      </c>
      <c r="B643">
        <v>79155</v>
      </c>
      <c r="C643" s="2">
        <v>75</v>
      </c>
      <c r="D643" s="1">
        <v>43383</v>
      </c>
      <c r="E643" t="str">
        <f>"201810104458"</f>
        <v>201810104458</v>
      </c>
      <c r="F643" t="str">
        <f>"SERVICE - CAUSE 11443"</f>
        <v>SERVICE - CAUSE 11443</v>
      </c>
      <c r="G643" s="3">
        <v>75</v>
      </c>
      <c r="H643" t="str">
        <f>"SERVICE - CAUSE 11443"</f>
        <v>SERVICE - CAUSE 11443</v>
      </c>
    </row>
    <row r="644" spans="1:8" x14ac:dyDescent="0.25">
      <c r="A644" t="s">
        <v>224</v>
      </c>
      <c r="B644">
        <v>79242</v>
      </c>
      <c r="C644" s="2">
        <v>150</v>
      </c>
      <c r="D644" s="1">
        <v>43395</v>
      </c>
      <c r="E644" t="str">
        <f>"12891"</f>
        <v>12891</v>
      </c>
      <c r="F644" t="str">
        <f>"SERVICE"</f>
        <v>SERVICE</v>
      </c>
      <c r="G644" s="3">
        <v>150</v>
      </c>
      <c r="H644" t="str">
        <f>"SERVICE"</f>
        <v>SERVICE</v>
      </c>
    </row>
    <row r="645" spans="1:8" x14ac:dyDescent="0.25">
      <c r="A645" t="s">
        <v>225</v>
      </c>
      <c r="B645">
        <v>79243</v>
      </c>
      <c r="C645" s="2">
        <v>75</v>
      </c>
      <c r="D645" s="1">
        <v>43395</v>
      </c>
      <c r="E645" t="str">
        <f>"12529"</f>
        <v>12529</v>
      </c>
      <c r="F645" t="str">
        <f>"SERVICE"</f>
        <v>SERVICE</v>
      </c>
      <c r="G645" s="3">
        <v>75</v>
      </c>
      <c r="H645" t="str">
        <f>"SERVICE"</f>
        <v>SERVICE</v>
      </c>
    </row>
    <row r="646" spans="1:8" x14ac:dyDescent="0.25">
      <c r="A646" t="s">
        <v>226</v>
      </c>
      <c r="B646">
        <v>79244</v>
      </c>
      <c r="C646" s="2">
        <v>57.71</v>
      </c>
      <c r="D646" s="1">
        <v>43395</v>
      </c>
      <c r="E646" t="str">
        <f>"61116"</f>
        <v>61116</v>
      </c>
      <c r="F646" t="str">
        <f>"Headset Ear Cushions"</f>
        <v>Headset Ear Cushions</v>
      </c>
      <c r="G646" s="3">
        <v>57.71</v>
      </c>
      <c r="H646" t="str">
        <f>"Headset Ear Cushions"</f>
        <v>Headset Ear Cushions</v>
      </c>
    </row>
    <row r="647" spans="1:8" x14ac:dyDescent="0.25">
      <c r="E647" t="str">
        <f>""</f>
        <v/>
      </c>
      <c r="F647" t="str">
        <f>""</f>
        <v/>
      </c>
      <c r="H647" t="str">
        <f>"Freight"</f>
        <v>Freight</v>
      </c>
    </row>
    <row r="648" spans="1:8" x14ac:dyDescent="0.25">
      <c r="A648" t="s">
        <v>227</v>
      </c>
      <c r="B648">
        <v>79019</v>
      </c>
      <c r="C648" s="2">
        <v>15000</v>
      </c>
      <c r="D648" s="1">
        <v>43382</v>
      </c>
      <c r="E648" t="str">
        <f>"201809253929"</f>
        <v>201809253929</v>
      </c>
      <c r="F648" t="str">
        <f>"2018-2019 FISCAL YEAR"</f>
        <v>2018-2019 FISCAL YEAR</v>
      </c>
      <c r="G648" s="3">
        <v>15000</v>
      </c>
      <c r="H648" t="str">
        <f>"2018-2019 FISCAL YEAR"</f>
        <v>2018-2019 FISCAL YEAR</v>
      </c>
    </row>
    <row r="649" spans="1:8" x14ac:dyDescent="0.25">
      <c r="A649" t="s">
        <v>228</v>
      </c>
      <c r="B649">
        <v>79020</v>
      </c>
      <c r="C649" s="2">
        <v>244.04</v>
      </c>
      <c r="D649" s="1">
        <v>43382</v>
      </c>
      <c r="E649" t="str">
        <f>"379592 &amp; 379979"</f>
        <v>379592 &amp; 379979</v>
      </c>
      <c r="F649" t="str">
        <f>"ACCT#002628/PCT#2"</f>
        <v>ACCT#002628/PCT#2</v>
      </c>
      <c r="G649" s="3">
        <v>244.04</v>
      </c>
      <c r="H649" t="str">
        <f>"ACCT#002628/PCT#2"</f>
        <v>ACCT#002628/PCT#2</v>
      </c>
    </row>
    <row r="650" spans="1:8" x14ac:dyDescent="0.25">
      <c r="A650" t="s">
        <v>229</v>
      </c>
      <c r="B650">
        <v>79021</v>
      </c>
      <c r="C650" s="2">
        <v>20231.84</v>
      </c>
      <c r="D650" s="1">
        <v>43382</v>
      </c>
      <c r="E650" t="str">
        <f>"201809283965"</f>
        <v>201809283965</v>
      </c>
      <c r="F650" t="str">
        <f>"Surgical Equipment"</f>
        <v>Surgical Equipment</v>
      </c>
      <c r="G650" s="3">
        <v>18885.28</v>
      </c>
      <c r="H650" t="str">
        <f>"Surgical Table"</f>
        <v>Surgical Table</v>
      </c>
    </row>
    <row r="651" spans="1:8" x14ac:dyDescent="0.25">
      <c r="E651" t="str">
        <f>""</f>
        <v/>
      </c>
      <c r="F651" t="str">
        <f>""</f>
        <v/>
      </c>
      <c r="H651" t="str">
        <f>"Freight"</f>
        <v>Freight</v>
      </c>
    </row>
    <row r="652" spans="1:8" x14ac:dyDescent="0.25">
      <c r="E652" t="str">
        <f>""</f>
        <v/>
      </c>
      <c r="F652" t="str">
        <f>""</f>
        <v/>
      </c>
      <c r="H652" t="str">
        <f>"m8000 Pureline Oxyge"</f>
        <v>m8000 Pureline Oxyge</v>
      </c>
    </row>
    <row r="653" spans="1:8" x14ac:dyDescent="0.25">
      <c r="E653" t="str">
        <f>""</f>
        <v/>
      </c>
      <c r="F653" t="str">
        <f>""</f>
        <v/>
      </c>
      <c r="H653" t="str">
        <f>"Canister Kit"</f>
        <v>Canister Kit</v>
      </c>
    </row>
    <row r="654" spans="1:8" x14ac:dyDescent="0.25">
      <c r="E654" t="str">
        <f>""</f>
        <v/>
      </c>
      <c r="F654" t="str">
        <f>""</f>
        <v/>
      </c>
      <c r="H654" t="str">
        <f>"OXy Splitter"</f>
        <v>OXy Splitter</v>
      </c>
    </row>
    <row r="655" spans="1:8" x14ac:dyDescent="0.25">
      <c r="E655" t="str">
        <f>""</f>
        <v/>
      </c>
      <c r="F655" t="str">
        <f>""</f>
        <v/>
      </c>
      <c r="H655" t="str">
        <f>"Green Hose"</f>
        <v>Green Hose</v>
      </c>
    </row>
    <row r="656" spans="1:8" x14ac:dyDescent="0.25">
      <c r="E656" t="str">
        <f>""</f>
        <v/>
      </c>
      <c r="F656" t="str">
        <f>""</f>
        <v/>
      </c>
      <c r="H656" t="str">
        <f>"Freight"</f>
        <v>Freight</v>
      </c>
    </row>
    <row r="657" spans="1:9" x14ac:dyDescent="0.25">
      <c r="E657" t="str">
        <f>""</f>
        <v/>
      </c>
      <c r="F657" t="str">
        <f>""</f>
        <v/>
      </c>
      <c r="H657" t="str">
        <f>"3000 ISO Well Fill"</f>
        <v>3000 ISO Well Fill</v>
      </c>
    </row>
    <row r="658" spans="1:9" x14ac:dyDescent="0.25">
      <c r="E658" t="str">
        <f>""</f>
        <v/>
      </c>
      <c r="F658" t="str">
        <f>""</f>
        <v/>
      </c>
      <c r="H658" t="str">
        <f>"Autoclave"</f>
        <v>Autoclave</v>
      </c>
    </row>
    <row r="659" spans="1:9" x14ac:dyDescent="0.25">
      <c r="E659" t="str">
        <f>""</f>
        <v/>
      </c>
      <c r="F659" t="str">
        <f>""</f>
        <v/>
      </c>
      <c r="H659" t="str">
        <f>"Freight"</f>
        <v>Freight</v>
      </c>
    </row>
    <row r="660" spans="1:9" x14ac:dyDescent="0.25">
      <c r="E660" t="str">
        <f>""</f>
        <v/>
      </c>
      <c r="F660" t="str">
        <f>""</f>
        <v/>
      </c>
      <c r="H660" t="str">
        <f>"Monitor Pulse"</f>
        <v>Monitor Pulse</v>
      </c>
    </row>
    <row r="661" spans="1:9" x14ac:dyDescent="0.25">
      <c r="E661" t="str">
        <f>""</f>
        <v/>
      </c>
      <c r="F661" t="str">
        <f>""</f>
        <v/>
      </c>
      <c r="H661" t="str">
        <f>"Pump IV"</f>
        <v>Pump IV</v>
      </c>
    </row>
    <row r="662" spans="1:9" x14ac:dyDescent="0.25">
      <c r="E662" t="str">
        <f>""</f>
        <v/>
      </c>
      <c r="F662" t="str">
        <f>""</f>
        <v/>
      </c>
      <c r="H662" t="str">
        <f>"Feed Tray"</f>
        <v>Feed Tray</v>
      </c>
    </row>
    <row r="663" spans="1:9" x14ac:dyDescent="0.25">
      <c r="E663" t="str">
        <f>""</f>
        <v/>
      </c>
      <c r="F663" t="str">
        <f>""</f>
        <v/>
      </c>
      <c r="H663" t="str">
        <f>"Monitor Pulse"</f>
        <v>Monitor Pulse</v>
      </c>
    </row>
    <row r="664" spans="1:9" x14ac:dyDescent="0.25">
      <c r="E664" t="str">
        <f>"PD18060"</f>
        <v>PD18060</v>
      </c>
      <c r="F664" t="str">
        <f>"ACCT#68930/ANIMAL SERVICES"</f>
        <v>ACCT#68930/ANIMAL SERVICES</v>
      </c>
      <c r="G664" s="3">
        <v>615.78</v>
      </c>
      <c r="H664" t="str">
        <f>"ACCT#68930/ANIMAL SERVICES"</f>
        <v>ACCT#68930/ANIMAL SERVICES</v>
      </c>
    </row>
    <row r="665" spans="1:9" x14ac:dyDescent="0.25">
      <c r="E665" t="str">
        <f>"PD87331"</f>
        <v>PD87331</v>
      </c>
      <c r="F665" t="str">
        <f>"ACCT#68930/ANIMAL SVCS"</f>
        <v>ACCT#68930/ANIMAL SVCS</v>
      </c>
      <c r="G665" s="3">
        <v>545.59</v>
      </c>
      <c r="H665" t="str">
        <f>"ACCT#68930/ANIMAL SVCS"</f>
        <v>ACCT#68930/ANIMAL SVCS</v>
      </c>
    </row>
    <row r="666" spans="1:9" x14ac:dyDescent="0.25">
      <c r="E666" t="str">
        <f>"PE02590"</f>
        <v>PE02590</v>
      </c>
      <c r="F666" t="str">
        <f>"ACCT#68930/ANIMAL SERVICES"</f>
        <v>ACCT#68930/ANIMAL SERVICES</v>
      </c>
      <c r="G666" s="3">
        <v>11.06</v>
      </c>
      <c r="H666" t="str">
        <f>"ACCT#68930/ANIMAL SERVICES"</f>
        <v>ACCT#68930/ANIMAL SERVICES</v>
      </c>
    </row>
    <row r="667" spans="1:9" x14ac:dyDescent="0.25">
      <c r="E667" t="str">
        <f>"PE04020"</f>
        <v>PE04020</v>
      </c>
      <c r="F667" t="str">
        <f>"ACCT#68930/ANIMAL SERVICES"</f>
        <v>ACCT#68930/ANIMAL SERVICES</v>
      </c>
      <c r="G667" s="3">
        <v>174.13</v>
      </c>
      <c r="H667" t="str">
        <f>"ACCT#68930/ANIMAL SERVICES"</f>
        <v>ACCT#68930/ANIMAL SERVICES</v>
      </c>
    </row>
    <row r="668" spans="1:9" x14ac:dyDescent="0.25">
      <c r="A668" t="s">
        <v>229</v>
      </c>
      <c r="B668">
        <v>79245</v>
      </c>
      <c r="C668" s="2">
        <v>945.97</v>
      </c>
      <c r="D668" s="1">
        <v>43395</v>
      </c>
      <c r="E668" t="str">
        <f>"PE57648"</f>
        <v>PE57648</v>
      </c>
      <c r="F668" t="str">
        <f>"ACCT#68930-000/ANIMAL SVCS"</f>
        <v>ACCT#68930-000/ANIMAL SVCS</v>
      </c>
      <c r="G668" s="3">
        <v>509.67</v>
      </c>
      <c r="H668" t="str">
        <f>"ACCT#68930-000/ANIMAL SVCS"</f>
        <v>ACCT#68930-000/ANIMAL SVCS</v>
      </c>
    </row>
    <row r="669" spans="1:9" x14ac:dyDescent="0.25">
      <c r="E669" t="str">
        <f>"PF35244"</f>
        <v>PF35244</v>
      </c>
      <c r="F669" t="str">
        <f>"ACCT#68930/ANIMAL SVCS"</f>
        <v>ACCT#68930/ANIMAL SVCS</v>
      </c>
      <c r="G669" s="3">
        <v>151.19</v>
      </c>
      <c r="H669" t="str">
        <f>"ACCT#68930/ANIMAL SVCS"</f>
        <v>ACCT#68930/ANIMAL SVCS</v>
      </c>
    </row>
    <row r="670" spans="1:9" x14ac:dyDescent="0.25">
      <c r="E670" t="str">
        <f>"PF41976"</f>
        <v>PF41976</v>
      </c>
      <c r="F670" t="str">
        <f>"ACCT#68930-000/ANIMAL SVCS"</f>
        <v>ACCT#68930-000/ANIMAL SVCS</v>
      </c>
      <c r="G670" s="3">
        <v>223.24</v>
      </c>
      <c r="H670" t="str">
        <f>"ACCT#68930-000/ANIMAL SVCS"</f>
        <v>ACCT#68930-000/ANIMAL SVCS</v>
      </c>
    </row>
    <row r="671" spans="1:9" x14ac:dyDescent="0.25">
      <c r="E671" t="str">
        <f>"PF49481"</f>
        <v>PF49481</v>
      </c>
      <c r="F671" t="str">
        <f>"ACCT#68930-000/ANIMAL SVCS"</f>
        <v>ACCT#68930-000/ANIMAL SVCS</v>
      </c>
      <c r="G671" s="3">
        <v>61.87</v>
      </c>
      <c r="H671" t="str">
        <f>"ACCT#68930-000/ANIMAL SVCS"</f>
        <v>ACCT#68930-000/ANIMAL SVCS</v>
      </c>
    </row>
    <row r="672" spans="1:9" x14ac:dyDescent="0.25">
      <c r="A672" t="s">
        <v>230</v>
      </c>
      <c r="B672">
        <v>79022</v>
      </c>
      <c r="C672" s="2">
        <v>100</v>
      </c>
      <c r="D672" s="1">
        <v>43382</v>
      </c>
      <c r="E672" t="s">
        <v>231</v>
      </c>
      <c r="F672" t="s">
        <v>232</v>
      </c>
      <c r="G672" s="3" t="str">
        <f>"RESTITUTION-M. FELTS"</f>
        <v>RESTITUTION-M. FELTS</v>
      </c>
      <c r="H672" t="str">
        <f>"210-0000"</f>
        <v>210-0000</v>
      </c>
      <c r="I672" t="str">
        <f>""</f>
        <v/>
      </c>
    </row>
    <row r="673" spans="1:8" x14ac:dyDescent="0.25">
      <c r="A673" t="s">
        <v>233</v>
      </c>
      <c r="B673">
        <v>999999</v>
      </c>
      <c r="C673" s="2">
        <v>650</v>
      </c>
      <c r="D673" s="1">
        <v>43396</v>
      </c>
      <c r="E673" t="str">
        <f>"201810174597"</f>
        <v>201810174597</v>
      </c>
      <c r="F673" t="str">
        <f>"BASCOM L HODGES JR"</f>
        <v>BASCOM L HODGES JR</v>
      </c>
      <c r="G673" s="3">
        <v>650</v>
      </c>
      <c r="H673" t="str">
        <f>""</f>
        <v/>
      </c>
    </row>
    <row r="674" spans="1:8" x14ac:dyDescent="0.25">
      <c r="A674" t="s">
        <v>234</v>
      </c>
      <c r="B674">
        <v>79023</v>
      </c>
      <c r="C674" s="2">
        <v>912.5</v>
      </c>
      <c r="D674" s="1">
        <v>43382</v>
      </c>
      <c r="E674" t="str">
        <f>"201810024059"</f>
        <v>201810024059</v>
      </c>
      <c r="F674" t="str">
        <f>"56 272"</f>
        <v>56 272</v>
      </c>
      <c r="G674" s="3">
        <v>250</v>
      </c>
      <c r="H674" t="str">
        <f>"56 272"</f>
        <v>56 272</v>
      </c>
    </row>
    <row r="675" spans="1:8" x14ac:dyDescent="0.25">
      <c r="E675" t="str">
        <f>"201810024114"</f>
        <v>201810024114</v>
      </c>
      <c r="F675" t="str">
        <f>"17-18535"</f>
        <v>17-18535</v>
      </c>
      <c r="G675" s="3">
        <v>137.5</v>
      </c>
      <c r="H675" t="str">
        <f>"17-18535"</f>
        <v>17-18535</v>
      </c>
    </row>
    <row r="676" spans="1:8" x14ac:dyDescent="0.25">
      <c r="E676" t="str">
        <f>"201810024115"</f>
        <v>201810024115</v>
      </c>
      <c r="F676" t="str">
        <f>"18-19044"</f>
        <v>18-19044</v>
      </c>
      <c r="G676" s="3">
        <v>175</v>
      </c>
      <c r="H676" t="str">
        <f>"18-19044"</f>
        <v>18-19044</v>
      </c>
    </row>
    <row r="677" spans="1:8" x14ac:dyDescent="0.25">
      <c r="E677" t="str">
        <f>"201810024122"</f>
        <v>201810024122</v>
      </c>
      <c r="F677" t="str">
        <f>"J-3152"</f>
        <v>J-3152</v>
      </c>
      <c r="G677" s="3">
        <v>250</v>
      </c>
      <c r="H677" t="str">
        <f>"J-3152"</f>
        <v>J-3152</v>
      </c>
    </row>
    <row r="678" spans="1:8" x14ac:dyDescent="0.25">
      <c r="E678" t="str">
        <f>"201810024152"</f>
        <v>201810024152</v>
      </c>
      <c r="F678" t="str">
        <f>"423-3900"</f>
        <v>423-3900</v>
      </c>
      <c r="G678" s="3">
        <v>100</v>
      </c>
      <c r="H678" t="str">
        <f>"423-3900"</f>
        <v>423-3900</v>
      </c>
    </row>
    <row r="679" spans="1:8" x14ac:dyDescent="0.25">
      <c r="A679" t="s">
        <v>234</v>
      </c>
      <c r="B679">
        <v>79246</v>
      </c>
      <c r="C679" s="2">
        <v>1000</v>
      </c>
      <c r="D679" s="1">
        <v>43395</v>
      </c>
      <c r="E679" t="str">
        <f>"201810164540"</f>
        <v>201810164540</v>
      </c>
      <c r="F679" t="str">
        <f>"55 554"</f>
        <v>55 554</v>
      </c>
      <c r="G679" s="3">
        <v>250</v>
      </c>
      <c r="H679" t="str">
        <f>"55 554"</f>
        <v>55 554</v>
      </c>
    </row>
    <row r="680" spans="1:8" x14ac:dyDescent="0.25">
      <c r="E680" t="str">
        <f>"201810164541"</f>
        <v>201810164541</v>
      </c>
      <c r="F680" t="str">
        <f>"55971"</f>
        <v>55971</v>
      </c>
      <c r="G680" s="3">
        <v>250</v>
      </c>
      <c r="H680" t="str">
        <f>"55971"</f>
        <v>55971</v>
      </c>
    </row>
    <row r="681" spans="1:8" x14ac:dyDescent="0.25">
      <c r="E681" t="str">
        <f>"201810164542"</f>
        <v>201810164542</v>
      </c>
      <c r="F681" t="str">
        <f>"56 137"</f>
        <v>56 137</v>
      </c>
      <c r="G681" s="3">
        <v>250</v>
      </c>
      <c r="H681" t="str">
        <f>"56 137"</f>
        <v>56 137</v>
      </c>
    </row>
    <row r="682" spans="1:8" x14ac:dyDescent="0.25">
      <c r="E682" t="str">
        <f>"201810164543"</f>
        <v>201810164543</v>
      </c>
      <c r="F682" t="str">
        <f>"56 022"</f>
        <v>56 022</v>
      </c>
      <c r="G682" s="3">
        <v>250</v>
      </c>
      <c r="H682" t="str">
        <f>"56 022"</f>
        <v>56 022</v>
      </c>
    </row>
    <row r="683" spans="1:8" x14ac:dyDescent="0.25">
      <c r="A683" t="s">
        <v>235</v>
      </c>
      <c r="B683">
        <v>79024</v>
      </c>
      <c r="C683" s="2">
        <v>105</v>
      </c>
      <c r="D683" s="1">
        <v>43382</v>
      </c>
      <c r="E683" t="str">
        <f>"201810034158"</f>
        <v>201810034158</v>
      </c>
      <c r="F683" t="str">
        <f>"HOLLY TUCKER"</f>
        <v>HOLLY TUCKER</v>
      </c>
      <c r="G683" s="3">
        <v>105</v>
      </c>
    </row>
    <row r="684" spans="1:8" x14ac:dyDescent="0.25">
      <c r="A684" t="s">
        <v>235</v>
      </c>
      <c r="B684">
        <v>79024</v>
      </c>
      <c r="C684" s="2">
        <v>105</v>
      </c>
      <c r="D684" s="1">
        <v>43390</v>
      </c>
      <c r="E684" t="str">
        <f>"CHECK"</f>
        <v>CHECK</v>
      </c>
      <c r="F684" t="str">
        <f>""</f>
        <v/>
      </c>
      <c r="G684" s="3">
        <v>105</v>
      </c>
    </row>
    <row r="685" spans="1:8" x14ac:dyDescent="0.25">
      <c r="A685" t="s">
        <v>236</v>
      </c>
      <c r="B685">
        <v>79247</v>
      </c>
      <c r="C685" s="2">
        <v>1202.93</v>
      </c>
      <c r="D685" s="1">
        <v>43395</v>
      </c>
      <c r="E685" t="str">
        <f>"PIMA0296007"</f>
        <v>PIMA0296007</v>
      </c>
      <c r="F685" t="str">
        <f>"CUS#0129100/MUFFLER/EJECTOR/P2"</f>
        <v>CUS#0129100/MUFFLER/EJECTOR/P2</v>
      </c>
      <c r="G685" s="3">
        <v>1105.9100000000001</v>
      </c>
      <c r="H685" t="str">
        <f>"CUS#0129100/MUFFLER/EJECTOR/P2"</f>
        <v>CUS#0129100/MUFFLER/EJECTOR/P2</v>
      </c>
    </row>
    <row r="686" spans="1:8" x14ac:dyDescent="0.25">
      <c r="E686" t="str">
        <f>"PIMA0296076"</f>
        <v>PIMA0296076</v>
      </c>
      <c r="F686" t="str">
        <f>"CUST#0129100/PCT#2"</f>
        <v>CUST#0129100/PCT#2</v>
      </c>
      <c r="G686" s="3">
        <v>61.3</v>
      </c>
      <c r="H686" t="str">
        <f>"CUST#0129100/PCT#2"</f>
        <v>CUST#0129100/PCT#2</v>
      </c>
    </row>
    <row r="687" spans="1:8" x14ac:dyDescent="0.25">
      <c r="E687" t="str">
        <f>"PIMA0296377"</f>
        <v>PIMA0296377</v>
      </c>
      <c r="F687" t="str">
        <f>"CUST#0129100/PCT#2"</f>
        <v>CUST#0129100/PCT#2</v>
      </c>
      <c r="G687" s="3">
        <v>35.72</v>
      </c>
      <c r="H687" t="str">
        <f>"CUST#0129100/PCT#2"</f>
        <v>CUST#0129100/PCT#2</v>
      </c>
    </row>
    <row r="688" spans="1:8" x14ac:dyDescent="0.25">
      <c r="A688" t="s">
        <v>237</v>
      </c>
      <c r="B688">
        <v>79025</v>
      </c>
      <c r="C688" s="2">
        <v>5961.89</v>
      </c>
      <c r="D688" s="1">
        <v>43382</v>
      </c>
      <c r="E688" t="str">
        <f>"201810034176"</f>
        <v>201810034176</v>
      </c>
      <c r="F688" t="str">
        <f>"Acct# 3780"</f>
        <v>Acct# 3780</v>
      </c>
      <c r="G688" s="3">
        <v>5961.89</v>
      </c>
      <c r="H688" t="str">
        <f>"Inv# 8904473"</f>
        <v>Inv# 8904473</v>
      </c>
    </row>
    <row r="689" spans="5:8" x14ac:dyDescent="0.25">
      <c r="E689" t="str">
        <f>""</f>
        <v/>
      </c>
      <c r="F689" t="str">
        <f>""</f>
        <v/>
      </c>
      <c r="H689" t="str">
        <f>"Inv# 8904472"</f>
        <v>Inv# 8904472</v>
      </c>
    </row>
    <row r="690" spans="5:8" x14ac:dyDescent="0.25">
      <c r="E690" t="str">
        <f>""</f>
        <v/>
      </c>
      <c r="F690" t="str">
        <f>""</f>
        <v/>
      </c>
      <c r="H690" t="str">
        <f>"Inv# 8972397"</f>
        <v>Inv# 8972397</v>
      </c>
    </row>
    <row r="691" spans="5:8" x14ac:dyDescent="0.25">
      <c r="E691" t="str">
        <f>""</f>
        <v/>
      </c>
      <c r="F691" t="str">
        <f>""</f>
        <v/>
      </c>
      <c r="H691" t="str">
        <f>"Inv# 5562722"</f>
        <v>Inv# 5562722</v>
      </c>
    </row>
    <row r="692" spans="5:8" x14ac:dyDescent="0.25">
      <c r="E692" t="str">
        <f>""</f>
        <v/>
      </c>
      <c r="F692" t="str">
        <f>""</f>
        <v/>
      </c>
      <c r="H692" t="str">
        <f>"Inv# 1151789"</f>
        <v>Inv# 1151789</v>
      </c>
    </row>
    <row r="693" spans="5:8" x14ac:dyDescent="0.25">
      <c r="E693" t="str">
        <f>""</f>
        <v/>
      </c>
      <c r="F693" t="str">
        <f>""</f>
        <v/>
      </c>
      <c r="H693" t="str">
        <f>"Inv# 6010350"</f>
        <v>Inv# 6010350</v>
      </c>
    </row>
    <row r="694" spans="5:8" x14ac:dyDescent="0.25">
      <c r="E694" t="str">
        <f>""</f>
        <v/>
      </c>
      <c r="F694" t="str">
        <f>""</f>
        <v/>
      </c>
      <c r="H694" t="str">
        <f>"Inv# 1194552"</f>
        <v>Inv# 1194552</v>
      </c>
    </row>
    <row r="695" spans="5:8" x14ac:dyDescent="0.25">
      <c r="E695" t="str">
        <f>""</f>
        <v/>
      </c>
      <c r="F695" t="str">
        <f>""</f>
        <v/>
      </c>
      <c r="H695" t="str">
        <f>"Inv# 3971962"</f>
        <v>Inv# 3971962</v>
      </c>
    </row>
    <row r="696" spans="5:8" x14ac:dyDescent="0.25">
      <c r="E696" t="str">
        <f>""</f>
        <v/>
      </c>
      <c r="F696" t="str">
        <f>""</f>
        <v/>
      </c>
      <c r="H696" t="str">
        <f>"Inv# 2594872"</f>
        <v>Inv# 2594872</v>
      </c>
    </row>
    <row r="697" spans="5:8" x14ac:dyDescent="0.25">
      <c r="E697" t="str">
        <f>""</f>
        <v/>
      </c>
      <c r="F697" t="str">
        <f>""</f>
        <v/>
      </c>
      <c r="H697" t="str">
        <f>"Inv# 7595056"</f>
        <v>Inv# 7595056</v>
      </c>
    </row>
    <row r="698" spans="5:8" x14ac:dyDescent="0.25">
      <c r="E698" t="str">
        <f>""</f>
        <v/>
      </c>
      <c r="F698" t="str">
        <f>""</f>
        <v/>
      </c>
      <c r="H698" t="str">
        <f>"Inv# 3595250"</f>
        <v>Inv# 3595250</v>
      </c>
    </row>
    <row r="699" spans="5:8" x14ac:dyDescent="0.25">
      <c r="E699" t="str">
        <f>""</f>
        <v/>
      </c>
      <c r="F699" t="str">
        <f>""</f>
        <v/>
      </c>
      <c r="H699" t="str">
        <f>"Inv# 8040833"</f>
        <v>Inv# 8040833</v>
      </c>
    </row>
    <row r="700" spans="5:8" x14ac:dyDescent="0.25">
      <c r="E700" t="str">
        <f>""</f>
        <v/>
      </c>
      <c r="F700" t="str">
        <f>""</f>
        <v/>
      </c>
      <c r="H700" t="str">
        <f>"Inv# 5563315"</f>
        <v>Inv# 5563315</v>
      </c>
    </row>
    <row r="701" spans="5:8" x14ac:dyDescent="0.25">
      <c r="E701" t="str">
        <f>""</f>
        <v/>
      </c>
      <c r="F701" t="str">
        <f>""</f>
        <v/>
      </c>
      <c r="H701" t="str">
        <f>"Inv# 6594275"</f>
        <v>Inv# 6594275</v>
      </c>
    </row>
    <row r="702" spans="5:8" x14ac:dyDescent="0.25">
      <c r="E702" t="str">
        <f>""</f>
        <v/>
      </c>
      <c r="F702" t="str">
        <f>""</f>
        <v/>
      </c>
      <c r="H702" t="str">
        <f>"Inv# 9563124"</f>
        <v>Inv# 9563124</v>
      </c>
    </row>
    <row r="703" spans="5:8" x14ac:dyDescent="0.25">
      <c r="E703" t="str">
        <f>""</f>
        <v/>
      </c>
      <c r="F703" t="str">
        <f>""</f>
        <v/>
      </c>
      <c r="H703" t="str">
        <f>"Inv# 9151827"</f>
        <v>Inv# 9151827</v>
      </c>
    </row>
    <row r="704" spans="5:8" x14ac:dyDescent="0.25">
      <c r="E704" t="str">
        <f>""</f>
        <v/>
      </c>
      <c r="F704" t="str">
        <f>""</f>
        <v/>
      </c>
      <c r="H704" t="str">
        <f>"Inv# 8027232"</f>
        <v>Inv# 8027232</v>
      </c>
    </row>
    <row r="705" spans="5:8" x14ac:dyDescent="0.25">
      <c r="E705" t="str">
        <f>""</f>
        <v/>
      </c>
      <c r="F705" t="str">
        <f>""</f>
        <v/>
      </c>
      <c r="H705" t="str">
        <f>"Inv# 7020038"</f>
        <v>Inv# 7020038</v>
      </c>
    </row>
    <row r="706" spans="5:8" x14ac:dyDescent="0.25">
      <c r="E706" t="str">
        <f>""</f>
        <v/>
      </c>
      <c r="F706" t="str">
        <f>""</f>
        <v/>
      </c>
      <c r="H706" t="str">
        <f>"Inv# 1020691"</f>
        <v>Inv# 1020691</v>
      </c>
    </row>
    <row r="707" spans="5:8" x14ac:dyDescent="0.25">
      <c r="E707" t="str">
        <f>""</f>
        <v/>
      </c>
      <c r="F707" t="str">
        <f>""</f>
        <v/>
      </c>
      <c r="H707" t="str">
        <f>"Inv# 8151795"</f>
        <v>Inv# 8151795</v>
      </c>
    </row>
    <row r="708" spans="5:8" x14ac:dyDescent="0.25">
      <c r="E708" t="str">
        <f>""</f>
        <v/>
      </c>
      <c r="F708" t="str">
        <f>""</f>
        <v/>
      </c>
      <c r="H708" t="str">
        <f>"Inv# 6022347"</f>
        <v>Inv# 6022347</v>
      </c>
    </row>
    <row r="709" spans="5:8" x14ac:dyDescent="0.25">
      <c r="E709" t="str">
        <f>""</f>
        <v/>
      </c>
      <c r="F709" t="str">
        <f>""</f>
        <v/>
      </c>
      <c r="H709" t="str">
        <f>"Inv# 6151799"</f>
        <v>Inv# 6151799</v>
      </c>
    </row>
    <row r="710" spans="5:8" x14ac:dyDescent="0.25">
      <c r="E710" t="str">
        <f>""</f>
        <v/>
      </c>
      <c r="F710" t="str">
        <f>""</f>
        <v/>
      </c>
      <c r="H710" t="str">
        <f>"Inv# 5151806"</f>
        <v>Inv# 5151806</v>
      </c>
    </row>
    <row r="711" spans="5:8" x14ac:dyDescent="0.25">
      <c r="E711" t="str">
        <f>""</f>
        <v/>
      </c>
      <c r="F711" t="str">
        <f>""</f>
        <v/>
      </c>
      <c r="H711" t="str">
        <f>"Inv# 5093975"</f>
        <v>Inv# 5093975</v>
      </c>
    </row>
    <row r="712" spans="5:8" x14ac:dyDescent="0.25">
      <c r="E712" t="str">
        <f>""</f>
        <v/>
      </c>
      <c r="F712" t="str">
        <f>""</f>
        <v/>
      </c>
      <c r="H712" t="str">
        <f>"Inv# 1012103"</f>
        <v>Inv# 1012103</v>
      </c>
    </row>
    <row r="713" spans="5:8" x14ac:dyDescent="0.25">
      <c r="E713" t="str">
        <f>""</f>
        <v/>
      </c>
      <c r="F713" t="str">
        <f>""</f>
        <v/>
      </c>
      <c r="H713" t="str">
        <f>"Inv# 1022885"</f>
        <v>Inv# 1022885</v>
      </c>
    </row>
    <row r="714" spans="5:8" x14ac:dyDescent="0.25">
      <c r="E714" t="str">
        <f>""</f>
        <v/>
      </c>
      <c r="F714" t="str">
        <f>""</f>
        <v/>
      </c>
      <c r="H714" t="str">
        <f>"Inv# 1094568"</f>
        <v>Inv# 1094568</v>
      </c>
    </row>
    <row r="715" spans="5:8" x14ac:dyDescent="0.25">
      <c r="E715" t="str">
        <f>""</f>
        <v/>
      </c>
      <c r="F715" t="str">
        <f>""</f>
        <v/>
      </c>
      <c r="H715" t="str">
        <f>"Inv# 23002"</f>
        <v>Inv# 23002</v>
      </c>
    </row>
    <row r="716" spans="5:8" x14ac:dyDescent="0.25">
      <c r="E716" t="str">
        <f>""</f>
        <v/>
      </c>
      <c r="F716" t="str">
        <f>""</f>
        <v/>
      </c>
      <c r="H716" t="str">
        <f>"iNV# 9094638"</f>
        <v>iNV# 9094638</v>
      </c>
    </row>
    <row r="717" spans="5:8" x14ac:dyDescent="0.25">
      <c r="E717" t="str">
        <f>""</f>
        <v/>
      </c>
      <c r="F717" t="str">
        <f>""</f>
        <v/>
      </c>
      <c r="H717" t="str">
        <f>"Inv# 1020679"</f>
        <v>Inv# 1020679</v>
      </c>
    </row>
    <row r="718" spans="5:8" x14ac:dyDescent="0.25">
      <c r="E718" t="str">
        <f>""</f>
        <v/>
      </c>
      <c r="F718" t="str">
        <f>""</f>
        <v/>
      </c>
      <c r="H718" t="str">
        <f>"Inv# 10869"</f>
        <v>Inv# 10869</v>
      </c>
    </row>
    <row r="719" spans="5:8" x14ac:dyDescent="0.25">
      <c r="E719" t="str">
        <f>""</f>
        <v/>
      </c>
      <c r="F719" t="str">
        <f>""</f>
        <v/>
      </c>
      <c r="H719" t="str">
        <f>"Inv# 563023"</f>
        <v>Inv# 563023</v>
      </c>
    </row>
    <row r="720" spans="5:8" x14ac:dyDescent="0.25">
      <c r="E720" t="str">
        <f>""</f>
        <v/>
      </c>
      <c r="F720" t="str">
        <f>""</f>
        <v/>
      </c>
      <c r="H720" t="str">
        <f>"Inv# 3021523"</f>
        <v>Inv# 3021523</v>
      </c>
    </row>
    <row r="721" spans="1:8" x14ac:dyDescent="0.25">
      <c r="E721" t="str">
        <f>""</f>
        <v/>
      </c>
      <c r="F721" t="str">
        <f>""</f>
        <v/>
      </c>
      <c r="H721" t="str">
        <f>"Inv# 7011778"</f>
        <v>Inv# 7011778</v>
      </c>
    </row>
    <row r="722" spans="1:8" x14ac:dyDescent="0.25">
      <c r="A722" t="s">
        <v>238</v>
      </c>
      <c r="B722">
        <v>79026</v>
      </c>
      <c r="C722" s="2">
        <v>53.49</v>
      </c>
      <c r="D722" s="1">
        <v>43382</v>
      </c>
      <c r="E722" t="str">
        <f>"201810024140"</f>
        <v>201810024140</v>
      </c>
      <c r="F722" t="str">
        <f>"INDIGENT HEALTH"</f>
        <v>INDIGENT HEALTH</v>
      </c>
      <c r="G722" s="3">
        <v>53.49</v>
      </c>
      <c r="H722" t="str">
        <f>"INDIGENT HEALTH"</f>
        <v>INDIGENT HEALTH</v>
      </c>
    </row>
    <row r="723" spans="1:8" x14ac:dyDescent="0.25">
      <c r="A723" t="s">
        <v>239</v>
      </c>
      <c r="B723">
        <v>79027</v>
      </c>
      <c r="C723" s="2">
        <v>506</v>
      </c>
      <c r="D723" s="1">
        <v>43382</v>
      </c>
      <c r="E723" t="str">
        <f>"201810034156"</f>
        <v>201810034156</v>
      </c>
      <c r="F723" t="str">
        <f>"HOTEL GALVEZ"</f>
        <v>HOTEL GALVEZ</v>
      </c>
      <c r="G723" s="3">
        <v>506</v>
      </c>
      <c r="H723" t="str">
        <f>"HOTEL  3 NIGHTS"</f>
        <v>HOTEL  3 NIGHTS</v>
      </c>
    </row>
    <row r="724" spans="1:8" x14ac:dyDescent="0.25">
      <c r="A724" t="s">
        <v>240</v>
      </c>
      <c r="B724">
        <v>79161</v>
      </c>
      <c r="C724" s="2">
        <v>19055.650000000001</v>
      </c>
      <c r="D724" s="1">
        <v>43383</v>
      </c>
      <c r="E724" t="str">
        <f>"1702036768"</f>
        <v>1702036768</v>
      </c>
      <c r="F724" t="str">
        <f>"ACCT#5150-005117630 / 09302018"</f>
        <v>ACCT#5150-005117630 / 09302018</v>
      </c>
      <c r="G724" s="3">
        <v>238.37</v>
      </c>
    </row>
    <row r="725" spans="1:8" x14ac:dyDescent="0.25">
      <c r="E725" t="str">
        <f>"1702036769"</f>
        <v>1702036769</v>
      </c>
      <c r="F725" t="str">
        <f>"ACCT#5150-005117766 / 09302018"</f>
        <v>ACCT#5150-005117766 / 09302018</v>
      </c>
      <c r="G725" s="3">
        <v>104.64</v>
      </c>
    </row>
    <row r="726" spans="1:8" x14ac:dyDescent="0.25">
      <c r="E726" t="str">
        <f>"1702036770"</f>
        <v>1702036770</v>
      </c>
      <c r="F726" t="str">
        <f>"ACCT#5150-005117838 / 09302018"</f>
        <v>ACCT#5150-005117838 / 09302018</v>
      </c>
      <c r="G726" s="3">
        <v>96.85</v>
      </c>
    </row>
    <row r="727" spans="1:8" x14ac:dyDescent="0.25">
      <c r="E727" t="str">
        <f>"1702036772"</f>
        <v>1702036772</v>
      </c>
      <c r="F727" t="str">
        <f>"ACCT#5150-005117882 / 09302018"</f>
        <v>ACCT#5150-005117882 / 09302018</v>
      </c>
      <c r="G727" s="3">
        <v>130.78</v>
      </c>
    </row>
    <row r="728" spans="1:8" x14ac:dyDescent="0.25">
      <c r="E728" t="str">
        <f>"1702036774"</f>
        <v>1702036774</v>
      </c>
      <c r="F728" t="str">
        <f>"ACCT#5150-005118183 / 09302018"</f>
        <v>ACCT#5150-005118183 / 09302018</v>
      </c>
      <c r="G728" s="3">
        <v>561.41999999999996</v>
      </c>
    </row>
    <row r="729" spans="1:8" x14ac:dyDescent="0.25">
      <c r="E729" t="str">
        <f>"1702036786"</f>
        <v>1702036786</v>
      </c>
      <c r="F729" t="str">
        <f>"ACCT#5150-005129483 / 09302018"</f>
        <v>ACCT#5150-005129483 / 09302018</v>
      </c>
      <c r="G729" s="3">
        <v>16090.5</v>
      </c>
    </row>
    <row r="730" spans="1:8" x14ac:dyDescent="0.25">
      <c r="E730" t="str">
        <f>"s1810020001-00030"</f>
        <v>s1810020001-00030</v>
      </c>
      <c r="F730" t="str">
        <f>"ACCT#100402264 / 10022018"</f>
        <v>ACCT#100402264 / 10022018</v>
      </c>
      <c r="G730" s="3">
        <v>1833.09</v>
      </c>
    </row>
    <row r="731" spans="1:8" x14ac:dyDescent="0.25">
      <c r="A731" t="s">
        <v>240</v>
      </c>
      <c r="B731">
        <v>79161</v>
      </c>
      <c r="C731" s="2">
        <v>19055.650000000001</v>
      </c>
      <c r="D731" s="1">
        <v>43383</v>
      </c>
      <c r="E731" t="str">
        <f>"CHECK"</f>
        <v>CHECK</v>
      </c>
      <c r="F731" t="str">
        <f>""</f>
        <v/>
      </c>
      <c r="G731" s="3">
        <v>19055.650000000001</v>
      </c>
    </row>
    <row r="732" spans="1:8" x14ac:dyDescent="0.25">
      <c r="A732" t="s">
        <v>240</v>
      </c>
      <c r="B732">
        <v>79163</v>
      </c>
      <c r="C732" s="2">
        <v>1833.09</v>
      </c>
      <c r="D732" s="1">
        <v>43383</v>
      </c>
      <c r="E732" t="str">
        <f>"S1810020001-00030"</f>
        <v>S1810020001-00030</v>
      </c>
      <c r="F732" t="str">
        <f>"ACCT#100402264 / 10022018"</f>
        <v>ACCT#100402264 / 10022018</v>
      </c>
      <c r="G732" s="3">
        <v>1833.09</v>
      </c>
      <c r="H732" t="str">
        <f>"ACCT#100402264 / 10022018"</f>
        <v>ACCT#100402264 / 10022018</v>
      </c>
    </row>
    <row r="733" spans="1:8" x14ac:dyDescent="0.25">
      <c r="E733" t="str">
        <f>""</f>
        <v/>
      </c>
      <c r="F733" t="str">
        <f>""</f>
        <v/>
      </c>
      <c r="H733" t="str">
        <f>"ACCT#100402264 / 10022018"</f>
        <v>ACCT#100402264 / 10022018</v>
      </c>
    </row>
    <row r="734" spans="1:8" x14ac:dyDescent="0.25">
      <c r="E734" t="str">
        <f>""</f>
        <v/>
      </c>
      <c r="F734" t="str">
        <f>""</f>
        <v/>
      </c>
      <c r="H734" t="str">
        <f>"ACCT#100402264 / 10022018"</f>
        <v>ACCT#100402264 / 10022018</v>
      </c>
    </row>
    <row r="735" spans="1:8" x14ac:dyDescent="0.25">
      <c r="A735" t="s">
        <v>241</v>
      </c>
      <c r="B735">
        <v>999999</v>
      </c>
      <c r="C735" s="2">
        <v>6.48</v>
      </c>
      <c r="D735" s="1">
        <v>43396</v>
      </c>
      <c r="E735" t="str">
        <f>"180757"</f>
        <v>180757</v>
      </c>
      <c r="F735" t="str">
        <f>"BREATHER PLUG/PCT#1"</f>
        <v>BREATHER PLUG/PCT#1</v>
      </c>
      <c r="G735" s="3">
        <v>6.48</v>
      </c>
      <c r="H735" t="str">
        <f>"BREATHER PLUG/PCT#1"</f>
        <v>BREATHER PLUG/PCT#1</v>
      </c>
    </row>
    <row r="736" spans="1:8" x14ac:dyDescent="0.25">
      <c r="A736" t="s">
        <v>242</v>
      </c>
      <c r="B736">
        <v>79028</v>
      </c>
      <c r="C736" s="2">
        <v>2027.12</v>
      </c>
      <c r="D736" s="1">
        <v>43382</v>
      </c>
      <c r="E736" t="str">
        <f>"1517565  1514718"</f>
        <v>1517565  1514718</v>
      </c>
      <c r="F736" t="str">
        <f>"ID WHOLESALER"</f>
        <v>ID WHOLESALER</v>
      </c>
      <c r="G736" s="3">
        <v>2027.12</v>
      </c>
    </row>
    <row r="737" spans="1:8" x14ac:dyDescent="0.25">
      <c r="A737" t="s">
        <v>243</v>
      </c>
      <c r="B737">
        <v>999999</v>
      </c>
      <c r="C737" s="2">
        <v>2430</v>
      </c>
      <c r="D737" s="1">
        <v>43383</v>
      </c>
      <c r="E737" t="str">
        <f>"66661"</f>
        <v>66661</v>
      </c>
      <c r="F737" t="str">
        <f>"PROF SVCS-NOVEMBER 2018"</f>
        <v>PROF SVCS-NOVEMBER 2018</v>
      </c>
      <c r="G737" s="3">
        <v>2430</v>
      </c>
      <c r="H737" t="str">
        <f>"PROF SVCS-NOVEMBER 2018"</f>
        <v>PROF SVCS-NOVEMBER 2018</v>
      </c>
    </row>
    <row r="738" spans="1:8" x14ac:dyDescent="0.25">
      <c r="E738" t="str">
        <f>""</f>
        <v/>
      </c>
      <c r="F738" t="str">
        <f>""</f>
        <v/>
      </c>
      <c r="H738" t="str">
        <f>"PROF SVCS-NOVEMBER 2018"</f>
        <v>PROF SVCS-NOVEMBER 2018</v>
      </c>
    </row>
    <row r="739" spans="1:8" x14ac:dyDescent="0.25">
      <c r="A739" t="s">
        <v>244</v>
      </c>
      <c r="B739">
        <v>79248</v>
      </c>
      <c r="C739" s="2">
        <v>85.77</v>
      </c>
      <c r="D739" s="1">
        <v>43395</v>
      </c>
      <c r="E739" t="str">
        <f>"152567A"</f>
        <v>152567A</v>
      </c>
      <c r="F739" t="str">
        <f>"CUST#31226/VOTING STICKERS"</f>
        <v>CUST#31226/VOTING STICKERS</v>
      </c>
      <c r="G739" s="3">
        <v>85.77</v>
      </c>
      <c r="H739" t="str">
        <f>"CUST#31226/VOTING STICKERS"</f>
        <v>CUST#31226/VOTING STICKERS</v>
      </c>
    </row>
    <row r="740" spans="1:8" x14ac:dyDescent="0.25">
      <c r="A740" t="s">
        <v>245</v>
      </c>
      <c r="B740">
        <v>79029</v>
      </c>
      <c r="C740" s="2">
        <v>68.760000000000005</v>
      </c>
      <c r="D740" s="1">
        <v>43382</v>
      </c>
      <c r="E740" t="str">
        <f>"AFSM760"</f>
        <v>AFSM760</v>
      </c>
      <c r="F740" t="str">
        <f>"CUST ID:AX773/COUNTY CLERK"</f>
        <v>CUST ID:AX773/COUNTY CLERK</v>
      </c>
      <c r="G740" s="3">
        <v>68.760000000000005</v>
      </c>
      <c r="H740" t="str">
        <f>"CUST ID:AX773/COUNTY CLERK"</f>
        <v>CUST ID:AX773/COUNTY CLERK</v>
      </c>
    </row>
    <row r="741" spans="1:8" x14ac:dyDescent="0.25">
      <c r="A741" t="s">
        <v>246</v>
      </c>
      <c r="B741">
        <v>79030</v>
      </c>
      <c r="C741" s="2">
        <v>362.25</v>
      </c>
      <c r="D741" s="1">
        <v>43382</v>
      </c>
      <c r="E741" t="str">
        <f>"201810034159"</f>
        <v>201810034159</v>
      </c>
      <c r="F741" t="str">
        <f>"ISHA REALTY INC"</f>
        <v>ISHA REALTY INC</v>
      </c>
      <c r="G741" s="3">
        <v>362.25</v>
      </c>
    </row>
    <row r="742" spans="1:8" x14ac:dyDescent="0.25">
      <c r="A742" t="s">
        <v>246</v>
      </c>
      <c r="B742">
        <v>79030</v>
      </c>
      <c r="C742" s="2">
        <v>362.25</v>
      </c>
      <c r="D742" s="1">
        <v>43390</v>
      </c>
      <c r="E742" t="str">
        <f>"CHECK"</f>
        <v>CHECK</v>
      </c>
      <c r="F742" t="str">
        <f>""</f>
        <v/>
      </c>
      <c r="G742" s="3">
        <v>362.25</v>
      </c>
    </row>
    <row r="743" spans="1:8" x14ac:dyDescent="0.25">
      <c r="A743" t="s">
        <v>247</v>
      </c>
      <c r="B743">
        <v>79031</v>
      </c>
      <c r="C743" s="2">
        <v>2332</v>
      </c>
      <c r="D743" s="1">
        <v>43382</v>
      </c>
      <c r="E743" t="str">
        <f>"51862"</f>
        <v>51862</v>
      </c>
      <c r="F743" t="str">
        <f>"2017 FRHT/PCT#2"</f>
        <v>2017 FRHT/PCT#2</v>
      </c>
      <c r="G743" s="3">
        <v>2332</v>
      </c>
      <c r="H743" t="str">
        <f>"2017 FRHT/PCT#2"</f>
        <v>2017 FRHT/PCT#2</v>
      </c>
    </row>
    <row r="744" spans="1:8" x14ac:dyDescent="0.25">
      <c r="A744" t="s">
        <v>248</v>
      </c>
      <c r="B744">
        <v>999999</v>
      </c>
      <c r="C744" s="2">
        <v>1779.51</v>
      </c>
      <c r="D744" s="1">
        <v>43396</v>
      </c>
      <c r="E744" t="str">
        <f>"19341"</f>
        <v>19341</v>
      </c>
      <c r="F744" t="str">
        <f>"Asphalt Remover"</f>
        <v>Asphalt Remover</v>
      </c>
      <c r="G744" s="3">
        <v>1779.51</v>
      </c>
      <c r="H744" t="str">
        <f>"2055"</f>
        <v>2055</v>
      </c>
    </row>
    <row r="745" spans="1:8" x14ac:dyDescent="0.25">
      <c r="E745" t="str">
        <f>""</f>
        <v/>
      </c>
      <c r="F745" t="str">
        <f>""</f>
        <v/>
      </c>
      <c r="H745" t="str">
        <f>"freight"</f>
        <v>freight</v>
      </c>
    </row>
    <row r="746" spans="1:8" x14ac:dyDescent="0.25">
      <c r="A746" t="s">
        <v>249</v>
      </c>
      <c r="B746">
        <v>79249</v>
      </c>
      <c r="C746" s="2">
        <v>597.04</v>
      </c>
      <c r="D746" s="1">
        <v>43395</v>
      </c>
      <c r="E746" t="str">
        <f>"201810154513"</f>
        <v>201810154513</v>
      </c>
      <c r="F746" t="str">
        <f>"TRAVEL REIMBURSEMENT"</f>
        <v>TRAVEL REIMBURSEMENT</v>
      </c>
      <c r="G746" s="3">
        <v>597.04</v>
      </c>
      <c r="H746" t="str">
        <f>"TRAVEL REIMBURSEMENT"</f>
        <v>TRAVEL REIMBURSEMENT</v>
      </c>
    </row>
    <row r="747" spans="1:8" x14ac:dyDescent="0.25">
      <c r="A747" t="s">
        <v>250</v>
      </c>
      <c r="B747">
        <v>79032</v>
      </c>
      <c r="C747" s="2">
        <v>700</v>
      </c>
      <c r="D747" s="1">
        <v>43382</v>
      </c>
      <c r="E747" t="str">
        <f>"646033"</f>
        <v>646033</v>
      </c>
      <c r="F747" t="str">
        <f>"MOTORGRADER WORK/PCT#2"</f>
        <v>MOTORGRADER WORK/PCT#2</v>
      </c>
      <c r="G747" s="3">
        <v>700</v>
      </c>
      <c r="H747" t="str">
        <f>"MOTORGRADER WORK/PCT#2"</f>
        <v>MOTORGRADER WORK/PCT#2</v>
      </c>
    </row>
    <row r="748" spans="1:8" x14ac:dyDescent="0.25">
      <c r="A748" t="s">
        <v>251</v>
      </c>
      <c r="B748">
        <v>79033</v>
      </c>
      <c r="C748" s="2">
        <v>300</v>
      </c>
      <c r="D748" s="1">
        <v>43382</v>
      </c>
      <c r="E748" t="str">
        <f>"201810034201"</f>
        <v>201810034201</v>
      </c>
      <c r="F748" t="str">
        <f>"COURT REPORT SVCS 10/01/18"</f>
        <v>COURT REPORT SVCS 10/01/18</v>
      </c>
      <c r="G748" s="3">
        <v>300</v>
      </c>
      <c r="H748" t="str">
        <f>"COURT REPORT SVCS 10/01/18"</f>
        <v>COURT REPORT SVCS 10/01/18</v>
      </c>
    </row>
    <row r="749" spans="1:8" x14ac:dyDescent="0.25">
      <c r="A749" t="s">
        <v>252</v>
      </c>
      <c r="B749">
        <v>79034</v>
      </c>
      <c r="C749" s="2">
        <v>14</v>
      </c>
      <c r="D749" s="1">
        <v>43382</v>
      </c>
      <c r="E749" t="str">
        <f>"59483"</f>
        <v>59483</v>
      </c>
      <c r="F749" t="str">
        <f>"2011 FORD INSPECTION/PCT#4"</f>
        <v>2011 FORD INSPECTION/PCT#4</v>
      </c>
      <c r="G749" s="3">
        <v>7</v>
      </c>
      <c r="H749" t="str">
        <f>"2011 FORD INSPECTION/PCT#4"</f>
        <v>2011 FORD INSPECTION/PCT#4</v>
      </c>
    </row>
    <row r="750" spans="1:8" x14ac:dyDescent="0.25">
      <c r="E750" t="str">
        <f>"59492"</f>
        <v>59492</v>
      </c>
      <c r="F750" t="str">
        <f>"2008 FORD INSPECTION/PCT#4"</f>
        <v>2008 FORD INSPECTION/PCT#4</v>
      </c>
      <c r="G750" s="3">
        <v>7</v>
      </c>
      <c r="H750" t="str">
        <f>"2008 FORD INSPECTION/PCT#4"</f>
        <v>2008 FORD INSPECTION/PCT#4</v>
      </c>
    </row>
    <row r="751" spans="1:8" x14ac:dyDescent="0.25">
      <c r="A751" t="s">
        <v>252</v>
      </c>
      <c r="B751">
        <v>79250</v>
      </c>
      <c r="C751" s="2">
        <v>7</v>
      </c>
      <c r="D751" s="1">
        <v>43395</v>
      </c>
      <c r="E751" t="str">
        <f>"59917"</f>
        <v>59917</v>
      </c>
      <c r="F751" t="str">
        <f>"INSPECTION-2016 TRAILER"</f>
        <v>INSPECTION-2016 TRAILER</v>
      </c>
      <c r="G751" s="3">
        <v>7</v>
      </c>
      <c r="H751" t="str">
        <f>"INSPECTION-2016 TRAILER"</f>
        <v>INSPECTION-2016 TRAILER</v>
      </c>
    </row>
    <row r="752" spans="1:8" x14ac:dyDescent="0.25">
      <c r="A752" t="s">
        <v>253</v>
      </c>
      <c r="B752">
        <v>999999</v>
      </c>
      <c r="C752" s="2">
        <v>1200</v>
      </c>
      <c r="D752" s="1">
        <v>43383</v>
      </c>
      <c r="E752" t="str">
        <f>"201810024026"</f>
        <v>201810024026</v>
      </c>
      <c r="F752" t="str">
        <f>"17-18754"</f>
        <v>17-18754</v>
      </c>
      <c r="G752" s="3">
        <v>100</v>
      </c>
      <c r="H752" t="str">
        <f>"17-18754"</f>
        <v>17-18754</v>
      </c>
    </row>
    <row r="753" spans="1:8" x14ac:dyDescent="0.25">
      <c r="E753" t="str">
        <f>"201810024027"</f>
        <v>201810024027</v>
      </c>
      <c r="F753" t="str">
        <f>"16-18016"</f>
        <v>16-18016</v>
      </c>
      <c r="G753" s="3">
        <v>100</v>
      </c>
      <c r="H753" t="str">
        <f>"16-18016"</f>
        <v>16-18016</v>
      </c>
    </row>
    <row r="754" spans="1:8" x14ac:dyDescent="0.25">
      <c r="E754" t="str">
        <f>"201810024028"</f>
        <v>201810024028</v>
      </c>
      <c r="F754" t="str">
        <f>"18-18974"</f>
        <v>18-18974</v>
      </c>
      <c r="G754" s="3">
        <v>100</v>
      </c>
      <c r="H754" t="str">
        <f>"18-18974"</f>
        <v>18-18974</v>
      </c>
    </row>
    <row r="755" spans="1:8" x14ac:dyDescent="0.25">
      <c r="E755" t="str">
        <f>"201810024029"</f>
        <v>201810024029</v>
      </c>
      <c r="F755" t="str">
        <f>"18-18990"</f>
        <v>18-18990</v>
      </c>
      <c r="G755" s="3">
        <v>100</v>
      </c>
      <c r="H755" t="str">
        <f>"18-18990"</f>
        <v>18-18990</v>
      </c>
    </row>
    <row r="756" spans="1:8" x14ac:dyDescent="0.25">
      <c r="E756" t="str">
        <f>"201810024083"</f>
        <v>201810024083</v>
      </c>
      <c r="F756" t="str">
        <f>"17-18493"</f>
        <v>17-18493</v>
      </c>
      <c r="G756" s="3">
        <v>100</v>
      </c>
      <c r="H756" t="str">
        <f>"17-18493"</f>
        <v>17-18493</v>
      </c>
    </row>
    <row r="757" spans="1:8" x14ac:dyDescent="0.25">
      <c r="E757" t="str">
        <f>"201810024084"</f>
        <v>201810024084</v>
      </c>
      <c r="F757" t="str">
        <f>"17-18579"</f>
        <v>17-18579</v>
      </c>
      <c r="G757" s="3">
        <v>100</v>
      </c>
      <c r="H757" t="str">
        <f>"17-18579"</f>
        <v>17-18579</v>
      </c>
    </row>
    <row r="758" spans="1:8" x14ac:dyDescent="0.25">
      <c r="E758" t="str">
        <f>"201810024085"</f>
        <v>201810024085</v>
      </c>
      <c r="F758" t="str">
        <f>"16-17913"</f>
        <v>16-17913</v>
      </c>
      <c r="G758" s="3">
        <v>100</v>
      </c>
      <c r="H758" t="str">
        <f>"16-17913"</f>
        <v>16-17913</v>
      </c>
    </row>
    <row r="759" spans="1:8" x14ac:dyDescent="0.25">
      <c r="E759" t="str">
        <f>"201810024095"</f>
        <v>201810024095</v>
      </c>
      <c r="F759" t="str">
        <f>"J-3154"</f>
        <v>J-3154</v>
      </c>
      <c r="G759" s="3">
        <v>250</v>
      </c>
      <c r="H759" t="str">
        <f>"J-3154"</f>
        <v>J-3154</v>
      </c>
    </row>
    <row r="760" spans="1:8" x14ac:dyDescent="0.25">
      <c r="E760" t="str">
        <f>"201810024113"</f>
        <v>201810024113</v>
      </c>
      <c r="F760" t="str">
        <f>"4031386  925348-616314002 TX54"</f>
        <v>4031386  925348-616314002 TX54</v>
      </c>
      <c r="G760" s="3">
        <v>250</v>
      </c>
      <c r="H760" t="str">
        <f>"4031386  925348-616314002 TX54"</f>
        <v>4031386  925348-616314002 TX54</v>
      </c>
    </row>
    <row r="761" spans="1:8" x14ac:dyDescent="0.25">
      <c r="A761" t="s">
        <v>253</v>
      </c>
      <c r="B761">
        <v>999999</v>
      </c>
      <c r="C761" s="2">
        <v>1075</v>
      </c>
      <c r="D761" s="1">
        <v>43396</v>
      </c>
      <c r="E761" t="str">
        <f>"12321"</f>
        <v>12321</v>
      </c>
      <c r="F761" t="str">
        <f>"AD LITEM FEE"</f>
        <v>AD LITEM FEE</v>
      </c>
      <c r="G761" s="3">
        <v>150</v>
      </c>
      <c r="H761" t="str">
        <f>"AD LITEM FEE"</f>
        <v>AD LITEM FEE</v>
      </c>
    </row>
    <row r="762" spans="1:8" x14ac:dyDescent="0.25">
      <c r="E762" t="str">
        <f>"12465"</f>
        <v>12465</v>
      </c>
      <c r="F762" t="str">
        <f>"AD LITEM FEE"</f>
        <v>AD LITEM FEE</v>
      </c>
      <c r="G762" s="3">
        <v>150</v>
      </c>
      <c r="H762" t="str">
        <f>"AD LITEM FEE"</f>
        <v>AD LITEM FEE</v>
      </c>
    </row>
    <row r="763" spans="1:8" x14ac:dyDescent="0.25">
      <c r="E763" t="str">
        <f>"12529"</f>
        <v>12529</v>
      </c>
      <c r="F763" t="str">
        <f>"AD LITEM FEE"</f>
        <v>AD LITEM FEE</v>
      </c>
      <c r="G763" s="3">
        <v>150</v>
      </c>
      <c r="H763" t="str">
        <f>"AD LITEM FEE"</f>
        <v>AD LITEM FEE</v>
      </c>
    </row>
    <row r="764" spans="1:8" x14ac:dyDescent="0.25">
      <c r="E764" t="str">
        <f>"201810164544"</f>
        <v>201810164544</v>
      </c>
      <c r="F764" t="str">
        <f>"54 323"</f>
        <v>54 323</v>
      </c>
      <c r="G764" s="3">
        <v>250</v>
      </c>
      <c r="H764" t="str">
        <f>"54 323"</f>
        <v>54 323</v>
      </c>
    </row>
    <row r="765" spans="1:8" x14ac:dyDescent="0.25">
      <c r="E765" t="str">
        <f>"201810164549"</f>
        <v>201810164549</v>
      </c>
      <c r="F765" t="str">
        <f>"55 970"</f>
        <v>55 970</v>
      </c>
      <c r="G765" s="3">
        <v>375</v>
      </c>
      <c r="H765" t="str">
        <f>"55 970"</f>
        <v>55 970</v>
      </c>
    </row>
    <row r="766" spans="1:8" x14ac:dyDescent="0.25">
      <c r="A766" t="s">
        <v>254</v>
      </c>
      <c r="B766">
        <v>79251</v>
      </c>
      <c r="C766" s="2">
        <v>15</v>
      </c>
      <c r="D766" s="1">
        <v>43395</v>
      </c>
      <c r="E766" t="str">
        <f>"201810174594"</f>
        <v>201810174594</v>
      </c>
      <c r="F766" t="str">
        <f>"REIMBURSEMENT"</f>
        <v>REIMBURSEMENT</v>
      </c>
      <c r="G766" s="3">
        <v>15</v>
      </c>
      <c r="H766" t="str">
        <f>"REIMBURSEMENT"</f>
        <v>REIMBURSEMENT</v>
      </c>
    </row>
    <row r="767" spans="1:8" x14ac:dyDescent="0.25">
      <c r="A767" t="s">
        <v>255</v>
      </c>
      <c r="B767">
        <v>79035</v>
      </c>
      <c r="C767" s="2">
        <v>10260</v>
      </c>
      <c r="D767" s="1">
        <v>43382</v>
      </c>
      <c r="E767" t="str">
        <f>"1076"</f>
        <v>1076</v>
      </c>
      <c r="F767" t="str">
        <f>"INV 1076"</f>
        <v>INV 1076</v>
      </c>
      <c r="G767" s="3">
        <v>75</v>
      </c>
      <c r="H767" t="str">
        <f>"INV 1076"</f>
        <v>INV 1076</v>
      </c>
    </row>
    <row r="768" spans="1:8" x14ac:dyDescent="0.25">
      <c r="E768" t="str">
        <f>"1077"</f>
        <v>1077</v>
      </c>
      <c r="F768" t="str">
        <f>"INV 1077"</f>
        <v>INV 1077</v>
      </c>
      <c r="G768" s="3">
        <v>10185</v>
      </c>
      <c r="H768" t="str">
        <f>"INV 1077"</f>
        <v>INV 1077</v>
      </c>
    </row>
    <row r="769" spans="1:9" x14ac:dyDescent="0.25">
      <c r="A769" t="s">
        <v>256</v>
      </c>
      <c r="B769">
        <v>999999</v>
      </c>
      <c r="C769" s="2">
        <v>400</v>
      </c>
      <c r="D769" s="1">
        <v>43383</v>
      </c>
      <c r="E769" t="str">
        <f>"201809273949"</f>
        <v>201809273949</v>
      </c>
      <c r="F769" t="str">
        <f>"15987"</f>
        <v>15987</v>
      </c>
      <c r="G769" s="3">
        <v>400</v>
      </c>
      <c r="H769" t="str">
        <f>"15987"</f>
        <v>15987</v>
      </c>
    </row>
    <row r="770" spans="1:9" x14ac:dyDescent="0.25">
      <c r="A770" t="s">
        <v>256</v>
      </c>
      <c r="B770">
        <v>999999</v>
      </c>
      <c r="C770" s="2">
        <v>1200</v>
      </c>
      <c r="D770" s="1">
        <v>43396</v>
      </c>
      <c r="E770" t="str">
        <f>"201810124494"</f>
        <v>201810124494</v>
      </c>
      <c r="F770" t="str">
        <f>"JP1.145005305"</f>
        <v>JP1.145005305</v>
      </c>
      <c r="G770" s="3">
        <v>400</v>
      </c>
      <c r="H770" t="str">
        <f>"JP1.145005305"</f>
        <v>JP1.145005305</v>
      </c>
    </row>
    <row r="771" spans="1:9" x14ac:dyDescent="0.25">
      <c r="E771" t="str">
        <f>"201810124495"</f>
        <v>201810124495</v>
      </c>
      <c r="F771" t="str">
        <f>"02.07024"</f>
        <v>02.07024</v>
      </c>
      <c r="G771" s="3">
        <v>400</v>
      </c>
      <c r="H771" t="str">
        <f>"02.07024"</f>
        <v>02.07024</v>
      </c>
    </row>
    <row r="772" spans="1:9" x14ac:dyDescent="0.25">
      <c r="E772" t="str">
        <f>"201810124496"</f>
        <v>201810124496</v>
      </c>
      <c r="F772" t="str">
        <f>"16-5-06621  311042016A"</f>
        <v>16-5-06621  311042016A</v>
      </c>
      <c r="G772" s="3">
        <v>400</v>
      </c>
      <c r="H772" t="str">
        <f>"16-5-06621  311042016A"</f>
        <v>16-5-06621  311042016A</v>
      </c>
    </row>
    <row r="773" spans="1:9" x14ac:dyDescent="0.25">
      <c r="A773" t="s">
        <v>257</v>
      </c>
      <c r="B773">
        <v>79036</v>
      </c>
      <c r="C773" s="2">
        <v>3014.2</v>
      </c>
      <c r="D773" s="1">
        <v>43382</v>
      </c>
      <c r="E773" t="str">
        <f>"P71827/72380/72508"</f>
        <v>P71827/72380/72508</v>
      </c>
      <c r="F773" t="str">
        <f>"ACCT#8850283308/PCT#2"</f>
        <v>ACCT#8850283308/PCT#2</v>
      </c>
      <c r="G773" s="3">
        <v>1116.71</v>
      </c>
      <c r="H773" t="str">
        <f>"ACCT#8850283308/PCT#2"</f>
        <v>ACCT#8850283308/PCT#2</v>
      </c>
    </row>
    <row r="774" spans="1:9" x14ac:dyDescent="0.25">
      <c r="E774" t="str">
        <f>"R78237"</f>
        <v>R78237</v>
      </c>
      <c r="F774" t="str">
        <f>"ACCT#8850283308"</f>
        <v>ACCT#8850283308</v>
      </c>
      <c r="G774" s="3">
        <v>1897.49</v>
      </c>
      <c r="H774" t="str">
        <f>"ACCT#8850283308"</f>
        <v>ACCT#8850283308</v>
      </c>
    </row>
    <row r="775" spans="1:9" x14ac:dyDescent="0.25">
      <c r="A775" t="s">
        <v>258</v>
      </c>
      <c r="B775">
        <v>79252</v>
      </c>
      <c r="C775" s="2">
        <v>4650</v>
      </c>
      <c r="D775" s="1">
        <v>43395</v>
      </c>
      <c r="E775" t="str">
        <f>"201810164580"</f>
        <v>201810164580</v>
      </c>
      <c r="F775" t="str">
        <f>"16 019"</f>
        <v>16 019</v>
      </c>
      <c r="G775" s="3">
        <v>4650</v>
      </c>
      <c r="H775" t="str">
        <f>"16 019"</f>
        <v>16 019</v>
      </c>
    </row>
    <row r="776" spans="1:9" x14ac:dyDescent="0.25">
      <c r="A776" t="s">
        <v>259</v>
      </c>
      <c r="B776">
        <v>79037</v>
      </c>
      <c r="C776" s="2">
        <v>100</v>
      </c>
      <c r="D776" s="1">
        <v>43382</v>
      </c>
      <c r="E776" t="s">
        <v>260</v>
      </c>
      <c r="F776" t="s">
        <v>261</v>
      </c>
      <c r="G776" s="3" t="str">
        <f>"RESTITUTION-P. MILLER"</f>
        <v>RESTITUTION-P. MILLER</v>
      </c>
      <c r="H776" t="str">
        <f>"210-0000"</f>
        <v>210-0000</v>
      </c>
      <c r="I776" t="str">
        <f>""</f>
        <v/>
      </c>
    </row>
    <row r="777" spans="1:9" x14ac:dyDescent="0.25">
      <c r="A777" t="s">
        <v>262</v>
      </c>
      <c r="B777">
        <v>999999</v>
      </c>
      <c r="C777" s="2">
        <v>682.37</v>
      </c>
      <c r="D777" s="1">
        <v>43383</v>
      </c>
      <c r="E777" t="str">
        <f>"201809263948"</f>
        <v>201809263948</v>
      </c>
      <c r="F777" t="str">
        <f>"MILEAGE REIMBURSEMENT"</f>
        <v>MILEAGE REIMBURSEMENT</v>
      </c>
      <c r="G777" s="3">
        <v>682.37</v>
      </c>
      <c r="H777" t="str">
        <f>"MILEAGE REIMBURSEMENT"</f>
        <v>MILEAGE REIMBURSEMENT</v>
      </c>
    </row>
    <row r="778" spans="1:9" x14ac:dyDescent="0.25">
      <c r="A778" t="s">
        <v>263</v>
      </c>
      <c r="B778">
        <v>79253</v>
      </c>
      <c r="C778" s="2">
        <v>300</v>
      </c>
      <c r="D778" s="1">
        <v>43395</v>
      </c>
      <c r="E778" t="str">
        <f>"201810164530"</f>
        <v>201810164530</v>
      </c>
      <c r="F778" t="str">
        <f>"REFUND 17-3415J4"</f>
        <v>REFUND 17-3415J4</v>
      </c>
      <c r="G778" s="3">
        <v>300</v>
      </c>
      <c r="H778" t="str">
        <f t="shared" ref="H778:H791" si="4">"REFUND 17-3415J4"</f>
        <v>REFUND 17-3415J4</v>
      </c>
    </row>
    <row r="779" spans="1:9" x14ac:dyDescent="0.25">
      <c r="E779" t="str">
        <f>""</f>
        <v/>
      </c>
      <c r="F779" t="str">
        <f>""</f>
        <v/>
      </c>
      <c r="H779" t="str">
        <f t="shared" si="4"/>
        <v>REFUND 17-3415J4</v>
      </c>
    </row>
    <row r="780" spans="1:9" x14ac:dyDescent="0.25">
      <c r="E780" t="str">
        <f>""</f>
        <v/>
      </c>
      <c r="F780" t="str">
        <f>""</f>
        <v/>
      </c>
      <c r="H780" t="str">
        <f t="shared" si="4"/>
        <v>REFUND 17-3415J4</v>
      </c>
    </row>
    <row r="781" spans="1:9" x14ac:dyDescent="0.25">
      <c r="E781" t="str">
        <f>""</f>
        <v/>
      </c>
      <c r="F781" t="str">
        <f>""</f>
        <v/>
      </c>
      <c r="H781" t="str">
        <f t="shared" si="4"/>
        <v>REFUND 17-3415J4</v>
      </c>
    </row>
    <row r="782" spans="1:9" x14ac:dyDescent="0.25">
      <c r="E782" t="str">
        <f>""</f>
        <v/>
      </c>
      <c r="F782" t="str">
        <f>""</f>
        <v/>
      </c>
      <c r="H782" t="str">
        <f t="shared" si="4"/>
        <v>REFUND 17-3415J4</v>
      </c>
    </row>
    <row r="783" spans="1:9" x14ac:dyDescent="0.25">
      <c r="E783" t="str">
        <f>""</f>
        <v/>
      </c>
      <c r="F783" t="str">
        <f>""</f>
        <v/>
      </c>
      <c r="H783" t="str">
        <f t="shared" si="4"/>
        <v>REFUND 17-3415J4</v>
      </c>
    </row>
    <row r="784" spans="1:9" x14ac:dyDescent="0.25">
      <c r="E784" t="str">
        <f>""</f>
        <v/>
      </c>
      <c r="F784" t="str">
        <f>""</f>
        <v/>
      </c>
      <c r="H784" t="str">
        <f t="shared" si="4"/>
        <v>REFUND 17-3415J4</v>
      </c>
    </row>
    <row r="785" spans="1:8" x14ac:dyDescent="0.25">
      <c r="E785" t="str">
        <f>""</f>
        <v/>
      </c>
      <c r="F785" t="str">
        <f>""</f>
        <v/>
      </c>
      <c r="H785" t="str">
        <f t="shared" si="4"/>
        <v>REFUND 17-3415J4</v>
      </c>
    </row>
    <row r="786" spans="1:8" x14ac:dyDescent="0.25">
      <c r="E786" t="str">
        <f>""</f>
        <v/>
      </c>
      <c r="F786" t="str">
        <f>""</f>
        <v/>
      </c>
      <c r="H786" t="str">
        <f t="shared" si="4"/>
        <v>REFUND 17-3415J4</v>
      </c>
    </row>
    <row r="787" spans="1:8" x14ac:dyDescent="0.25">
      <c r="E787" t="str">
        <f>""</f>
        <v/>
      </c>
      <c r="F787" t="str">
        <f>""</f>
        <v/>
      </c>
      <c r="H787" t="str">
        <f t="shared" si="4"/>
        <v>REFUND 17-3415J4</v>
      </c>
    </row>
    <row r="788" spans="1:8" x14ac:dyDescent="0.25">
      <c r="E788" t="str">
        <f>""</f>
        <v/>
      </c>
      <c r="F788" t="str">
        <f>""</f>
        <v/>
      </c>
      <c r="H788" t="str">
        <f t="shared" si="4"/>
        <v>REFUND 17-3415J4</v>
      </c>
    </row>
    <row r="789" spans="1:8" x14ac:dyDescent="0.25">
      <c r="E789" t="str">
        <f>""</f>
        <v/>
      </c>
      <c r="F789" t="str">
        <f>""</f>
        <v/>
      </c>
      <c r="H789" t="str">
        <f t="shared" si="4"/>
        <v>REFUND 17-3415J4</v>
      </c>
    </row>
    <row r="790" spans="1:8" x14ac:dyDescent="0.25">
      <c r="E790" t="str">
        <f>""</f>
        <v/>
      </c>
      <c r="F790" t="str">
        <f>""</f>
        <v/>
      </c>
      <c r="H790" t="str">
        <f t="shared" si="4"/>
        <v>REFUND 17-3415J4</v>
      </c>
    </row>
    <row r="791" spans="1:8" x14ac:dyDescent="0.25">
      <c r="E791" t="str">
        <f>""</f>
        <v/>
      </c>
      <c r="F791" t="str">
        <f>""</f>
        <v/>
      </c>
      <c r="H791" t="str">
        <f t="shared" si="4"/>
        <v>REFUND 17-3415J4</v>
      </c>
    </row>
    <row r="792" spans="1:8" x14ac:dyDescent="0.25">
      <c r="A792" t="s">
        <v>264</v>
      </c>
      <c r="B792">
        <v>999999</v>
      </c>
      <c r="C792" s="2">
        <v>1650</v>
      </c>
      <c r="D792" s="1">
        <v>43383</v>
      </c>
      <c r="E792" t="str">
        <f>"201809273950"</f>
        <v>201809273950</v>
      </c>
      <c r="F792" t="str">
        <f>"16503"</f>
        <v>16503</v>
      </c>
      <c r="G792" s="3">
        <v>800</v>
      </c>
      <c r="H792" t="str">
        <f>"16503"</f>
        <v>16503</v>
      </c>
    </row>
    <row r="793" spans="1:8" x14ac:dyDescent="0.25">
      <c r="E793" t="str">
        <f>"201809283971"</f>
        <v>201809283971</v>
      </c>
      <c r="F793" t="str">
        <f>"932-21"</f>
        <v>932-21</v>
      </c>
      <c r="G793" s="3">
        <v>100</v>
      </c>
      <c r="H793" t="str">
        <f>"932-21"</f>
        <v>932-21</v>
      </c>
    </row>
    <row r="794" spans="1:8" x14ac:dyDescent="0.25">
      <c r="E794" t="str">
        <f>"201810024048"</f>
        <v>201810024048</v>
      </c>
      <c r="F794" t="str">
        <f>"56273"</f>
        <v>56273</v>
      </c>
      <c r="G794" s="3">
        <v>250</v>
      </c>
      <c r="H794" t="str">
        <f>"56273"</f>
        <v>56273</v>
      </c>
    </row>
    <row r="795" spans="1:8" x14ac:dyDescent="0.25">
      <c r="E795" t="str">
        <f>"201810024049"</f>
        <v>201810024049</v>
      </c>
      <c r="F795" t="str">
        <f>"56270"</f>
        <v>56270</v>
      </c>
      <c r="G795" s="3">
        <v>250</v>
      </c>
      <c r="H795" t="str">
        <f>"56270"</f>
        <v>56270</v>
      </c>
    </row>
    <row r="796" spans="1:8" x14ac:dyDescent="0.25">
      <c r="E796" t="str">
        <f>"201810024057"</f>
        <v>201810024057</v>
      </c>
      <c r="F796" t="str">
        <f>"BC20180721"</f>
        <v>BC20180721</v>
      </c>
      <c r="G796" s="3">
        <v>250</v>
      </c>
      <c r="H796" t="str">
        <f>"BC20180721"</f>
        <v>BC20180721</v>
      </c>
    </row>
    <row r="797" spans="1:8" x14ac:dyDescent="0.25">
      <c r="A797" t="s">
        <v>264</v>
      </c>
      <c r="B797">
        <v>999999</v>
      </c>
      <c r="C797" s="2">
        <v>1950</v>
      </c>
      <c r="D797" s="1">
        <v>43396</v>
      </c>
      <c r="E797" t="str">
        <f>"201810124488"</f>
        <v>201810124488</v>
      </c>
      <c r="F797" t="str">
        <f>"16680"</f>
        <v>16680</v>
      </c>
      <c r="G797" s="3">
        <v>400</v>
      </c>
      <c r="H797" t="str">
        <f>"16680"</f>
        <v>16680</v>
      </c>
    </row>
    <row r="798" spans="1:8" x14ac:dyDescent="0.25">
      <c r="E798" t="str">
        <f>"201810124489"</f>
        <v>201810124489</v>
      </c>
      <c r="F798" t="str">
        <f>"423-6031  926-21"</f>
        <v>423-6031  926-21</v>
      </c>
      <c r="G798" s="3">
        <v>200</v>
      </c>
      <c r="H798" t="str">
        <f>"423-6031  926-21"</f>
        <v>423-6031  926-21</v>
      </c>
    </row>
    <row r="799" spans="1:8" x14ac:dyDescent="0.25">
      <c r="E799" t="str">
        <f>"201810164537"</f>
        <v>201810164537</v>
      </c>
      <c r="F799" t="str">
        <f>"CH20160331C"</f>
        <v>CH20160331C</v>
      </c>
      <c r="G799" s="3">
        <v>250</v>
      </c>
      <c r="H799" t="str">
        <f>"CH20160331C"</f>
        <v>CH20160331C</v>
      </c>
    </row>
    <row r="800" spans="1:8" x14ac:dyDescent="0.25">
      <c r="E800" t="str">
        <f>"201810164546"</f>
        <v>201810164546</v>
      </c>
      <c r="F800" t="str">
        <f>"55558"</f>
        <v>55558</v>
      </c>
      <c r="G800" s="3">
        <v>250</v>
      </c>
      <c r="H800" t="str">
        <f>"55558"</f>
        <v>55558</v>
      </c>
    </row>
    <row r="801" spans="1:9" x14ac:dyDescent="0.25">
      <c r="E801" t="str">
        <f>"201810164547"</f>
        <v>201810164547</v>
      </c>
      <c r="F801" t="str">
        <f>"54619"</f>
        <v>54619</v>
      </c>
      <c r="G801" s="3">
        <v>250</v>
      </c>
      <c r="H801" t="str">
        <f>"54619"</f>
        <v>54619</v>
      </c>
    </row>
    <row r="802" spans="1:9" x14ac:dyDescent="0.25">
      <c r="E802" t="str">
        <f>"201810164558"</f>
        <v>201810164558</v>
      </c>
      <c r="F802" t="str">
        <f>"18-19258  18-19259"</f>
        <v>18-19258  18-19259</v>
      </c>
      <c r="G802" s="3">
        <v>200</v>
      </c>
      <c r="H802" t="str">
        <f>"18-19258  18-19259"</f>
        <v>18-19258  18-19259</v>
      </c>
    </row>
    <row r="803" spans="1:9" x14ac:dyDescent="0.25">
      <c r="E803" t="str">
        <f>"201810164590"</f>
        <v>201810164590</v>
      </c>
      <c r="F803" t="str">
        <f>"405098-8"</f>
        <v>405098-8</v>
      </c>
      <c r="G803" s="3">
        <v>400</v>
      </c>
      <c r="H803" t="str">
        <f>"405098-8"</f>
        <v>405098-8</v>
      </c>
    </row>
    <row r="804" spans="1:9" x14ac:dyDescent="0.25">
      <c r="A804" t="s">
        <v>265</v>
      </c>
      <c r="B804">
        <v>999999</v>
      </c>
      <c r="C804" s="2">
        <v>549</v>
      </c>
      <c r="D804" s="1">
        <v>43396</v>
      </c>
      <c r="E804" t="str">
        <f>"10316"</f>
        <v>10316</v>
      </c>
      <c r="F804" t="str">
        <f>"inv# 10316"</f>
        <v>inv# 10316</v>
      </c>
      <c r="G804" s="3">
        <v>549</v>
      </c>
      <c r="H804" t="str">
        <f>"inv# 10316"</f>
        <v>inv# 10316</v>
      </c>
    </row>
    <row r="805" spans="1:9" x14ac:dyDescent="0.25">
      <c r="A805" t="s">
        <v>266</v>
      </c>
      <c r="B805">
        <v>999999</v>
      </c>
      <c r="C805" s="2">
        <v>5300</v>
      </c>
      <c r="D805" s="1">
        <v>43396</v>
      </c>
      <c r="E805" t="str">
        <f>"1205"</f>
        <v>1205</v>
      </c>
      <c r="F805" t="str">
        <f>"INSTALL BRIDGE RAILS/PCT#2"</f>
        <v>INSTALL BRIDGE RAILS/PCT#2</v>
      </c>
      <c r="G805" s="3">
        <v>5300</v>
      </c>
      <c r="H805" t="str">
        <f>"INSTALL BRIDGE RAILS/PCT#2"</f>
        <v>INSTALL BRIDGE RAILS/PCT#2</v>
      </c>
    </row>
    <row r="806" spans="1:9" x14ac:dyDescent="0.25">
      <c r="A806" t="s">
        <v>267</v>
      </c>
      <c r="B806">
        <v>79254</v>
      </c>
      <c r="C806" s="2">
        <v>375</v>
      </c>
      <c r="D806" s="1">
        <v>43395</v>
      </c>
      <c r="E806" t="str">
        <f>"201810114480"</f>
        <v>201810114480</v>
      </c>
      <c r="F806" t="str">
        <f>"REIMBURSEMENT-CONFERENCE"</f>
        <v>REIMBURSEMENT-CONFERENCE</v>
      </c>
      <c r="G806" s="3">
        <v>375</v>
      </c>
      <c r="H806" t="str">
        <f>"REIMBURSEMENT-CONFERENCE"</f>
        <v>REIMBURSEMENT-CONFERENCE</v>
      </c>
    </row>
    <row r="807" spans="1:9" x14ac:dyDescent="0.25">
      <c r="A807" t="s">
        <v>268</v>
      </c>
      <c r="B807">
        <v>79038</v>
      </c>
      <c r="C807" s="2">
        <v>25</v>
      </c>
      <c r="D807" s="1">
        <v>43382</v>
      </c>
      <c r="E807" t="s">
        <v>269</v>
      </c>
      <c r="F807" t="s">
        <v>270</v>
      </c>
      <c r="G807" s="3" t="str">
        <f>"RESTITUTION-J. HOFFMAN"</f>
        <v>RESTITUTION-J. HOFFMAN</v>
      </c>
      <c r="H807" t="str">
        <f>"210-0000"</f>
        <v>210-0000</v>
      </c>
      <c r="I807" t="str">
        <f>""</f>
        <v/>
      </c>
    </row>
    <row r="808" spans="1:9" x14ac:dyDescent="0.25">
      <c r="A808" t="s">
        <v>271</v>
      </c>
      <c r="B808">
        <v>79039</v>
      </c>
      <c r="C808" s="2">
        <v>25</v>
      </c>
      <c r="D808" s="1">
        <v>43382</v>
      </c>
      <c r="E808" t="s">
        <v>231</v>
      </c>
      <c r="F808" t="s">
        <v>272</v>
      </c>
      <c r="G808" s="3" t="str">
        <f>"RESTITUTION-D. SPURK"</f>
        <v>RESTITUTION-D. SPURK</v>
      </c>
      <c r="H808" t="str">
        <f>"210-0000"</f>
        <v>210-0000</v>
      </c>
      <c r="I808" t="str">
        <f>""</f>
        <v/>
      </c>
    </row>
    <row r="809" spans="1:9" x14ac:dyDescent="0.25">
      <c r="A809" t="s">
        <v>273</v>
      </c>
      <c r="B809">
        <v>79040</v>
      </c>
      <c r="C809" s="2">
        <v>25</v>
      </c>
      <c r="D809" s="1">
        <v>43382</v>
      </c>
      <c r="E809" t="s">
        <v>274</v>
      </c>
      <c r="F809" t="s">
        <v>275</v>
      </c>
      <c r="G809" s="3" t="str">
        <f>"RESTITUTION-C. FERRIS"</f>
        <v>RESTITUTION-C. FERRIS</v>
      </c>
    </row>
    <row r="810" spans="1:9" x14ac:dyDescent="0.25">
      <c r="A810" t="s">
        <v>273</v>
      </c>
      <c r="B810">
        <v>79040</v>
      </c>
      <c r="C810" s="2">
        <v>25</v>
      </c>
      <c r="D810" s="1">
        <v>43390</v>
      </c>
      <c r="E810" t="str">
        <f>"CHECK"</f>
        <v>CHECK</v>
      </c>
      <c r="F810" t="str">
        <f>""</f>
        <v/>
      </c>
      <c r="G810" s="3">
        <v>25</v>
      </c>
    </row>
    <row r="811" spans="1:9" x14ac:dyDescent="0.25">
      <c r="A811" t="s">
        <v>276</v>
      </c>
      <c r="B811">
        <v>79041</v>
      </c>
      <c r="C811" s="2">
        <v>690</v>
      </c>
      <c r="D811" s="1">
        <v>43382</v>
      </c>
      <c r="E811" t="str">
        <f>"228869"</f>
        <v>228869</v>
      </c>
      <c r="F811" t="str">
        <f>"TRASH PICK UP/PCT#1"</f>
        <v>TRASH PICK UP/PCT#1</v>
      </c>
      <c r="G811" s="3">
        <v>395</v>
      </c>
      <c r="H811" t="str">
        <f>"TRASH PICK UP/PCT#1"</f>
        <v>TRASH PICK UP/PCT#1</v>
      </c>
    </row>
    <row r="812" spans="1:9" x14ac:dyDescent="0.25">
      <c r="E812" t="str">
        <f>"228874"</f>
        <v>228874</v>
      </c>
      <c r="F812" t="str">
        <f>"TRASH PICK UP/PCT#1"</f>
        <v>TRASH PICK UP/PCT#1</v>
      </c>
      <c r="G812" s="3">
        <v>295</v>
      </c>
      <c r="H812" t="str">
        <f>"TRASH PICK UP/PCT#1"</f>
        <v>TRASH PICK UP/PCT#1</v>
      </c>
    </row>
    <row r="813" spans="1:9" x14ac:dyDescent="0.25">
      <c r="A813" t="s">
        <v>277</v>
      </c>
      <c r="B813">
        <v>999999</v>
      </c>
      <c r="C813" s="2">
        <v>2617</v>
      </c>
      <c r="D813" s="1">
        <v>43383</v>
      </c>
      <c r="E813" t="str">
        <f>"113"</f>
        <v>113</v>
      </c>
      <c r="F813" t="str">
        <f>"TOWER RENT-OCTOBER 2018"</f>
        <v>TOWER RENT-OCTOBER 2018</v>
      </c>
      <c r="G813" s="3">
        <v>2617</v>
      </c>
      <c r="H813" t="str">
        <f>"TOWER RENT-OCTOBER 2018"</f>
        <v>TOWER RENT-OCTOBER 2018</v>
      </c>
    </row>
    <row r="814" spans="1:9" x14ac:dyDescent="0.25">
      <c r="A814" t="s">
        <v>278</v>
      </c>
      <c r="B814">
        <v>79255</v>
      </c>
      <c r="C814" s="2">
        <v>139.80000000000001</v>
      </c>
      <c r="D814" s="1">
        <v>43395</v>
      </c>
      <c r="E814" t="str">
        <f>"201810114477"</f>
        <v>201810114477</v>
      </c>
      <c r="F814" t="str">
        <f>"REIMBURSE MEALS/PARKING"</f>
        <v>REIMBURSE MEALS/PARKING</v>
      </c>
      <c r="G814" s="3">
        <v>139.80000000000001</v>
      </c>
      <c r="H814" t="str">
        <f>"REIMBURSE MEALS/PARKING"</f>
        <v>REIMBURSE MEALS/PARKING</v>
      </c>
    </row>
    <row r="815" spans="1:9" x14ac:dyDescent="0.25">
      <c r="A815" t="s">
        <v>279</v>
      </c>
      <c r="B815">
        <v>79042</v>
      </c>
      <c r="C815" s="2">
        <v>260</v>
      </c>
      <c r="D815" s="1">
        <v>43382</v>
      </c>
      <c r="E815" t="str">
        <f>"58"</f>
        <v>58</v>
      </c>
      <c r="F815" t="str">
        <f>"CONSTRUCTION UNIT RENTAL-CC PK"</f>
        <v>CONSTRUCTION UNIT RENTAL-CC PK</v>
      </c>
      <c r="G815" s="3">
        <v>260</v>
      </c>
      <c r="H815" t="str">
        <f>"CONSTRUCTION UNIT RENTAL-CC PK"</f>
        <v>CONSTRUCTION UNIT RENTAL-CC PK</v>
      </c>
    </row>
    <row r="816" spans="1:9" x14ac:dyDescent="0.25">
      <c r="A816" t="s">
        <v>279</v>
      </c>
      <c r="B816">
        <v>79256</v>
      </c>
      <c r="C816" s="2">
        <v>780</v>
      </c>
      <c r="D816" s="1">
        <v>43395</v>
      </c>
      <c r="E816" t="str">
        <f>"257"</f>
        <v>257</v>
      </c>
      <c r="F816" t="str">
        <f>"Inv# 257"</f>
        <v>Inv# 257</v>
      </c>
      <c r="G816" s="3">
        <v>260</v>
      </c>
    </row>
    <row r="817" spans="1:8" x14ac:dyDescent="0.25">
      <c r="E817" t="str">
        <f>"66 &amp; 246"</f>
        <v>66 &amp; 246</v>
      </c>
      <c r="F817" t="str">
        <f>"Inv# 66  246"</f>
        <v>Inv# 66  246</v>
      </c>
      <c r="G817" s="3">
        <v>520</v>
      </c>
    </row>
    <row r="818" spans="1:8" x14ac:dyDescent="0.25">
      <c r="A818" t="s">
        <v>279</v>
      </c>
      <c r="B818">
        <v>79256</v>
      </c>
      <c r="C818" s="2">
        <v>780</v>
      </c>
      <c r="D818" s="1">
        <v>43403</v>
      </c>
      <c r="E818" t="str">
        <f>"CHECK"</f>
        <v>CHECK</v>
      </c>
      <c r="F818" t="str">
        <f>""</f>
        <v/>
      </c>
      <c r="G818" s="3">
        <v>780</v>
      </c>
    </row>
    <row r="819" spans="1:8" x14ac:dyDescent="0.25">
      <c r="A819" t="s">
        <v>279</v>
      </c>
      <c r="B819">
        <v>79376</v>
      </c>
      <c r="C819" s="2">
        <v>520</v>
      </c>
      <c r="D819" s="1">
        <v>43403</v>
      </c>
      <c r="E819" t="str">
        <f>"257 Reissue"</f>
        <v>257 Reissue</v>
      </c>
      <c r="F819" t="str">
        <f>"CC PARK RENTAL-OCTOBER 2018"</f>
        <v>CC PARK RENTAL-OCTOBER 2018</v>
      </c>
      <c r="G819" s="3">
        <v>260</v>
      </c>
      <c r="H819" t="str">
        <f>"CC PARK RENTAL - OCTOBER 2018"</f>
        <v>CC PARK RENTAL - OCTOBER 2018</v>
      </c>
    </row>
    <row r="820" spans="1:8" x14ac:dyDescent="0.25">
      <c r="E820" t="str">
        <f>"357"</f>
        <v>357</v>
      </c>
      <c r="F820" t="str">
        <f>"CC PARK RENTAL-NOVEMBER 2018"</f>
        <v>CC PARK RENTAL-NOVEMBER 2018</v>
      </c>
      <c r="G820" s="3">
        <v>260</v>
      </c>
      <c r="H820" t="str">
        <f>"CC PARK RENTAL - NOVEMBER 2018"</f>
        <v>CC PARK RENTAL - NOVEMBER 2018</v>
      </c>
    </row>
    <row r="821" spans="1:8" x14ac:dyDescent="0.25">
      <c r="A821" t="s">
        <v>280</v>
      </c>
      <c r="B821">
        <v>79043</v>
      </c>
      <c r="C821" s="2">
        <v>308</v>
      </c>
      <c r="D821" s="1">
        <v>43382</v>
      </c>
      <c r="E821" t="str">
        <f>"252753"</f>
        <v>252753</v>
      </c>
      <c r="F821" t="str">
        <f>"ACCT#BASCO3/GLASS/PCT#3"</f>
        <v>ACCT#BASCO3/GLASS/PCT#3</v>
      </c>
      <c r="G821" s="3">
        <v>308</v>
      </c>
      <c r="H821" t="str">
        <f>"ACCT#BASCO3/GLASS/PCT#3"</f>
        <v>ACCT#BASCO3/GLASS/PCT#3</v>
      </c>
    </row>
    <row r="822" spans="1:8" x14ac:dyDescent="0.25">
      <c r="A822" t="s">
        <v>281</v>
      </c>
      <c r="B822">
        <v>999999</v>
      </c>
      <c r="C822" s="2">
        <v>99</v>
      </c>
      <c r="D822" s="1">
        <v>43396</v>
      </c>
      <c r="E822" t="str">
        <f>"267225"</f>
        <v>267225</v>
      </c>
      <c r="F822" t="str">
        <f>"QRTRLY FIRE PROT SVC-OCT-DEC18"</f>
        <v>QRTRLY FIRE PROT SVC-OCT-DEC18</v>
      </c>
      <c r="G822" s="3">
        <v>99</v>
      </c>
      <c r="H822" t="str">
        <f>"QRTRLY FIRE PROT SVC-OCT-DEC18"</f>
        <v>QRTRLY FIRE PROT SVC-OCT-DEC18</v>
      </c>
    </row>
    <row r="823" spans="1:8" x14ac:dyDescent="0.25">
      <c r="A823" t="s">
        <v>282</v>
      </c>
      <c r="B823">
        <v>79044</v>
      </c>
      <c r="C823" s="2">
        <v>330.55</v>
      </c>
      <c r="D823" s="1">
        <v>43382</v>
      </c>
      <c r="E823" t="str">
        <f>"201810024105"</f>
        <v>201810024105</v>
      </c>
      <c r="F823" t="str">
        <f>"REIMBURSE-HOTEL"</f>
        <v>REIMBURSE-HOTEL</v>
      </c>
      <c r="G823" s="3">
        <v>330.55</v>
      </c>
      <c r="H823" t="str">
        <f>"REIMBURSE-HOTEL"</f>
        <v>REIMBURSE-HOTEL</v>
      </c>
    </row>
    <row r="824" spans="1:8" x14ac:dyDescent="0.25">
      <c r="A824" t="s">
        <v>283</v>
      </c>
      <c r="B824">
        <v>79045</v>
      </c>
      <c r="C824" s="2">
        <v>6411.45</v>
      </c>
      <c r="D824" s="1">
        <v>43382</v>
      </c>
      <c r="E824" t="str">
        <f>"201810034198"</f>
        <v>201810034198</v>
      </c>
      <c r="F824" t="str">
        <f>"UNIT#DT5/PCT#1"</f>
        <v>UNIT#DT5/PCT#1</v>
      </c>
      <c r="G824" s="3">
        <v>6411.45</v>
      </c>
      <c r="H824" t="str">
        <f>"UNIT#DT5/PCT#1"</f>
        <v>UNIT#DT5/PCT#1</v>
      </c>
    </row>
    <row r="825" spans="1:8" x14ac:dyDescent="0.25">
      <c r="A825" t="s">
        <v>283</v>
      </c>
      <c r="B825">
        <v>79257</v>
      </c>
      <c r="C825" s="2">
        <v>212.16</v>
      </c>
      <c r="D825" s="1">
        <v>43395</v>
      </c>
      <c r="E825" t="str">
        <f>"X301026049:01"</f>
        <v>X301026049:01</v>
      </c>
      <c r="F825" t="str">
        <f>"ACCT#104992/PCT#1"</f>
        <v>ACCT#104992/PCT#1</v>
      </c>
      <c r="G825" s="3">
        <v>212.16</v>
      </c>
      <c r="H825" t="str">
        <f>"ACCT#104992/PCT#1"</f>
        <v>ACCT#104992/PCT#1</v>
      </c>
    </row>
    <row r="826" spans="1:8" x14ac:dyDescent="0.25">
      <c r="A826" t="s">
        <v>284</v>
      </c>
      <c r="B826">
        <v>79258</v>
      </c>
      <c r="C826" s="2">
        <v>1692.68</v>
      </c>
      <c r="D826" s="1">
        <v>43395</v>
      </c>
      <c r="E826" t="str">
        <f>"201810104467"</f>
        <v>201810104467</v>
      </c>
      <c r="F826" t="str">
        <f>"ACCT#1650/PCT#1"</f>
        <v>ACCT#1650/PCT#1</v>
      </c>
      <c r="G826" s="3">
        <v>450.92</v>
      </c>
      <c r="H826" t="str">
        <f>"ACCT#1650/PCT#1"</f>
        <v>ACCT#1650/PCT#1</v>
      </c>
    </row>
    <row r="827" spans="1:8" x14ac:dyDescent="0.25">
      <c r="E827" t="str">
        <f>"201810104472"</f>
        <v>201810104472</v>
      </c>
      <c r="F827" t="str">
        <f>"ACCT#1750/PCT#3"</f>
        <v>ACCT#1750/PCT#3</v>
      </c>
      <c r="G827" s="3">
        <v>676.45</v>
      </c>
      <c r="H827" t="str">
        <f>"ACCT#1750/PCT#3"</f>
        <v>ACCT#1750/PCT#3</v>
      </c>
    </row>
    <row r="828" spans="1:8" x14ac:dyDescent="0.25">
      <c r="E828" t="str">
        <f>"201810114475"</f>
        <v>201810114475</v>
      </c>
      <c r="F828" t="str">
        <f>"ACCT#1800/PCT#4"</f>
        <v>ACCT#1800/PCT#4</v>
      </c>
      <c r="G828" s="3">
        <v>317.33999999999997</v>
      </c>
      <c r="H828" t="str">
        <f>"ACCT#1800/PCT#4"</f>
        <v>ACCT#1800/PCT#4</v>
      </c>
    </row>
    <row r="829" spans="1:8" x14ac:dyDescent="0.25">
      <c r="E829" t="str">
        <f>"379-23129"</f>
        <v>379-23129</v>
      </c>
      <c r="F829" t="str">
        <f>"ACCT#1700/PCT#2"</f>
        <v>ACCT#1700/PCT#2</v>
      </c>
      <c r="G829" s="3">
        <v>247.97</v>
      </c>
      <c r="H829" t="str">
        <f>"ACCT#1700/PCT#2"</f>
        <v>ACCT#1700/PCT#2</v>
      </c>
    </row>
    <row r="830" spans="1:8" x14ac:dyDescent="0.25">
      <c r="A830" t="s">
        <v>285</v>
      </c>
      <c r="B830">
        <v>79046</v>
      </c>
      <c r="C830" s="2">
        <v>2337.56</v>
      </c>
      <c r="D830" s="1">
        <v>43382</v>
      </c>
      <c r="E830" t="str">
        <f>"09191133  09260793"</f>
        <v>09191133  09260793</v>
      </c>
      <c r="F830" t="str">
        <f>"INV 09191133"</f>
        <v>INV 09191133</v>
      </c>
      <c r="G830" s="3">
        <v>2337.56</v>
      </c>
      <c r="H830" t="str">
        <f>"INV 09191133"</f>
        <v>INV 09191133</v>
      </c>
    </row>
    <row r="831" spans="1:8" x14ac:dyDescent="0.25">
      <c r="E831" t="str">
        <f>""</f>
        <v/>
      </c>
      <c r="F831" t="str">
        <f>""</f>
        <v/>
      </c>
      <c r="H831" t="str">
        <f>"INV 09260793"</f>
        <v>INV 09260793</v>
      </c>
    </row>
    <row r="832" spans="1:8" x14ac:dyDescent="0.25">
      <c r="A832" t="s">
        <v>285</v>
      </c>
      <c r="B832">
        <v>79259</v>
      </c>
      <c r="C832" s="2">
        <v>1978.92</v>
      </c>
      <c r="D832" s="1">
        <v>43395</v>
      </c>
      <c r="E832" t="str">
        <f>"10030474 10109136"</f>
        <v>10030474 10109136</v>
      </c>
      <c r="F832" t="str">
        <f>"10030474"</f>
        <v>10030474</v>
      </c>
      <c r="G832" s="3">
        <v>1978.92</v>
      </c>
      <c r="H832" t="str">
        <f>"INV 10030474"</f>
        <v>INV 10030474</v>
      </c>
    </row>
    <row r="833" spans="1:8" x14ac:dyDescent="0.25">
      <c r="E833" t="str">
        <f>""</f>
        <v/>
      </c>
      <c r="F833" t="str">
        <f>""</f>
        <v/>
      </c>
      <c r="H833" t="str">
        <f>"INV 10109136"</f>
        <v>INV 10109136</v>
      </c>
    </row>
    <row r="834" spans="1:8" x14ac:dyDescent="0.25">
      <c r="A834" t="s">
        <v>286</v>
      </c>
      <c r="B834">
        <v>79047</v>
      </c>
      <c r="C834" s="2">
        <v>1201</v>
      </c>
      <c r="D834" s="1">
        <v>43382</v>
      </c>
      <c r="E834" t="str">
        <f>"2635"</f>
        <v>2635</v>
      </c>
      <c r="F834" t="str">
        <f>"INV 2635"</f>
        <v>INV 2635</v>
      </c>
      <c r="G834" s="3">
        <v>1201</v>
      </c>
      <c r="H834" t="str">
        <f>"INV 2635"</f>
        <v>INV 2635</v>
      </c>
    </row>
    <row r="835" spans="1:8" x14ac:dyDescent="0.25">
      <c r="A835" t="s">
        <v>287</v>
      </c>
      <c r="B835">
        <v>999999</v>
      </c>
      <c r="C835" s="2">
        <v>19117.5</v>
      </c>
      <c r="D835" s="1">
        <v>43396</v>
      </c>
      <c r="E835" t="str">
        <f>"201810104428"</f>
        <v>201810104428</v>
      </c>
      <c r="F835" t="str">
        <f>"14-16754   04/03/18 - 09/24/18"</f>
        <v>14-16754   04/03/18 - 09/24/18</v>
      </c>
      <c r="G835" s="3">
        <v>2852.5</v>
      </c>
      <c r="H835" t="str">
        <f>"14-16754   04/03/18 - 09/24/18"</f>
        <v>14-16754   04/03/18 - 09/24/18</v>
      </c>
    </row>
    <row r="836" spans="1:8" x14ac:dyDescent="0.25">
      <c r="E836" t="str">
        <f>"201810104429"</f>
        <v>201810104429</v>
      </c>
      <c r="F836" t="str">
        <f>"17-18493  04/04/18 - 09/25/18"</f>
        <v>17-18493  04/04/18 - 09/25/18</v>
      </c>
      <c r="G836" s="3">
        <v>1137.5</v>
      </c>
      <c r="H836" t="str">
        <f>"17-18493  04/04/18 - 09/25/18"</f>
        <v>17-18493  04/04/18 - 09/25/18</v>
      </c>
    </row>
    <row r="837" spans="1:8" x14ac:dyDescent="0.25">
      <c r="E837" t="str">
        <f>"201810104430"</f>
        <v>201810104430</v>
      </c>
      <c r="F837" t="str">
        <f>"17-18525  04/04/18 - 08/07/18"</f>
        <v>17-18525  04/04/18 - 08/07/18</v>
      </c>
      <c r="G837" s="3">
        <v>2307.5</v>
      </c>
      <c r="H837" t="str">
        <f>"17-18525  04/04/18 - 08/07/18"</f>
        <v>17-18525  04/04/18 - 08/07/18</v>
      </c>
    </row>
    <row r="838" spans="1:8" x14ac:dyDescent="0.25">
      <c r="E838" t="str">
        <f>"201810104431"</f>
        <v>201810104431</v>
      </c>
      <c r="F838" t="str">
        <f>"17-18615  03/23/18 - 08/20/18"</f>
        <v>17-18615  03/23/18 - 08/20/18</v>
      </c>
      <c r="G838" s="3">
        <v>1372.5</v>
      </c>
      <c r="H838" t="str">
        <f>"17-18615  03/23/18 - 08/20/18"</f>
        <v>17-18615  03/23/18 - 08/20/18</v>
      </c>
    </row>
    <row r="839" spans="1:8" x14ac:dyDescent="0.25">
      <c r="E839" t="str">
        <f>"201810104432"</f>
        <v>201810104432</v>
      </c>
      <c r="F839" t="str">
        <f>"17-18617  05/01/18 - 09/25/18"</f>
        <v>17-18617  05/01/18 - 09/25/18</v>
      </c>
      <c r="G839" s="3">
        <v>1330</v>
      </c>
      <c r="H839" t="str">
        <f>"17-18617  05/01/18 - 09/25/18"</f>
        <v>17-18617  05/01/18 - 09/25/18</v>
      </c>
    </row>
    <row r="840" spans="1:8" x14ac:dyDescent="0.25">
      <c r="E840" t="str">
        <f>"201810104433"</f>
        <v>201810104433</v>
      </c>
      <c r="F840" t="str">
        <f>"18-18967  04/09/18 - 09/24/18"</f>
        <v>18-18967  04/09/18 - 09/24/18</v>
      </c>
      <c r="G840" s="3">
        <v>1437.5</v>
      </c>
      <c r="H840" t="str">
        <f>"18-18967  04/09/18 - 09/24/18"</f>
        <v>18-18967  04/09/18 - 09/24/18</v>
      </c>
    </row>
    <row r="841" spans="1:8" x14ac:dyDescent="0.25">
      <c r="E841" t="str">
        <f>"201810104434"</f>
        <v>201810104434</v>
      </c>
      <c r="F841" t="str">
        <f>"11-14878  08/08/18 - 10/02/18"</f>
        <v>11-14878  08/08/18 - 10/02/18</v>
      </c>
      <c r="G841" s="3">
        <v>692.5</v>
      </c>
      <c r="H841" t="str">
        <f>"11-14878  08/08/18 - 10/02/18"</f>
        <v>11-14878  08/08/18 - 10/02/18</v>
      </c>
    </row>
    <row r="842" spans="1:8" x14ac:dyDescent="0.25">
      <c r="E842" t="str">
        <f>"201810104435"</f>
        <v>201810104435</v>
      </c>
      <c r="F842" t="str">
        <f>"09-13300  07/27/18 - 10/02/18"</f>
        <v>09-13300  07/27/18 - 10/02/18</v>
      </c>
      <c r="G842" s="3">
        <v>662.5</v>
      </c>
      <c r="H842" t="str">
        <f>"09-13300  07/27/18 - 10/02/18"</f>
        <v>09-13300  07/27/18 - 10/02/18</v>
      </c>
    </row>
    <row r="843" spans="1:8" x14ac:dyDescent="0.25">
      <c r="E843" t="str">
        <f>"201810104436"</f>
        <v>201810104436</v>
      </c>
      <c r="F843" t="str">
        <f>"17-18581  05/15/18 - 08/07/18"</f>
        <v>17-18581  05/15/18 - 08/07/18</v>
      </c>
      <c r="G843" s="3">
        <v>490</v>
      </c>
      <c r="H843" t="str">
        <f>"17-18581  05/15/18 - 08/07/18"</f>
        <v>17-18581  05/15/18 - 08/07/18</v>
      </c>
    </row>
    <row r="844" spans="1:8" x14ac:dyDescent="0.25">
      <c r="E844" t="str">
        <f>"201810104437"</f>
        <v>201810104437</v>
      </c>
      <c r="F844" t="str">
        <f>"18-18824  04/05/18 - 09/25/18"</f>
        <v>18-18824  04/05/18 - 09/25/18</v>
      </c>
      <c r="G844" s="3">
        <v>1262.5</v>
      </c>
      <c r="H844" t="str">
        <f>"18-18824  04/05/18 - 09/25/18"</f>
        <v>18-18824  04/05/18 - 09/25/18</v>
      </c>
    </row>
    <row r="845" spans="1:8" x14ac:dyDescent="0.25">
      <c r="E845" t="str">
        <f>"201810104438"</f>
        <v>201810104438</v>
      </c>
      <c r="F845" t="str">
        <f>"17-18765  04/16/18 - 09/25/18"</f>
        <v>17-18765  04/16/18 - 09/25/18</v>
      </c>
      <c r="G845" s="3">
        <v>1970</v>
      </c>
      <c r="H845" t="str">
        <f>"17-18765  04/16/18 - 09/25/18"</f>
        <v>17-18765  04/16/18 - 09/25/18</v>
      </c>
    </row>
    <row r="846" spans="1:8" x14ac:dyDescent="0.25">
      <c r="E846" t="str">
        <f>"201810104439"</f>
        <v>201810104439</v>
      </c>
      <c r="F846" t="str">
        <f>"17-18576  03/22/18 - 09/15/18"</f>
        <v>17-18576  03/22/18 - 09/15/18</v>
      </c>
      <c r="G846" s="3">
        <v>965</v>
      </c>
      <c r="H846" t="str">
        <f>"17-18576  03/22/18 - 09/15/18"</f>
        <v>17-18576  03/22/18 - 09/15/18</v>
      </c>
    </row>
    <row r="847" spans="1:8" x14ac:dyDescent="0.25">
      <c r="E847" t="str">
        <f>"201810104440"</f>
        <v>201810104440</v>
      </c>
      <c r="F847" t="str">
        <f>"07-11543  04/17/18 - 07/17/18"</f>
        <v>07-11543  04/17/18 - 07/17/18</v>
      </c>
      <c r="G847" s="3">
        <v>392.5</v>
      </c>
      <c r="H847" t="str">
        <f>"07-11543  04/17/18 - 07/17/18"</f>
        <v>07-11543  04/17/18 - 07/17/18</v>
      </c>
    </row>
    <row r="848" spans="1:8" x14ac:dyDescent="0.25">
      <c r="E848" t="str">
        <f>"201810104441"</f>
        <v>201810104441</v>
      </c>
      <c r="F848" t="str">
        <f>"06-11142  04/17/18 - 07/17/18"</f>
        <v>06-11142  04/17/18 - 07/17/18</v>
      </c>
      <c r="G848" s="3">
        <v>212.5</v>
      </c>
      <c r="H848" t="str">
        <f>"06-11142  04/17/18 - 07/17/18"</f>
        <v>06-11142  04/17/18 - 07/17/18</v>
      </c>
    </row>
    <row r="849" spans="1:8" x14ac:dyDescent="0.25">
      <c r="E849" t="str">
        <f>"201810104442"</f>
        <v>201810104442</v>
      </c>
      <c r="F849" t="str">
        <f>"18-18867  04/04/18 - 08/09/18"</f>
        <v>18-18867  04/04/18 - 08/09/18</v>
      </c>
      <c r="G849" s="3">
        <v>157.5</v>
      </c>
      <c r="H849" t="str">
        <f>"18-18867  04/04/18 - 08/09/18"</f>
        <v>18-18867  04/04/18 - 08/09/18</v>
      </c>
    </row>
    <row r="850" spans="1:8" x14ac:dyDescent="0.25">
      <c r="E850" t="str">
        <f>"201810104443"</f>
        <v>201810104443</v>
      </c>
      <c r="F850" t="str">
        <f>"12-14967  04/17/18 - 05/15/18"</f>
        <v>12-14967  04/17/18 - 05/15/18</v>
      </c>
      <c r="G850" s="3">
        <v>167.5</v>
      </c>
      <c r="H850" t="str">
        <f>"12-14967  04/17/18 - 05/15/18"</f>
        <v>12-14967  04/17/18 - 05/15/18</v>
      </c>
    </row>
    <row r="851" spans="1:8" x14ac:dyDescent="0.25">
      <c r="E851" t="str">
        <f>"201810104444"</f>
        <v>201810104444</v>
      </c>
      <c r="F851" t="str">
        <f>"02-7700  04/03/18 - 05/15/18"</f>
        <v>02-7700  04/03/18 - 05/15/18</v>
      </c>
      <c r="G851" s="3">
        <v>287.5</v>
      </c>
      <c r="H851" t="str">
        <f>"02-7700  04/03/18 - 05/15/18"</f>
        <v>02-7700  04/03/18 - 05/15/18</v>
      </c>
    </row>
    <row r="852" spans="1:8" x14ac:dyDescent="0.25">
      <c r="E852" t="str">
        <f>"201810174615"</f>
        <v>201810174615</v>
      </c>
      <c r="F852" t="str">
        <f>"18-19077"</f>
        <v>18-19077</v>
      </c>
      <c r="G852" s="3">
        <v>1007.5</v>
      </c>
      <c r="H852" t="str">
        <f>"18-19077"</f>
        <v>18-19077</v>
      </c>
    </row>
    <row r="853" spans="1:8" x14ac:dyDescent="0.25">
      <c r="E853" t="str">
        <f>"201810174616"</f>
        <v>201810174616</v>
      </c>
      <c r="F853" t="str">
        <f>"06-10487"</f>
        <v>06-10487</v>
      </c>
      <c r="G853" s="3">
        <v>412.5</v>
      </c>
      <c r="H853" t="str">
        <f>"06-10487"</f>
        <v>06-10487</v>
      </c>
    </row>
    <row r="854" spans="1:8" x14ac:dyDescent="0.25">
      <c r="A854" t="s">
        <v>288</v>
      </c>
      <c r="B854">
        <v>79260</v>
      </c>
      <c r="C854" s="2">
        <v>188.32</v>
      </c>
      <c r="D854" s="1">
        <v>43395</v>
      </c>
      <c r="E854" t="str">
        <f>"201810154518"</f>
        <v>201810154518</v>
      </c>
      <c r="F854" t="str">
        <f>"INV#'S 45548 &amp; 45655/PCT#4"</f>
        <v>INV#'S 45548 &amp; 45655/PCT#4</v>
      </c>
      <c r="G854" s="3">
        <v>54.32</v>
      </c>
      <c r="H854" t="str">
        <f>"INV#'S 45548 &amp; 45655/PCT#4"</f>
        <v>INV#'S 45548 &amp; 45655/PCT#4</v>
      </c>
    </row>
    <row r="855" spans="1:8" x14ac:dyDescent="0.25">
      <c r="E855" t="str">
        <f>"201810154519"</f>
        <v>201810154519</v>
      </c>
      <c r="F855" t="str">
        <f>"INV#'S 45957/45990/45999/46004"</f>
        <v>INV#'S 45957/45990/45999/46004</v>
      </c>
      <c r="G855" s="3">
        <v>134</v>
      </c>
      <c r="H855" t="str">
        <f>"INV#'S 45957/45990/45999/46004"</f>
        <v>INV#'S 45957/45990/45999/46004</v>
      </c>
    </row>
    <row r="856" spans="1:8" x14ac:dyDescent="0.25">
      <c r="A856" t="s">
        <v>289</v>
      </c>
      <c r="B856">
        <v>78878</v>
      </c>
      <c r="C856" s="2">
        <v>50.25</v>
      </c>
      <c r="D856" s="1">
        <v>43376</v>
      </c>
      <c r="E856" t="str">
        <f>"201810034224"</f>
        <v>201810034224</v>
      </c>
      <c r="F856" t="str">
        <f>"ACCT#1-09-00072-02 1/09242018"</f>
        <v>ACCT#1-09-00072-02 1/09242018</v>
      </c>
      <c r="G856" s="3">
        <v>50.25</v>
      </c>
      <c r="H856" t="str">
        <f>"ACCT#1-09-00072-02 1/09242018"</f>
        <v>ACCT#1-09-00072-02 1/09242018</v>
      </c>
    </row>
    <row r="857" spans="1:8" x14ac:dyDescent="0.25">
      <c r="A857" t="s">
        <v>290</v>
      </c>
      <c r="B857">
        <v>79048</v>
      </c>
      <c r="C857" s="2">
        <v>61.6</v>
      </c>
      <c r="D857" s="1">
        <v>43382</v>
      </c>
      <c r="E857" t="str">
        <f>"674339"</f>
        <v>674339</v>
      </c>
      <c r="F857" t="str">
        <f>"NEW FLATBED/PCT#4"</f>
        <v>NEW FLATBED/PCT#4</v>
      </c>
      <c r="G857" s="3">
        <v>61.6</v>
      </c>
      <c r="H857" t="str">
        <f>"NEW FLATBED/PCT#4"</f>
        <v>NEW FLATBED/PCT#4</v>
      </c>
    </row>
    <row r="858" spans="1:8" x14ac:dyDescent="0.25">
      <c r="A858" t="s">
        <v>291</v>
      </c>
      <c r="B858">
        <v>79261</v>
      </c>
      <c r="C858" s="2">
        <v>165.86</v>
      </c>
      <c r="D858" s="1">
        <v>43395</v>
      </c>
      <c r="E858" t="str">
        <f>"0555186939"</f>
        <v>0555186939</v>
      </c>
      <c r="F858" t="str">
        <f>"INV 0555186939"</f>
        <v>INV 0555186939</v>
      </c>
      <c r="G858" s="3">
        <v>165.86</v>
      </c>
      <c r="H858" t="str">
        <f>"INV 0555186939"</f>
        <v>INV 0555186939</v>
      </c>
    </row>
    <row r="859" spans="1:8" x14ac:dyDescent="0.25">
      <c r="A859" t="s">
        <v>292</v>
      </c>
      <c r="B859">
        <v>79049</v>
      </c>
      <c r="C859" s="2">
        <v>125</v>
      </c>
      <c r="D859" s="1">
        <v>43382</v>
      </c>
      <c r="E859" t="str">
        <f>"201810034155"</f>
        <v>201810034155</v>
      </c>
      <c r="F859" t="str">
        <f>"LES FOEHR"</f>
        <v>LES FOEHR</v>
      </c>
      <c r="G859" s="3">
        <v>125</v>
      </c>
      <c r="H859" t="str">
        <f>""</f>
        <v/>
      </c>
    </row>
    <row r="860" spans="1:8" x14ac:dyDescent="0.25">
      <c r="A860" t="s">
        <v>293</v>
      </c>
      <c r="B860">
        <v>79262</v>
      </c>
      <c r="C860" s="2">
        <v>636.04999999999995</v>
      </c>
      <c r="D860" s="1">
        <v>43395</v>
      </c>
      <c r="E860" t="str">
        <f>"1211621-20180930"</f>
        <v>1211621-20180930</v>
      </c>
      <c r="F860" t="str">
        <f>"BILLING ID:1211621/HEALTH SVCS"</f>
        <v>BILLING ID:1211621/HEALTH SVCS</v>
      </c>
      <c r="G860" s="3">
        <v>84.75</v>
      </c>
      <c r="H860" t="str">
        <f>"BILLING ID:1211621/HEALTH SVCS"</f>
        <v>BILLING ID:1211621/HEALTH SVCS</v>
      </c>
    </row>
    <row r="861" spans="1:8" x14ac:dyDescent="0.25">
      <c r="E861" t="str">
        <f>"1361725-20180930"</f>
        <v>1361725-20180930</v>
      </c>
      <c r="F861" t="str">
        <f>"BILLING ID:1361725/INDIGENT HL"</f>
        <v>BILLING ID:1361725/INDIGENT HL</v>
      </c>
      <c r="G861" s="3">
        <v>88.9</v>
      </c>
      <c r="H861" t="str">
        <f>"BILLING ID:1361725/INDIGENT HL"</f>
        <v>BILLING ID:1361725/INDIGENT HL</v>
      </c>
    </row>
    <row r="862" spans="1:8" x14ac:dyDescent="0.25">
      <c r="E862" t="str">
        <f>"1394645-20180930"</f>
        <v>1394645-20180930</v>
      </c>
      <c r="F862" t="str">
        <f>"BILLING ID:1394645/COUNTY CLRK"</f>
        <v>BILLING ID:1394645/COUNTY CLRK</v>
      </c>
      <c r="G862" s="3">
        <v>124</v>
      </c>
      <c r="H862" t="str">
        <f>"BILLING ID:1394645/COUNTY CLRK"</f>
        <v>BILLING ID:1394645/COUNTY CLRK</v>
      </c>
    </row>
    <row r="863" spans="1:8" x14ac:dyDescent="0.25">
      <c r="E863" t="str">
        <f>"1420944-20180930"</f>
        <v>1420944-20180930</v>
      </c>
      <c r="F863" t="str">
        <f>"BILLING ID:1420944/SHERIFF"</f>
        <v>BILLING ID:1420944/SHERIFF</v>
      </c>
      <c r="G863" s="3">
        <v>288.39999999999998</v>
      </c>
      <c r="H863" t="str">
        <f>"BILLING ID:1420944/SHERIFF"</f>
        <v>BILLING ID:1420944/SHERIFF</v>
      </c>
    </row>
    <row r="864" spans="1:8" x14ac:dyDescent="0.25">
      <c r="E864" t="str">
        <f>"1489870-20180930"</f>
        <v>1489870-20180930</v>
      </c>
      <c r="F864" t="str">
        <f>"BILLING ID:1489870/DISTRICT CL"</f>
        <v>BILLING ID:1489870/DISTRICT CL</v>
      </c>
      <c r="G864" s="3">
        <v>50</v>
      </c>
      <c r="H864" t="str">
        <f>"BILLING ID:1489870/DISTRICT CL"</f>
        <v>BILLING ID:1489870/DISTRICT CL</v>
      </c>
    </row>
    <row r="865" spans="1:8" x14ac:dyDescent="0.25">
      <c r="A865" t="s">
        <v>294</v>
      </c>
      <c r="B865">
        <v>79263</v>
      </c>
      <c r="C865" s="2">
        <v>579.08000000000004</v>
      </c>
      <c r="D865" s="1">
        <v>43395</v>
      </c>
      <c r="E865" t="str">
        <f>"1454059"</f>
        <v>1454059</v>
      </c>
      <c r="F865" t="str">
        <f>"ACCT#15717/TIRE SVCS"</f>
        <v>ACCT#15717/TIRE SVCS</v>
      </c>
      <c r="G865" s="3">
        <v>579.08000000000004</v>
      </c>
      <c r="H865" t="str">
        <f>"ACCT#15717/TIRE SVCS"</f>
        <v>ACCT#15717/TIRE SVCS</v>
      </c>
    </row>
    <row r="866" spans="1:8" x14ac:dyDescent="0.25">
      <c r="A866" t="s">
        <v>295</v>
      </c>
      <c r="B866">
        <v>999999</v>
      </c>
      <c r="C866" s="2">
        <v>74.5</v>
      </c>
      <c r="D866" s="1">
        <v>43383</v>
      </c>
      <c r="E866" t="str">
        <f>"201809253885"</f>
        <v>201809253885</v>
      </c>
      <c r="F866" t="str">
        <f>"2009 FORD REGIST/DEV SVCS"</f>
        <v>2009 FORD REGIST/DEV SVCS</v>
      </c>
      <c r="G866" s="3">
        <v>7.5</v>
      </c>
      <c r="H866" t="str">
        <f>"2009 FORD REGIST/ENV SVCS"</f>
        <v>2009 FORD REGIST/ENV SVCS</v>
      </c>
    </row>
    <row r="867" spans="1:8" x14ac:dyDescent="0.25">
      <c r="E867" t="str">
        <f>"201809253924"</f>
        <v>201809253924</v>
      </c>
      <c r="F867" t="str">
        <f>"TITLE TRANSFER &amp; REGIST/IT DEP"</f>
        <v>TITLE TRANSFER &amp; REGIST/IT DEP</v>
      </c>
      <c r="G867" s="3">
        <v>7.5</v>
      </c>
      <c r="H867" t="str">
        <f>"TITLE TRANSFER &amp; REGIST/IT DEP"</f>
        <v>TITLE TRANSFER &amp; REGIST/IT DEP</v>
      </c>
    </row>
    <row r="868" spans="1:8" x14ac:dyDescent="0.25">
      <c r="E868" t="str">
        <f>"201809253944"</f>
        <v>201809253944</v>
      </c>
      <c r="F868" t="str">
        <f>"VEHICLE REGISTRATIONS/PCT#4"</f>
        <v>VEHICLE REGISTRATIONS/PCT#4</v>
      </c>
      <c r="G868" s="3">
        <v>15</v>
      </c>
      <c r="H868" t="str">
        <f>"VEHICLE REGISTRATIONS/PCT#4"</f>
        <v>VEHICLE REGISTRATIONS/PCT#4</v>
      </c>
    </row>
    <row r="869" spans="1:8" x14ac:dyDescent="0.25">
      <c r="E869" t="str">
        <f>"201809263947"</f>
        <v>201809263947</v>
      </c>
      <c r="F869" t="str">
        <f>"2017 FORD/PCT#1"</f>
        <v>2017 FORD/PCT#1</v>
      </c>
      <c r="G869" s="3">
        <v>7.5</v>
      </c>
      <c r="H869" t="str">
        <f>"2017 FORD/PCT#1"</f>
        <v>2017 FORD/PCT#1</v>
      </c>
    </row>
    <row r="870" spans="1:8" x14ac:dyDescent="0.25">
      <c r="E870" t="str">
        <f>"201810014010"</f>
        <v>201810014010</v>
      </c>
      <c r="F870" t="str">
        <f>"2006 FRHT/2004 GMC/PCT#2"</f>
        <v>2006 FRHT/2004 GMC/PCT#2</v>
      </c>
      <c r="G870" s="3">
        <v>15</v>
      </c>
      <c r="H870" t="str">
        <f>"2006 FRHT/2004 GMC/PCT#2"</f>
        <v>2006 FRHT/2004 GMC/PCT#2</v>
      </c>
    </row>
    <row r="871" spans="1:8" x14ac:dyDescent="0.25">
      <c r="E871" t="str">
        <f>"201810034207"</f>
        <v>201810034207</v>
      </c>
      <c r="F871" t="str">
        <f>"TITLE TRANSFER/REGIST/PCT#1"</f>
        <v>TITLE TRANSFER/REGIST/PCT#1</v>
      </c>
      <c r="G871" s="3">
        <v>22</v>
      </c>
      <c r="H871" t="str">
        <f>"TITLE TRANSFER/REGIST/PCT#1"</f>
        <v>TITLE TRANSFER/REGIST/PCT#1</v>
      </c>
    </row>
    <row r="872" spans="1:8" x14ac:dyDescent="0.25">
      <c r="A872" t="s">
        <v>295</v>
      </c>
      <c r="B872">
        <v>999999</v>
      </c>
      <c r="C872" s="2">
        <v>186.5</v>
      </c>
      <c r="D872" s="1">
        <v>43396</v>
      </c>
      <c r="E872" t="str">
        <f>"201810114473"</f>
        <v>201810114473</v>
      </c>
      <c r="F872" t="str">
        <f>"2000 FHRT/PCT#3"</f>
        <v>2000 FHRT/PCT#3</v>
      </c>
      <c r="G872" s="3">
        <v>7.5</v>
      </c>
      <c r="H872" t="str">
        <f>"2000 FHRT/PCT#3"</f>
        <v>2000 FHRT/PCT#3</v>
      </c>
    </row>
    <row r="873" spans="1:8" x14ac:dyDescent="0.25">
      <c r="E873" t="str">
        <f>"201810164521"</f>
        <v>201810164521</v>
      </c>
      <c r="F873" t="str">
        <f>"VEHICLE REGISTRATIONS/PCT#4"</f>
        <v>VEHICLE REGISTRATIONS/PCT#4</v>
      </c>
      <c r="G873" s="3">
        <v>51.5</v>
      </c>
      <c r="H873" t="str">
        <f>"VEHICLE REGISTRATIONS/PCT#4"</f>
        <v>VEHICLE REGISTRATIONS/PCT#4</v>
      </c>
    </row>
    <row r="874" spans="1:8" x14ac:dyDescent="0.25">
      <c r="E874" t="str">
        <f>"201810174600"</f>
        <v>201810174600</v>
      </c>
      <c r="F874" t="str">
        <f>"2008 DODGE REGISTRATION/PCT#1"</f>
        <v>2008 DODGE REGISTRATION/PCT#1</v>
      </c>
      <c r="G874" s="3">
        <v>7.5</v>
      </c>
      <c r="H874" t="str">
        <f>"2008 DODGE REGISTRATION/PCT#1"</f>
        <v>2008 DODGE REGISTRATION/PCT#1</v>
      </c>
    </row>
    <row r="875" spans="1:8" x14ac:dyDescent="0.25">
      <c r="E875" t="str">
        <f>"201810174601"</f>
        <v>201810174601</v>
      </c>
      <c r="F875" t="str">
        <f>"VEHICLE REGISTRATIONS-SHERIFF"</f>
        <v>VEHICLE REGISTRATIONS-SHERIFF</v>
      </c>
      <c r="G875" s="3">
        <v>120</v>
      </c>
      <c r="H875" t="str">
        <f>"VEHICLE REGISTRATIONS-SHERIFF"</f>
        <v>VEHICLE REGISTRATIONS-SHERIFF</v>
      </c>
    </row>
    <row r="876" spans="1:8" x14ac:dyDescent="0.25">
      <c r="A876" t="s">
        <v>296</v>
      </c>
      <c r="B876">
        <v>79050</v>
      </c>
      <c r="C876" s="2">
        <v>513.29</v>
      </c>
      <c r="D876" s="1">
        <v>43382</v>
      </c>
      <c r="E876" t="str">
        <f>"201810024109"</f>
        <v>201810024109</v>
      </c>
      <c r="F876" t="str">
        <f>"REIMBURSE HOTEL &amp; MILEAGE"</f>
        <v>REIMBURSE HOTEL &amp; MILEAGE</v>
      </c>
      <c r="G876" s="3">
        <v>513.29</v>
      </c>
      <c r="H876" t="str">
        <f>"REIMBURSE HOTEL &amp; MILEAGE"</f>
        <v>REIMBURSE HOTEL &amp; MILEAGE</v>
      </c>
    </row>
    <row r="877" spans="1:8" x14ac:dyDescent="0.25">
      <c r="E877" t="str">
        <f>""</f>
        <v/>
      </c>
      <c r="F877" t="str">
        <f>""</f>
        <v/>
      </c>
      <c r="H877" t="str">
        <f>"REIMBURSE HOTEL &amp; MILEAGE"</f>
        <v>REIMBURSE HOTEL &amp; MILEAGE</v>
      </c>
    </row>
    <row r="878" spans="1:8" x14ac:dyDescent="0.25">
      <c r="A878" t="s">
        <v>297</v>
      </c>
      <c r="B878">
        <v>79051</v>
      </c>
      <c r="C878" s="2">
        <v>120</v>
      </c>
      <c r="D878" s="1">
        <v>43382</v>
      </c>
      <c r="E878" t="str">
        <f>"201810034160"</f>
        <v>201810034160</v>
      </c>
      <c r="F878" t="str">
        <f>"LISA BARRIGA"</f>
        <v>LISA BARRIGA</v>
      </c>
      <c r="G878" s="3">
        <v>120</v>
      </c>
      <c r="H878" t="str">
        <f>"BARRIGA PER DIEM"</f>
        <v>BARRIGA PER DIEM</v>
      </c>
    </row>
    <row r="879" spans="1:8" x14ac:dyDescent="0.25">
      <c r="A879" t="s">
        <v>298</v>
      </c>
      <c r="B879">
        <v>79052</v>
      </c>
      <c r="C879" s="2">
        <v>150</v>
      </c>
      <c r="D879" s="1">
        <v>43382</v>
      </c>
      <c r="E879" t="str">
        <f>"201810034163"</f>
        <v>201810034163</v>
      </c>
      <c r="F879" t="str">
        <f>"LISA MILLER"</f>
        <v>LISA MILLER</v>
      </c>
      <c r="G879" s="3">
        <v>150</v>
      </c>
      <c r="H879" t="str">
        <f>""</f>
        <v/>
      </c>
    </row>
    <row r="880" spans="1:8" x14ac:dyDescent="0.25">
      <c r="A880" t="s">
        <v>299</v>
      </c>
      <c r="B880">
        <v>999999</v>
      </c>
      <c r="C880" s="2">
        <v>28321.08</v>
      </c>
      <c r="D880" s="1">
        <v>43396</v>
      </c>
      <c r="E880" t="str">
        <f>"201810164535"</f>
        <v>201810164535</v>
      </c>
      <c r="F880" t="str">
        <f>"GRANT REIMBURSEMENT"</f>
        <v>GRANT REIMBURSEMENT</v>
      </c>
      <c r="G880" s="3">
        <v>28321.08</v>
      </c>
      <c r="H880" t="str">
        <f>"GRANT REIMBURSEMENT"</f>
        <v>GRANT REIMBURSEMENT</v>
      </c>
    </row>
    <row r="881" spans="1:8" x14ac:dyDescent="0.25">
      <c r="A881" t="s">
        <v>300</v>
      </c>
      <c r="B881">
        <v>999999</v>
      </c>
      <c r="C881" s="2">
        <v>310.77999999999997</v>
      </c>
      <c r="D881" s="1">
        <v>43396</v>
      </c>
      <c r="E881" t="str">
        <f>"GL-17FORDEXPL-BC"</f>
        <v>GL-17FORDEXPL-BC</v>
      </c>
      <c r="F881" t="str">
        <f>"INV GL-17FORDEXPL-BC"</f>
        <v>INV GL-17FORDEXPL-BC</v>
      </c>
      <c r="G881" s="3">
        <v>40</v>
      </c>
      <c r="H881" t="str">
        <f>"INV GL-17FORDEXPL-BC"</f>
        <v>INV GL-17FORDEXPL-BC</v>
      </c>
    </row>
    <row r="882" spans="1:8" x14ac:dyDescent="0.25">
      <c r="E882" t="str">
        <f>"SH-14FORD-BC"</f>
        <v>SH-14FORD-BC</v>
      </c>
      <c r="F882" t="str">
        <f>"INV SH-14FORD-BC"</f>
        <v>INV SH-14FORD-BC</v>
      </c>
      <c r="G882" s="3">
        <v>270.77999999999997</v>
      </c>
      <c r="H882" t="str">
        <f>"INV SH-14FORD-BC"</f>
        <v>INV SH-14FORD-BC</v>
      </c>
    </row>
    <row r="883" spans="1:8" x14ac:dyDescent="0.25">
      <c r="A883" t="s">
        <v>301</v>
      </c>
      <c r="B883">
        <v>79053</v>
      </c>
      <c r="C883" s="2">
        <v>177.69</v>
      </c>
      <c r="D883" s="1">
        <v>43382</v>
      </c>
      <c r="E883" t="str">
        <f>"201810024142"</f>
        <v>201810024142</v>
      </c>
      <c r="F883" t="str">
        <f>"INDIGENT HEALTH"</f>
        <v>INDIGENT HEALTH</v>
      </c>
      <c r="G883" s="3">
        <v>177.69</v>
      </c>
      <c r="H883" t="str">
        <f>"INDIGENT HEALTH"</f>
        <v>INDIGENT HEALTH</v>
      </c>
    </row>
    <row r="884" spans="1:8" x14ac:dyDescent="0.25">
      <c r="A884" t="s">
        <v>302</v>
      </c>
      <c r="B884">
        <v>79264</v>
      </c>
      <c r="C884" s="2">
        <v>456.47</v>
      </c>
      <c r="D884" s="1">
        <v>43395</v>
      </c>
      <c r="E884" t="str">
        <f>"SS220062108:01"</f>
        <v>SS220062108:01</v>
      </c>
      <c r="F884" t="str">
        <f>"2012 FRHT/PCT#4"</f>
        <v>2012 FRHT/PCT#4</v>
      </c>
      <c r="G884" s="3">
        <v>456.47</v>
      </c>
      <c r="H884" t="str">
        <f>"2012 FRHT/PCT#4"</f>
        <v>2012 FRHT/PCT#4</v>
      </c>
    </row>
    <row r="885" spans="1:8" x14ac:dyDescent="0.25">
      <c r="A885" t="s">
        <v>303</v>
      </c>
      <c r="B885">
        <v>79054</v>
      </c>
      <c r="C885" s="2">
        <v>79.62</v>
      </c>
      <c r="D885" s="1">
        <v>43382</v>
      </c>
      <c r="E885" t="str">
        <f>"201810024143"</f>
        <v>201810024143</v>
      </c>
      <c r="F885" t="str">
        <f>"INDIGENT HEALTH"</f>
        <v>INDIGENT HEALTH</v>
      </c>
      <c r="G885" s="3">
        <v>79.62</v>
      </c>
      <c r="H885" t="str">
        <f>"INDIGENT HEALTH"</f>
        <v>INDIGENT HEALTH</v>
      </c>
    </row>
    <row r="886" spans="1:8" x14ac:dyDescent="0.25">
      <c r="A886" t="s">
        <v>304</v>
      </c>
      <c r="B886">
        <v>999999</v>
      </c>
      <c r="C886" s="2">
        <v>442</v>
      </c>
      <c r="D886" s="1">
        <v>43383</v>
      </c>
      <c r="E886" t="str">
        <f>"201810024127"</f>
        <v>201810024127</v>
      </c>
      <c r="F886" t="str">
        <f>"TRASH REMOVAL 09/24-09/28/P4"</f>
        <v>TRASH REMOVAL 09/24-09/28/P4</v>
      </c>
      <c r="G886" s="3">
        <v>169</v>
      </c>
      <c r="H886" t="str">
        <f>"TRASH REMOVAL 09/24-09/28/P4"</f>
        <v>TRASH REMOVAL 09/24-09/28/P4</v>
      </c>
    </row>
    <row r="887" spans="1:8" x14ac:dyDescent="0.25">
      <c r="E887" t="str">
        <f>"201810024130"</f>
        <v>201810024130</v>
      </c>
      <c r="F887" t="str">
        <f>"TRASH REMOVAL 10/01-10/05/P4"</f>
        <v>TRASH REMOVAL 10/01-10/05/P4</v>
      </c>
      <c r="G887" s="3">
        <v>273</v>
      </c>
      <c r="H887" t="str">
        <f>"TRASH REMOVAL 10/01-10/05/P4"</f>
        <v>TRASH REMOVAL 10/01-10/05/P4</v>
      </c>
    </row>
    <row r="888" spans="1:8" x14ac:dyDescent="0.25">
      <c r="A888" t="s">
        <v>304</v>
      </c>
      <c r="B888">
        <v>999999</v>
      </c>
      <c r="C888" s="2">
        <v>331.5</v>
      </c>
      <c r="D888" s="1">
        <v>43396</v>
      </c>
      <c r="E888" t="str">
        <f>"201810164571"</f>
        <v>201810164571</v>
      </c>
      <c r="F888" t="str">
        <f>"TRASH REMOVAL 10/08-10/19/P4"</f>
        <v>TRASH REMOVAL 10/08-10/19/P4</v>
      </c>
      <c r="G888" s="3">
        <v>331.5</v>
      </c>
      <c r="H888" t="str">
        <f>"TRASH REMOVAL 10/08-10/19/P4"</f>
        <v>TRASH REMOVAL 10/08-10/19/P4</v>
      </c>
    </row>
    <row r="889" spans="1:8" x14ac:dyDescent="0.25">
      <c r="A889" t="s">
        <v>305</v>
      </c>
      <c r="B889">
        <v>999999</v>
      </c>
      <c r="C889" s="2">
        <v>476</v>
      </c>
      <c r="D889" s="1">
        <v>43383</v>
      </c>
      <c r="E889" t="str">
        <f>"10-000212"</f>
        <v>10-000212</v>
      </c>
      <c r="F889" t="str">
        <f>"INV 10-000212"</f>
        <v>INV 10-000212</v>
      </c>
      <c r="G889" s="3">
        <v>476</v>
      </c>
      <c r="H889" t="str">
        <f>"INV 10-000212"</f>
        <v>INV 10-000212</v>
      </c>
    </row>
    <row r="890" spans="1:8" x14ac:dyDescent="0.25">
      <c r="A890" t="s">
        <v>306</v>
      </c>
      <c r="B890">
        <v>79265</v>
      </c>
      <c r="C890" s="2">
        <v>102.22</v>
      </c>
      <c r="D890" s="1">
        <v>43395</v>
      </c>
      <c r="E890" t="str">
        <f>"901997 909217 9111"</f>
        <v>901997 909217 9111</v>
      </c>
      <c r="F890" t="str">
        <f>"acct# 99006938692"</f>
        <v>acct# 99006938692</v>
      </c>
      <c r="G890" s="3">
        <v>102.22</v>
      </c>
      <c r="H890" t="str">
        <f>"inv# 901997"</f>
        <v>inv# 901997</v>
      </c>
    </row>
    <row r="891" spans="1:8" x14ac:dyDescent="0.25">
      <c r="E891" t="str">
        <f>""</f>
        <v/>
      </c>
      <c r="F891" t="str">
        <f>""</f>
        <v/>
      </c>
      <c r="H891" t="str">
        <f>"Inv# 9111385"</f>
        <v>Inv# 9111385</v>
      </c>
    </row>
    <row r="892" spans="1:8" x14ac:dyDescent="0.25">
      <c r="E892" t="str">
        <f>""</f>
        <v/>
      </c>
      <c r="F892" t="str">
        <f>""</f>
        <v/>
      </c>
      <c r="H892" t="str">
        <f>"inv# 909217"</f>
        <v>inv# 909217</v>
      </c>
    </row>
    <row r="893" spans="1:8" x14ac:dyDescent="0.25">
      <c r="A893" t="s">
        <v>307</v>
      </c>
      <c r="B893">
        <v>79055</v>
      </c>
      <c r="C893" s="2">
        <v>100</v>
      </c>
      <c r="D893" s="1">
        <v>43382</v>
      </c>
      <c r="E893" t="str">
        <f>"12205"</f>
        <v>12205</v>
      </c>
      <c r="F893" t="str">
        <f>"SERVICE"</f>
        <v>SERVICE</v>
      </c>
      <c r="G893" s="3">
        <v>100</v>
      </c>
      <c r="H893" t="str">
        <f>"SERVICE"</f>
        <v>SERVICE</v>
      </c>
    </row>
    <row r="894" spans="1:8" x14ac:dyDescent="0.25">
      <c r="A894" t="s">
        <v>308</v>
      </c>
      <c r="B894">
        <v>79056</v>
      </c>
      <c r="C894" s="2">
        <v>194.69</v>
      </c>
      <c r="D894" s="1">
        <v>43382</v>
      </c>
      <c r="E894" t="str">
        <f>"201810013976"</f>
        <v>201810013976</v>
      </c>
      <c r="F894" t="str">
        <f>"CRIMINAL COURT 9262018"</f>
        <v>CRIMINAL COURT 9262018</v>
      </c>
      <c r="G894" s="3">
        <v>194.69</v>
      </c>
      <c r="H894" t="str">
        <f>"CRIMINAL COURT 9262018"</f>
        <v>CRIMINAL COURT 9262018</v>
      </c>
    </row>
    <row r="895" spans="1:8" x14ac:dyDescent="0.25">
      <c r="A895" t="s">
        <v>309</v>
      </c>
      <c r="B895">
        <v>79057</v>
      </c>
      <c r="C895" s="2">
        <v>310.55</v>
      </c>
      <c r="D895" s="1">
        <v>43382</v>
      </c>
      <c r="E895" t="str">
        <f>"201810024107"</f>
        <v>201810024107</v>
      </c>
      <c r="F895" t="str">
        <f>"REIMBURSE-HOTEL"</f>
        <v>REIMBURSE-HOTEL</v>
      </c>
      <c r="G895" s="3">
        <v>310.55</v>
      </c>
      <c r="H895" t="str">
        <f>"REIMBURSE-HOTEL"</f>
        <v>REIMBURSE-HOTEL</v>
      </c>
    </row>
    <row r="896" spans="1:8" x14ac:dyDescent="0.25">
      <c r="A896" t="s">
        <v>310</v>
      </c>
      <c r="B896">
        <v>79266</v>
      </c>
      <c r="C896" s="2">
        <v>135</v>
      </c>
      <c r="D896" s="1">
        <v>43395</v>
      </c>
      <c r="E896" t="str">
        <f>"201810174595"</f>
        <v>201810174595</v>
      </c>
      <c r="F896" t="str">
        <f>"PER DIEM"</f>
        <v>PER DIEM</v>
      </c>
      <c r="G896" s="3">
        <v>135</v>
      </c>
      <c r="H896" t="str">
        <f>"PER DIEM"</f>
        <v>PER DIEM</v>
      </c>
    </row>
    <row r="897" spans="1:8" x14ac:dyDescent="0.25">
      <c r="A897" t="s">
        <v>311</v>
      </c>
      <c r="B897">
        <v>79267</v>
      </c>
      <c r="C897" s="2">
        <v>894.25</v>
      </c>
      <c r="D897" s="1">
        <v>43395</v>
      </c>
      <c r="E897" t="str">
        <f>"INV001744335"</f>
        <v>INV001744335</v>
      </c>
      <c r="F897" t="str">
        <f>"INV INV001744335"</f>
        <v>INV INV001744335</v>
      </c>
      <c r="G897" s="3">
        <v>894.25</v>
      </c>
      <c r="H897" t="str">
        <f>"INV INV001744335"</f>
        <v>INV INV001744335</v>
      </c>
    </row>
    <row r="898" spans="1:8" x14ac:dyDescent="0.25">
      <c r="A898" t="s">
        <v>312</v>
      </c>
      <c r="B898">
        <v>999999</v>
      </c>
      <c r="C898" s="2">
        <v>1053</v>
      </c>
      <c r="D898" s="1">
        <v>43383</v>
      </c>
      <c r="E898" t="str">
        <f>"201810024098"</f>
        <v>201810024098</v>
      </c>
      <c r="F898" t="str">
        <f>"18-19093"</f>
        <v>18-19093</v>
      </c>
      <c r="G898" s="3">
        <v>703</v>
      </c>
      <c r="H898" t="str">
        <f>"18-19093"</f>
        <v>18-19093</v>
      </c>
    </row>
    <row r="899" spans="1:8" x14ac:dyDescent="0.25">
      <c r="E899" t="str">
        <f>"201810024099"</f>
        <v>201810024099</v>
      </c>
      <c r="F899" t="str">
        <f>"J-3125"</f>
        <v>J-3125</v>
      </c>
      <c r="G899" s="3">
        <v>250</v>
      </c>
      <c r="H899" t="str">
        <f>"J-3125"</f>
        <v>J-3125</v>
      </c>
    </row>
    <row r="900" spans="1:8" x14ac:dyDescent="0.25">
      <c r="E900" t="str">
        <f>"201810024100"</f>
        <v>201810024100</v>
      </c>
      <c r="F900" t="str">
        <f>"17-18738"</f>
        <v>17-18738</v>
      </c>
      <c r="G900" s="3">
        <v>100</v>
      </c>
      <c r="H900" t="str">
        <f>"17-18738"</f>
        <v>17-18738</v>
      </c>
    </row>
    <row r="901" spans="1:8" x14ac:dyDescent="0.25">
      <c r="A901" t="s">
        <v>312</v>
      </c>
      <c r="B901">
        <v>999999</v>
      </c>
      <c r="C901" s="2">
        <v>1942.75</v>
      </c>
      <c r="D901" s="1">
        <v>43396</v>
      </c>
      <c r="E901" t="str">
        <f>"201810104445"</f>
        <v>201810104445</v>
      </c>
      <c r="F901" t="str">
        <f>"40600981/925-3495897-A001/18-5"</f>
        <v>40600981/925-3495897-A001/18-5</v>
      </c>
      <c r="G901" s="3">
        <v>100</v>
      </c>
      <c r="H901" t="str">
        <f>"40600981/925-3495897-A001/18-5"</f>
        <v>40600981/925-3495897-A001/18-5</v>
      </c>
    </row>
    <row r="902" spans="1:8" x14ac:dyDescent="0.25">
      <c r="E902" t="str">
        <f>"201810164561"</f>
        <v>201810164561</v>
      </c>
      <c r="F902" t="str">
        <f>"17-18625"</f>
        <v>17-18625</v>
      </c>
      <c r="G902" s="3">
        <v>100</v>
      </c>
      <c r="H902" t="str">
        <f>"17-18625"</f>
        <v>17-18625</v>
      </c>
    </row>
    <row r="903" spans="1:8" x14ac:dyDescent="0.25">
      <c r="E903" t="str">
        <f>"201810164562"</f>
        <v>201810164562</v>
      </c>
      <c r="F903" t="str">
        <f>"18-19093"</f>
        <v>18-19093</v>
      </c>
      <c r="G903" s="3">
        <v>100</v>
      </c>
      <c r="H903" t="str">
        <f>"18-19093"</f>
        <v>18-19093</v>
      </c>
    </row>
    <row r="904" spans="1:8" x14ac:dyDescent="0.25">
      <c r="E904" t="str">
        <f>"201810164567"</f>
        <v>201810164567</v>
      </c>
      <c r="F904" t="str">
        <f>"J-3149"</f>
        <v>J-3149</v>
      </c>
      <c r="G904" s="3">
        <v>250</v>
      </c>
      <c r="H904" t="str">
        <f>"J-3149"</f>
        <v>J-3149</v>
      </c>
    </row>
    <row r="905" spans="1:8" x14ac:dyDescent="0.25">
      <c r="E905" t="str">
        <f>"201810164568"</f>
        <v>201810164568</v>
      </c>
      <c r="F905" t="str">
        <f>"JUVENILE DETENTION HEARING"</f>
        <v>JUVENILE DETENTION HEARING</v>
      </c>
      <c r="G905" s="3">
        <v>100</v>
      </c>
      <c r="H905" t="str">
        <f>"JUVENILE DETENTION HEARING"</f>
        <v>JUVENILE DETENTION HEARING</v>
      </c>
    </row>
    <row r="906" spans="1:8" x14ac:dyDescent="0.25">
      <c r="E906" t="str">
        <f>"201810164578"</f>
        <v>201810164578</v>
      </c>
      <c r="F906" t="str">
        <f>"18-19155"</f>
        <v>18-19155</v>
      </c>
      <c r="G906" s="3">
        <v>431.25</v>
      </c>
      <c r="H906" t="str">
        <f>"18-19155"</f>
        <v>18-19155</v>
      </c>
    </row>
    <row r="907" spans="1:8" x14ac:dyDescent="0.25">
      <c r="E907" t="str">
        <f>"201810164579"</f>
        <v>201810164579</v>
      </c>
      <c r="F907" t="str">
        <f>"G-275"</f>
        <v>G-275</v>
      </c>
      <c r="G907" s="3">
        <v>861.5</v>
      </c>
      <c r="H907" t="str">
        <f>"G-275"</f>
        <v>G-275</v>
      </c>
    </row>
    <row r="908" spans="1:8" x14ac:dyDescent="0.25">
      <c r="A908" t="s">
        <v>313</v>
      </c>
      <c r="B908">
        <v>79058</v>
      </c>
      <c r="C908" s="2">
        <v>185.16</v>
      </c>
      <c r="D908" s="1">
        <v>43382</v>
      </c>
      <c r="E908" t="str">
        <f>"18329985"</f>
        <v>18329985</v>
      </c>
      <c r="F908" t="str">
        <f>"ACCT#S9549/PCT#1"</f>
        <v>ACCT#S9549/PCT#1</v>
      </c>
      <c r="G908" s="3">
        <v>99.99</v>
      </c>
      <c r="H908" t="str">
        <f>"ACCT#S9549/PCT#1"</f>
        <v>ACCT#S9549/PCT#1</v>
      </c>
    </row>
    <row r="909" spans="1:8" x14ac:dyDescent="0.25">
      <c r="E909" t="str">
        <f>"18348241"</f>
        <v>18348241</v>
      </c>
      <c r="F909" t="str">
        <f>"ACCT#S9549/PCT#1"</f>
        <v>ACCT#S9549/PCT#1</v>
      </c>
      <c r="G909" s="3">
        <v>85.17</v>
      </c>
      <c r="H909" t="str">
        <f>"ACCT#S9549/PCT#1"</f>
        <v>ACCT#S9549/PCT#1</v>
      </c>
    </row>
    <row r="910" spans="1:8" x14ac:dyDescent="0.25">
      <c r="A910" t="s">
        <v>313</v>
      </c>
      <c r="B910">
        <v>79268</v>
      </c>
      <c r="C910" s="2">
        <v>239.43</v>
      </c>
      <c r="D910" s="1">
        <v>43395</v>
      </c>
      <c r="E910" t="str">
        <f>"18379191"</f>
        <v>18379191</v>
      </c>
      <c r="F910" t="str">
        <f>"CUST#41472/PCT#1"</f>
        <v>CUST#41472/PCT#1</v>
      </c>
      <c r="G910" s="3">
        <v>22.23</v>
      </c>
      <c r="H910" t="str">
        <f>"CUST#41472/PCT#1"</f>
        <v>CUST#41472/PCT#1</v>
      </c>
    </row>
    <row r="911" spans="1:8" x14ac:dyDescent="0.25">
      <c r="E911" t="str">
        <f>"18379288"</f>
        <v>18379288</v>
      </c>
      <c r="F911" t="str">
        <f>"CUST#45057/PCT#4"</f>
        <v>CUST#45057/PCT#4</v>
      </c>
      <c r="G911" s="3">
        <v>39.729999999999997</v>
      </c>
      <c r="H911" t="str">
        <f>"CUST#45057/PCT#4"</f>
        <v>CUST#45057/PCT#4</v>
      </c>
    </row>
    <row r="912" spans="1:8" x14ac:dyDescent="0.25">
      <c r="E912" t="str">
        <f>"18379352"</f>
        <v>18379352</v>
      </c>
      <c r="F912" t="str">
        <f>"INV 18379352"</f>
        <v>INV 18379352</v>
      </c>
      <c r="G912" s="3">
        <v>50.64</v>
      </c>
      <c r="H912" t="str">
        <f>"INV 18379352"</f>
        <v>INV 18379352</v>
      </c>
    </row>
    <row r="913" spans="1:8" x14ac:dyDescent="0.25">
      <c r="E913" t="str">
        <f>"18387514"</f>
        <v>18387514</v>
      </c>
      <c r="F913" t="str">
        <f>"CUST#S9547/PCT#1"</f>
        <v>CUST#S9547/PCT#1</v>
      </c>
      <c r="G913" s="3">
        <v>105</v>
      </c>
      <c r="H913" t="str">
        <f>"CUST#S9547/PCT#1"</f>
        <v>CUST#S9547/PCT#1</v>
      </c>
    </row>
    <row r="914" spans="1:8" x14ac:dyDescent="0.25">
      <c r="E914" t="str">
        <f>"18446608"</f>
        <v>18446608</v>
      </c>
      <c r="F914" t="str">
        <f>"ACCT#S9549/PCT#1"</f>
        <v>ACCT#S9549/PCT#1</v>
      </c>
      <c r="G914" s="3">
        <v>21.83</v>
      </c>
      <c r="H914" t="str">
        <f>"ACCT#S9549/PCT#1"</f>
        <v>ACCT#S9549/PCT#1</v>
      </c>
    </row>
    <row r="915" spans="1:8" x14ac:dyDescent="0.25">
      <c r="A915" t="s">
        <v>314</v>
      </c>
      <c r="B915">
        <v>999999</v>
      </c>
      <c r="C915" s="2">
        <v>27.28</v>
      </c>
      <c r="D915" s="1">
        <v>43383</v>
      </c>
      <c r="E915" t="str">
        <f>"661903"</f>
        <v>661903</v>
      </c>
      <c r="F915" t="str">
        <f>"ACCT#026384/PCT#1"</f>
        <v>ACCT#026384/PCT#1</v>
      </c>
      <c r="G915" s="3">
        <v>27.28</v>
      </c>
      <c r="H915" t="str">
        <f>"ACCT#026384/PCT#1"</f>
        <v>ACCT#026384/PCT#1</v>
      </c>
    </row>
    <row r="916" spans="1:8" x14ac:dyDescent="0.25">
      <c r="A916" t="s">
        <v>315</v>
      </c>
      <c r="B916">
        <v>79059</v>
      </c>
      <c r="C916" s="2">
        <v>2517</v>
      </c>
      <c r="D916" s="1">
        <v>43382</v>
      </c>
      <c r="E916" t="str">
        <f>"11948"</f>
        <v>11948</v>
      </c>
      <c r="F916" t="str">
        <f t="shared" ref="F916:F928" si="5">"ABST FEE"</f>
        <v>ABST FEE</v>
      </c>
      <c r="G916" s="3">
        <v>152</v>
      </c>
      <c r="H916" t="str">
        <f t="shared" ref="H916:H928" si="6">"ABST FEE"</f>
        <v>ABST FEE</v>
      </c>
    </row>
    <row r="917" spans="1:8" x14ac:dyDescent="0.25">
      <c r="E917" t="str">
        <f>"11948  08/24"</f>
        <v>11948  08/24</v>
      </c>
      <c r="F917" t="str">
        <f t="shared" si="5"/>
        <v>ABST FEE</v>
      </c>
      <c r="G917" s="3">
        <v>23</v>
      </c>
      <c r="H917" t="str">
        <f t="shared" si="6"/>
        <v>ABST FEE</v>
      </c>
    </row>
    <row r="918" spans="1:8" x14ac:dyDescent="0.25">
      <c r="E918" t="str">
        <f>"12430"</f>
        <v>12430</v>
      </c>
      <c r="F918" t="str">
        <f t="shared" si="5"/>
        <v>ABST FEE</v>
      </c>
      <c r="G918" s="3">
        <v>175</v>
      </c>
      <c r="H918" t="str">
        <f t="shared" si="6"/>
        <v>ABST FEE</v>
      </c>
    </row>
    <row r="919" spans="1:8" x14ac:dyDescent="0.25">
      <c r="E919" t="str">
        <f>"12686"</f>
        <v>12686</v>
      </c>
      <c r="F919" t="str">
        <f t="shared" si="5"/>
        <v>ABST FEE</v>
      </c>
      <c r="G919" s="3">
        <v>225</v>
      </c>
      <c r="H919" t="str">
        <f t="shared" si="6"/>
        <v>ABST FEE</v>
      </c>
    </row>
    <row r="920" spans="1:8" x14ac:dyDescent="0.25">
      <c r="E920" t="str">
        <f>"12689"</f>
        <v>12689</v>
      </c>
      <c r="F920" t="str">
        <f t="shared" si="5"/>
        <v>ABST FEE</v>
      </c>
      <c r="G920" s="3">
        <v>225</v>
      </c>
      <c r="H920" t="str">
        <f t="shared" si="6"/>
        <v>ABST FEE</v>
      </c>
    </row>
    <row r="921" spans="1:8" x14ac:dyDescent="0.25">
      <c r="E921" t="str">
        <f>"12862"</f>
        <v>12862</v>
      </c>
      <c r="F921" t="str">
        <f t="shared" si="5"/>
        <v>ABST FEE</v>
      </c>
      <c r="G921" s="3">
        <v>225</v>
      </c>
      <c r="H921" t="str">
        <f t="shared" si="6"/>
        <v>ABST FEE</v>
      </c>
    </row>
    <row r="922" spans="1:8" x14ac:dyDescent="0.25">
      <c r="E922" t="str">
        <f>"12875"</f>
        <v>12875</v>
      </c>
      <c r="F922" t="str">
        <f t="shared" si="5"/>
        <v>ABST FEE</v>
      </c>
      <c r="G922" s="3">
        <v>142</v>
      </c>
      <c r="H922" t="str">
        <f t="shared" si="6"/>
        <v>ABST FEE</v>
      </c>
    </row>
    <row r="923" spans="1:8" x14ac:dyDescent="0.25">
      <c r="E923" t="str">
        <f>"12944"</f>
        <v>12944</v>
      </c>
      <c r="F923" t="str">
        <f t="shared" si="5"/>
        <v>ABST FEE</v>
      </c>
      <c r="G923" s="3">
        <v>225</v>
      </c>
      <c r="H923" t="str">
        <f t="shared" si="6"/>
        <v>ABST FEE</v>
      </c>
    </row>
    <row r="924" spans="1:8" x14ac:dyDescent="0.25">
      <c r="E924" t="str">
        <f>"12958"</f>
        <v>12958</v>
      </c>
      <c r="F924" t="str">
        <f t="shared" si="5"/>
        <v>ABST FEE</v>
      </c>
      <c r="G924" s="3">
        <v>225</v>
      </c>
      <c r="H924" t="str">
        <f t="shared" si="6"/>
        <v>ABST FEE</v>
      </c>
    </row>
    <row r="925" spans="1:8" x14ac:dyDescent="0.25">
      <c r="E925" t="str">
        <f>"12962"</f>
        <v>12962</v>
      </c>
      <c r="F925" t="str">
        <f t="shared" si="5"/>
        <v>ABST FEE</v>
      </c>
      <c r="G925" s="3">
        <v>225</v>
      </c>
      <c r="H925" t="str">
        <f t="shared" si="6"/>
        <v>ABST FEE</v>
      </c>
    </row>
    <row r="926" spans="1:8" x14ac:dyDescent="0.25">
      <c r="E926" t="str">
        <f>"13001"</f>
        <v>13001</v>
      </c>
      <c r="F926" t="str">
        <f t="shared" si="5"/>
        <v>ABST FEE</v>
      </c>
      <c r="G926" s="3">
        <v>225</v>
      </c>
      <c r="H926" t="str">
        <f t="shared" si="6"/>
        <v>ABST FEE</v>
      </c>
    </row>
    <row r="927" spans="1:8" x14ac:dyDescent="0.25">
      <c r="E927" t="str">
        <f>"13005"</f>
        <v>13005</v>
      </c>
      <c r="F927" t="str">
        <f t="shared" si="5"/>
        <v>ABST FEE</v>
      </c>
      <c r="G927" s="3">
        <v>225</v>
      </c>
      <c r="H927" t="str">
        <f t="shared" si="6"/>
        <v>ABST FEE</v>
      </c>
    </row>
    <row r="928" spans="1:8" x14ac:dyDescent="0.25">
      <c r="E928" t="str">
        <f>"13023"</f>
        <v>13023</v>
      </c>
      <c r="F928" t="str">
        <f t="shared" si="5"/>
        <v>ABST FEE</v>
      </c>
      <c r="G928" s="3">
        <v>225</v>
      </c>
      <c r="H928" t="str">
        <f t="shared" si="6"/>
        <v>ABST FEE</v>
      </c>
    </row>
    <row r="929" spans="1:8" x14ac:dyDescent="0.25">
      <c r="A929" t="s">
        <v>315</v>
      </c>
      <c r="B929">
        <v>79269</v>
      </c>
      <c r="C929" s="2">
        <v>24511.61</v>
      </c>
      <c r="D929" s="1">
        <v>43395</v>
      </c>
      <c r="E929" t="str">
        <f>"10383  08/29/18"</f>
        <v>10383  08/29/18</v>
      </c>
      <c r="F929" t="str">
        <f>"SERVICE"</f>
        <v>SERVICE</v>
      </c>
      <c r="G929" s="3">
        <v>51</v>
      </c>
      <c r="H929" t="str">
        <f>"SERVICE"</f>
        <v>SERVICE</v>
      </c>
    </row>
    <row r="930" spans="1:8" x14ac:dyDescent="0.25">
      <c r="E930" t="str">
        <f>"11314  08/31/18"</f>
        <v>11314  08/31/18</v>
      </c>
      <c r="F930" t="str">
        <f>"SERVICE"</f>
        <v>SERVICE</v>
      </c>
      <c r="G930" s="3">
        <v>40</v>
      </c>
      <c r="H930" t="str">
        <f>"SERVICE"</f>
        <v>SERVICE</v>
      </c>
    </row>
    <row r="931" spans="1:8" x14ac:dyDescent="0.25">
      <c r="E931" t="str">
        <f>"11633  08/30/18"</f>
        <v>11633  08/30/18</v>
      </c>
      <c r="F931" t="str">
        <f t="shared" ref="F931:F939" si="7">"ABST FEE"</f>
        <v>ABST FEE</v>
      </c>
      <c r="G931" s="3">
        <v>175</v>
      </c>
      <c r="H931" t="str">
        <f t="shared" ref="H931:H939" si="8">"ABST FEE"</f>
        <v>ABST FEE</v>
      </c>
    </row>
    <row r="932" spans="1:8" x14ac:dyDescent="0.25">
      <c r="E932" t="str">
        <f>"12311  08/30/18"</f>
        <v>12311  08/30/18</v>
      </c>
      <c r="F932" t="str">
        <f t="shared" si="7"/>
        <v>ABST FEE</v>
      </c>
      <c r="G932" s="3">
        <v>50</v>
      </c>
      <c r="H932" t="str">
        <f t="shared" si="8"/>
        <v>ABST FEE</v>
      </c>
    </row>
    <row r="933" spans="1:8" x14ac:dyDescent="0.25">
      <c r="E933" t="str">
        <f>"12465"</f>
        <v>12465</v>
      </c>
      <c r="F933" t="str">
        <f t="shared" si="7"/>
        <v>ABST FEE</v>
      </c>
      <c r="G933" s="3">
        <v>175</v>
      </c>
      <c r="H933" t="str">
        <f t="shared" si="8"/>
        <v>ABST FEE</v>
      </c>
    </row>
    <row r="934" spans="1:8" x14ac:dyDescent="0.25">
      <c r="E934" t="str">
        <f>"12529"</f>
        <v>12529</v>
      </c>
      <c r="F934" t="str">
        <f t="shared" si="7"/>
        <v>ABST FEE</v>
      </c>
      <c r="G934" s="3">
        <v>175</v>
      </c>
      <c r="H934" t="str">
        <f t="shared" si="8"/>
        <v>ABST FEE</v>
      </c>
    </row>
    <row r="935" spans="1:8" x14ac:dyDescent="0.25">
      <c r="E935" t="str">
        <f>"12834"</f>
        <v>12834</v>
      </c>
      <c r="F935" t="str">
        <f t="shared" si="7"/>
        <v>ABST FEE</v>
      </c>
      <c r="G935" s="3">
        <v>225</v>
      </c>
      <c r="H935" t="str">
        <f t="shared" si="8"/>
        <v>ABST FEE</v>
      </c>
    </row>
    <row r="936" spans="1:8" x14ac:dyDescent="0.25">
      <c r="E936" t="str">
        <f>"12891"</f>
        <v>12891</v>
      </c>
      <c r="F936" t="str">
        <f t="shared" si="7"/>
        <v>ABST FEE</v>
      </c>
      <c r="G936" s="3">
        <v>225</v>
      </c>
      <c r="H936" t="str">
        <f t="shared" si="8"/>
        <v>ABST FEE</v>
      </c>
    </row>
    <row r="937" spans="1:8" x14ac:dyDescent="0.25">
      <c r="E937" t="str">
        <f>"12948"</f>
        <v>12948</v>
      </c>
      <c r="F937" t="str">
        <f t="shared" si="7"/>
        <v>ABST FEE</v>
      </c>
      <c r="G937" s="3">
        <v>225</v>
      </c>
      <c r="H937" t="str">
        <f t="shared" si="8"/>
        <v>ABST FEE</v>
      </c>
    </row>
    <row r="938" spans="1:8" x14ac:dyDescent="0.25">
      <c r="E938" t="str">
        <f>"13012"</f>
        <v>13012</v>
      </c>
      <c r="F938" t="str">
        <f t="shared" si="7"/>
        <v>ABST FEE</v>
      </c>
      <c r="G938" s="3">
        <v>225</v>
      </c>
      <c r="H938" t="str">
        <f t="shared" si="8"/>
        <v>ABST FEE</v>
      </c>
    </row>
    <row r="939" spans="1:8" x14ac:dyDescent="0.25">
      <c r="E939" t="str">
        <f>"13020"</f>
        <v>13020</v>
      </c>
      <c r="F939" t="str">
        <f t="shared" si="7"/>
        <v>ABST FEE</v>
      </c>
      <c r="G939" s="3">
        <v>225</v>
      </c>
      <c r="H939" t="str">
        <f t="shared" si="8"/>
        <v>ABST FEE</v>
      </c>
    </row>
    <row r="940" spans="1:8" x14ac:dyDescent="0.25">
      <c r="E940" t="str">
        <f>"201810104452"</f>
        <v>201810104452</v>
      </c>
      <c r="F940" t="str">
        <f>"COLLECT OF DELIQ TAXES-SEP2018"</f>
        <v>COLLECT OF DELIQ TAXES-SEP2018</v>
      </c>
      <c r="G940" s="3">
        <v>22720.61</v>
      </c>
      <c r="H940" t="str">
        <f>"COLLECT OF DELIQ TAXES-SEP2018"</f>
        <v>COLLECT OF DELIQ TAXES-SEP2018</v>
      </c>
    </row>
    <row r="941" spans="1:8" x14ac:dyDescent="0.25">
      <c r="A941" t="s">
        <v>316</v>
      </c>
      <c r="B941">
        <v>79061</v>
      </c>
      <c r="C941" s="2">
        <v>1190.3399999999999</v>
      </c>
      <c r="D941" s="1">
        <v>43382</v>
      </c>
      <c r="E941" t="str">
        <f>"201810024144"</f>
        <v>201810024144</v>
      </c>
      <c r="F941" t="str">
        <f>"INDIGENT HEALTH"</f>
        <v>INDIGENT HEALTH</v>
      </c>
      <c r="G941" s="3">
        <v>1190.3399999999999</v>
      </c>
      <c r="H941" t="str">
        <f>"INDIGENT HEALTH"</f>
        <v>INDIGENT HEALTH</v>
      </c>
    </row>
    <row r="942" spans="1:8" x14ac:dyDescent="0.25">
      <c r="A942" t="s">
        <v>317</v>
      </c>
      <c r="B942">
        <v>79060</v>
      </c>
      <c r="C942" s="2">
        <v>2500</v>
      </c>
      <c r="D942" s="1">
        <v>43382</v>
      </c>
      <c r="E942" t="str">
        <f>"201809253932"</f>
        <v>201809253932</v>
      </c>
      <c r="F942" t="str">
        <f>"AWARD FOR FY 18-19"</f>
        <v>AWARD FOR FY 18-19</v>
      </c>
      <c r="G942" s="3">
        <v>2500</v>
      </c>
      <c r="H942" t="str">
        <f>"AWARD FOR FY 18-19"</f>
        <v>AWARD FOR FY 18-19</v>
      </c>
    </row>
    <row r="943" spans="1:8" x14ac:dyDescent="0.25">
      <c r="A943" t="s">
        <v>318</v>
      </c>
      <c r="B943">
        <v>79062</v>
      </c>
      <c r="C943" s="2">
        <v>500</v>
      </c>
      <c r="D943" s="1">
        <v>43382</v>
      </c>
      <c r="E943" t="str">
        <f>"201810034191"</f>
        <v>201810034191</v>
      </c>
      <c r="F943" t="str">
        <f>"VETERINARY SURG SVCS-10/01/18"</f>
        <v>VETERINARY SURG SVCS-10/01/18</v>
      </c>
      <c r="G943" s="3">
        <v>500</v>
      </c>
      <c r="H943" t="str">
        <f>"VETERINARY SURG SVCS-10/01/18"</f>
        <v>VETERINARY SURG SVCS-10/01/18</v>
      </c>
    </row>
    <row r="944" spans="1:8" x14ac:dyDescent="0.25">
      <c r="A944" t="s">
        <v>318</v>
      </c>
      <c r="B944">
        <v>79270</v>
      </c>
      <c r="C944" s="2">
        <v>1500</v>
      </c>
      <c r="D944" s="1">
        <v>43395</v>
      </c>
      <c r="E944" t="str">
        <f>"201810174602"</f>
        <v>201810174602</v>
      </c>
      <c r="F944" t="str">
        <f>"VETERINARY SURGICAL SVCS"</f>
        <v>VETERINARY SURGICAL SVCS</v>
      </c>
      <c r="G944" s="3">
        <v>1500</v>
      </c>
      <c r="H944" t="str">
        <f>"VETERINARY SURGICAL SVCS"</f>
        <v>VETERINARY SURGICAL SVCS</v>
      </c>
    </row>
    <row r="945" spans="1:9" x14ac:dyDescent="0.25">
      <c r="A945" t="s">
        <v>319</v>
      </c>
      <c r="B945">
        <v>79063</v>
      </c>
      <c r="C945" s="2">
        <v>25</v>
      </c>
      <c r="D945" s="1">
        <v>43382</v>
      </c>
      <c r="E945" t="s">
        <v>231</v>
      </c>
      <c r="F945" t="s">
        <v>272</v>
      </c>
      <c r="G945" s="3" t="str">
        <f>"RESTITUTION-D. SPURK"</f>
        <v>RESTITUTION-D. SPURK</v>
      </c>
      <c r="H945" t="str">
        <f>"210-0000"</f>
        <v>210-0000</v>
      </c>
      <c r="I945" t="str">
        <f>""</f>
        <v/>
      </c>
    </row>
    <row r="946" spans="1:9" x14ac:dyDescent="0.25">
      <c r="A946" t="s">
        <v>320</v>
      </c>
      <c r="B946">
        <v>79271</v>
      </c>
      <c r="C946" s="2">
        <v>4890</v>
      </c>
      <c r="D946" s="1">
        <v>43395</v>
      </c>
      <c r="E946" t="str">
        <f>"11668"</f>
        <v>11668</v>
      </c>
      <c r="F946" t="str">
        <f>"Inv# 11668"</f>
        <v>Inv# 11668</v>
      </c>
      <c r="G946" s="3">
        <v>4890</v>
      </c>
      <c r="H946" t="str">
        <f>"Inv# 11668"</f>
        <v>Inv# 11668</v>
      </c>
    </row>
    <row r="947" spans="1:9" x14ac:dyDescent="0.25">
      <c r="A947" t="s">
        <v>321</v>
      </c>
      <c r="B947">
        <v>79272</v>
      </c>
      <c r="C947" s="2">
        <v>178</v>
      </c>
      <c r="D947" s="1">
        <v>43395</v>
      </c>
      <c r="E947" t="str">
        <f>"598514"</f>
        <v>598514</v>
      </c>
      <c r="F947" t="str">
        <f>"BOND#598514-LAURENCE DUNNE"</f>
        <v>BOND#598514-LAURENCE DUNNE</v>
      </c>
      <c r="G947" s="3">
        <v>178</v>
      </c>
      <c r="H947" t="str">
        <f>"BOND#598514-LAURENCE DUNNE"</f>
        <v>BOND#598514-LAURENCE DUNNE</v>
      </c>
    </row>
    <row r="948" spans="1:9" x14ac:dyDescent="0.25">
      <c r="A948" t="s">
        <v>322</v>
      </c>
      <c r="B948">
        <v>999999</v>
      </c>
      <c r="C948" s="2">
        <v>567.5</v>
      </c>
      <c r="D948" s="1">
        <v>43383</v>
      </c>
      <c r="E948" t="str">
        <f>"18-044"</f>
        <v>18-044</v>
      </c>
      <c r="F948" t="str">
        <f>"13 981"</f>
        <v>13 981</v>
      </c>
      <c r="G948" s="3">
        <v>467.5</v>
      </c>
      <c r="H948" t="str">
        <f>"13 981"</f>
        <v>13 981</v>
      </c>
    </row>
    <row r="949" spans="1:9" x14ac:dyDescent="0.25">
      <c r="E949" t="str">
        <f>"18-045"</f>
        <v>18-045</v>
      </c>
      <c r="F949" t="str">
        <f>"423-2527"</f>
        <v>423-2527</v>
      </c>
      <c r="G949" s="3">
        <v>100</v>
      </c>
      <c r="H949" t="str">
        <f>"423-2527"</f>
        <v>423-2527</v>
      </c>
    </row>
    <row r="950" spans="1:9" x14ac:dyDescent="0.25">
      <c r="A950" t="s">
        <v>322</v>
      </c>
      <c r="B950">
        <v>999999</v>
      </c>
      <c r="C950" s="2">
        <v>192.5</v>
      </c>
      <c r="D950" s="1">
        <v>43396</v>
      </c>
      <c r="E950" t="str">
        <f>"18-048"</f>
        <v>18-048</v>
      </c>
      <c r="F950" t="str">
        <f>"423-2327"</f>
        <v>423-2327</v>
      </c>
      <c r="G950" s="3">
        <v>192.5</v>
      </c>
      <c r="H950" t="str">
        <f>"423-2327"</f>
        <v>423-2327</v>
      </c>
    </row>
    <row r="951" spans="1:9" x14ac:dyDescent="0.25">
      <c r="A951" t="s">
        <v>323</v>
      </c>
      <c r="B951">
        <v>79064</v>
      </c>
      <c r="C951" s="2">
        <v>129.6</v>
      </c>
      <c r="D951" s="1">
        <v>43382</v>
      </c>
      <c r="E951" t="str">
        <f>"18089"</f>
        <v>18089</v>
      </c>
      <c r="F951" t="str">
        <f>"FREIGHT SALES/PCT#2"</f>
        <v>FREIGHT SALES/PCT#2</v>
      </c>
      <c r="G951" s="3">
        <v>129.6</v>
      </c>
      <c r="H951" t="str">
        <f>"FREIGHT SALES/PCT#2"</f>
        <v>FREIGHT SALES/PCT#2</v>
      </c>
    </row>
    <row r="952" spans="1:9" x14ac:dyDescent="0.25">
      <c r="A952" t="s">
        <v>324</v>
      </c>
      <c r="B952">
        <v>999999</v>
      </c>
      <c r="C952" s="2">
        <v>641.79999999999995</v>
      </c>
      <c r="D952" s="1">
        <v>43383</v>
      </c>
      <c r="E952" t="str">
        <f>"121157"</f>
        <v>121157</v>
      </c>
      <c r="F952" t="str">
        <f>"INV 121157"</f>
        <v>INV 121157</v>
      </c>
      <c r="G952" s="3">
        <v>24</v>
      </c>
      <c r="H952" t="str">
        <f>"INV 121157"</f>
        <v>INV 121157</v>
      </c>
    </row>
    <row r="953" spans="1:9" x14ac:dyDescent="0.25">
      <c r="E953" t="str">
        <f>"121185"</f>
        <v>121185</v>
      </c>
      <c r="F953" t="str">
        <f>"INV 121185"</f>
        <v>INV 121185</v>
      </c>
      <c r="G953" s="3">
        <v>151</v>
      </c>
      <c r="H953" t="str">
        <f>"INV 121185"</f>
        <v>INV 121185</v>
      </c>
    </row>
    <row r="954" spans="1:9" x14ac:dyDescent="0.25">
      <c r="E954" t="str">
        <f>"121186  122023"</f>
        <v>121186  122023</v>
      </c>
      <c r="F954" t="str">
        <f>"INV 121186"</f>
        <v>INV 121186</v>
      </c>
      <c r="G954" s="3">
        <v>220.5</v>
      </c>
      <c r="H954" t="str">
        <f>"INV 121186"</f>
        <v>INV 121186</v>
      </c>
    </row>
    <row r="955" spans="1:9" x14ac:dyDescent="0.25">
      <c r="E955" t="str">
        <f>""</f>
        <v/>
      </c>
      <c r="F955" t="str">
        <f>""</f>
        <v/>
      </c>
      <c r="H955" t="str">
        <f>"INV 122023"</f>
        <v>INV 122023</v>
      </c>
    </row>
    <row r="956" spans="1:9" x14ac:dyDescent="0.25">
      <c r="E956" t="str">
        <f>"121187"</f>
        <v>121187</v>
      </c>
      <c r="F956" t="str">
        <f>"INV 121187"</f>
        <v>INV 121187</v>
      </c>
      <c r="G956" s="3">
        <v>12</v>
      </c>
      <c r="H956" t="str">
        <f>"INV 121187"</f>
        <v>INV 121187</v>
      </c>
    </row>
    <row r="957" spans="1:9" x14ac:dyDescent="0.25">
      <c r="E957" t="str">
        <f>"121189"</f>
        <v>121189</v>
      </c>
      <c r="F957" t="str">
        <f>"INV 121189"</f>
        <v>INV 121189</v>
      </c>
      <c r="G957" s="3">
        <v>12</v>
      </c>
      <c r="H957" t="str">
        <f>"INV 121189"</f>
        <v>INV 121189</v>
      </c>
    </row>
    <row r="958" spans="1:9" x14ac:dyDescent="0.25">
      <c r="E958" t="str">
        <f>"121190"</f>
        <v>121190</v>
      </c>
      <c r="F958" t="str">
        <f>"INV 121190"</f>
        <v>INV 121190</v>
      </c>
      <c r="G958" s="3">
        <v>208.5</v>
      </c>
      <c r="H958" t="str">
        <f>"INV 121190"</f>
        <v>INV 121190</v>
      </c>
    </row>
    <row r="959" spans="1:9" x14ac:dyDescent="0.25">
      <c r="E959" t="str">
        <f>"121191"</f>
        <v>121191</v>
      </c>
      <c r="F959" t="str">
        <f>"INV 121191"</f>
        <v>INV 121191</v>
      </c>
      <c r="G959" s="3">
        <v>13.8</v>
      </c>
      <c r="H959" t="str">
        <f>"INV 121191"</f>
        <v>INV 121191</v>
      </c>
    </row>
    <row r="960" spans="1:9" x14ac:dyDescent="0.25">
      <c r="E960" t="str">
        <f>""</f>
        <v/>
      </c>
      <c r="F960" t="str">
        <f>""</f>
        <v/>
      </c>
      <c r="H960" t="str">
        <f>"RTN AUTH 2941"</f>
        <v>RTN AUTH 2941</v>
      </c>
    </row>
    <row r="961" spans="1:8" x14ac:dyDescent="0.25">
      <c r="A961" t="s">
        <v>324</v>
      </c>
      <c r="B961">
        <v>999999</v>
      </c>
      <c r="C961" s="2">
        <v>8.5</v>
      </c>
      <c r="D961" s="1">
        <v>43396</v>
      </c>
      <c r="E961" t="str">
        <f>"117203"</f>
        <v>117203</v>
      </c>
      <c r="F961" t="str">
        <f>"INV 117203"</f>
        <v>INV 117203</v>
      </c>
      <c r="G961" s="3">
        <v>8.5</v>
      </c>
      <c r="H961" t="str">
        <f>"INV 117203"</f>
        <v>INV 117203</v>
      </c>
    </row>
    <row r="962" spans="1:8" x14ac:dyDescent="0.25">
      <c r="A962" t="s">
        <v>325</v>
      </c>
      <c r="B962">
        <v>78865</v>
      </c>
      <c r="C962" s="2">
        <v>40</v>
      </c>
      <c r="D962" s="1">
        <v>43374</v>
      </c>
      <c r="E962" t="str">
        <f>"201810013995"</f>
        <v>201810013995</v>
      </c>
      <c r="F962" t="str">
        <f>"Miscellane"</f>
        <v>Miscellane</v>
      </c>
      <c r="G962" s="3">
        <v>40</v>
      </c>
      <c r="H962" t="str">
        <f>"GERALD RAY STRONG"</f>
        <v>GERALD RAY STRONG</v>
      </c>
    </row>
    <row r="963" spans="1:8" x14ac:dyDescent="0.25">
      <c r="A963" t="s">
        <v>326</v>
      </c>
      <c r="B963">
        <v>78866</v>
      </c>
      <c r="C963" s="2">
        <v>40</v>
      </c>
      <c r="D963" s="1">
        <v>43374</v>
      </c>
      <c r="E963" t="str">
        <f>"201810013996"</f>
        <v>201810013996</v>
      </c>
      <c r="F963" t="str">
        <f>"Miscell"</f>
        <v>Miscell</v>
      </c>
      <c r="G963" s="3">
        <v>40</v>
      </c>
      <c r="H963" t="str">
        <f>"DUSTIN JOSIAH HAINES"</f>
        <v>DUSTIN JOSIAH HAINES</v>
      </c>
    </row>
    <row r="964" spans="1:8" x14ac:dyDescent="0.25">
      <c r="A964" t="s">
        <v>327</v>
      </c>
      <c r="B964">
        <v>78867</v>
      </c>
      <c r="C964" s="2">
        <v>40</v>
      </c>
      <c r="D964" s="1">
        <v>43374</v>
      </c>
      <c r="E964" t="str">
        <f>"201810013997"</f>
        <v>201810013997</v>
      </c>
      <c r="F964" t="str">
        <f>"Mis"</f>
        <v>Mis</v>
      </c>
      <c r="G964" s="3">
        <v>40</v>
      </c>
      <c r="H964" t="str">
        <f>"KERRI LYNETTE WASHINGTON"</f>
        <v>KERRI LYNETTE WASHINGTON</v>
      </c>
    </row>
    <row r="965" spans="1:8" x14ac:dyDescent="0.25">
      <c r="A965" t="s">
        <v>328</v>
      </c>
      <c r="B965">
        <v>78868</v>
      </c>
      <c r="C965" s="2">
        <v>40</v>
      </c>
      <c r="D965" s="1">
        <v>43374</v>
      </c>
      <c r="E965" t="str">
        <f>"201810013998"</f>
        <v>201810013998</v>
      </c>
      <c r="F965" t="str">
        <f>"Miscellaneous"</f>
        <v>Miscellaneous</v>
      </c>
      <c r="G965" s="3">
        <v>40</v>
      </c>
      <c r="H965" t="str">
        <f>"SHARI JO WYATT"</f>
        <v>SHARI JO WYATT</v>
      </c>
    </row>
    <row r="966" spans="1:8" x14ac:dyDescent="0.25">
      <c r="A966" t="s">
        <v>329</v>
      </c>
      <c r="B966">
        <v>78869</v>
      </c>
      <c r="C966" s="2">
        <v>40</v>
      </c>
      <c r="D966" s="1">
        <v>43374</v>
      </c>
      <c r="E966" t="str">
        <f>"201810013999"</f>
        <v>201810013999</v>
      </c>
      <c r="F966" t="str">
        <f>"Miscell"</f>
        <v>Miscell</v>
      </c>
      <c r="G966" s="3">
        <v>40</v>
      </c>
      <c r="H966" t="str">
        <f>"HILLARY MARIE KVAMME"</f>
        <v>HILLARY MARIE KVAMME</v>
      </c>
    </row>
    <row r="967" spans="1:8" x14ac:dyDescent="0.25">
      <c r="A967" t="s">
        <v>330</v>
      </c>
      <c r="B967">
        <v>78870</v>
      </c>
      <c r="C967" s="2">
        <v>40</v>
      </c>
      <c r="D967" s="1">
        <v>43374</v>
      </c>
      <c r="E967" t="str">
        <f>"201810014000"</f>
        <v>201810014000</v>
      </c>
      <c r="F967" t="str">
        <f>"Miscellane"</f>
        <v>Miscellane</v>
      </c>
      <c r="G967" s="3">
        <v>40</v>
      </c>
      <c r="H967" t="str">
        <f>"DONNA RAE NONDORF"</f>
        <v>DONNA RAE NONDORF</v>
      </c>
    </row>
    <row r="968" spans="1:8" x14ac:dyDescent="0.25">
      <c r="A968" t="s">
        <v>331</v>
      </c>
      <c r="B968">
        <v>78871</v>
      </c>
      <c r="C968" s="2">
        <v>40</v>
      </c>
      <c r="D968" s="1">
        <v>43374</v>
      </c>
      <c r="E968" t="str">
        <f>"201810014001"</f>
        <v>201810014001</v>
      </c>
      <c r="F968" t="str">
        <f>"Miscella"</f>
        <v>Miscella</v>
      </c>
      <c r="G968" s="3">
        <v>40</v>
      </c>
      <c r="H968" t="str">
        <f>"DENA MARIE POUDRIER"</f>
        <v>DENA MARIE POUDRIER</v>
      </c>
    </row>
    <row r="969" spans="1:8" x14ac:dyDescent="0.25">
      <c r="A969" t="s">
        <v>332</v>
      </c>
      <c r="B969">
        <v>78872</v>
      </c>
      <c r="C969" s="2">
        <v>40</v>
      </c>
      <c r="D969" s="1">
        <v>43374</v>
      </c>
      <c r="E969" t="str">
        <f>"201810014002"</f>
        <v>201810014002</v>
      </c>
      <c r="F969" t="str">
        <f>"Miscellane"</f>
        <v>Miscellane</v>
      </c>
      <c r="G969" s="3">
        <v>40</v>
      </c>
      <c r="H969" t="str">
        <f>"CAROL ANN DARLING"</f>
        <v>CAROL ANN DARLING</v>
      </c>
    </row>
    <row r="970" spans="1:8" x14ac:dyDescent="0.25">
      <c r="A970" t="s">
        <v>333</v>
      </c>
      <c r="B970">
        <v>78873</v>
      </c>
      <c r="C970" s="2">
        <v>40</v>
      </c>
      <c r="D970" s="1">
        <v>43374</v>
      </c>
      <c r="E970" t="str">
        <f>"201810014003"</f>
        <v>201810014003</v>
      </c>
      <c r="F970" t="str">
        <f>"Miscellaneou"</f>
        <v>Miscellaneou</v>
      </c>
      <c r="G970" s="3">
        <v>40</v>
      </c>
      <c r="H970" t="str">
        <f>"DAVID GOSTECNIK"</f>
        <v>DAVID GOSTECNIK</v>
      </c>
    </row>
    <row r="971" spans="1:8" x14ac:dyDescent="0.25">
      <c r="A971" t="s">
        <v>334</v>
      </c>
      <c r="B971">
        <v>78879</v>
      </c>
      <c r="C971" s="2">
        <v>36</v>
      </c>
      <c r="D971" s="1">
        <v>43377</v>
      </c>
      <c r="E971" t="str">
        <f>"201810044228"</f>
        <v>201810044228</v>
      </c>
      <c r="F971" t="str">
        <f>"Mi"</f>
        <v>Mi</v>
      </c>
      <c r="G971" s="3">
        <v>36</v>
      </c>
      <c r="H971" t="str">
        <f>"Child Protective Services"</f>
        <v>Child Protective Services</v>
      </c>
    </row>
    <row r="972" spans="1:8" x14ac:dyDescent="0.25">
      <c r="A972" t="s">
        <v>335</v>
      </c>
      <c r="B972">
        <v>78880</v>
      </c>
      <c r="C972" s="2">
        <v>282</v>
      </c>
      <c r="D972" s="1">
        <v>43377</v>
      </c>
      <c r="E972" t="str">
        <f>"201810044229"</f>
        <v>201810044229</v>
      </c>
      <c r="F972" t="str">
        <f>""</f>
        <v/>
      </c>
      <c r="G972" s="3">
        <v>282</v>
      </c>
      <c r="H972" t="str">
        <f>"COURT APPOINTED SPECIAL ADVOCA"</f>
        <v>COURT APPOINTED SPECIAL ADVOCA</v>
      </c>
    </row>
    <row r="973" spans="1:8" x14ac:dyDescent="0.25">
      <c r="A973" t="s">
        <v>336</v>
      </c>
      <c r="B973">
        <v>78881</v>
      </c>
      <c r="C973" s="2">
        <v>36</v>
      </c>
      <c r="D973" s="1">
        <v>43377</v>
      </c>
      <c r="E973" t="str">
        <f>"201810044230"</f>
        <v>201810044230</v>
      </c>
      <c r="F973" t="str">
        <f>"Miscell"</f>
        <v>Miscell</v>
      </c>
      <c r="G973" s="3">
        <v>36</v>
      </c>
      <c r="H973" t="str">
        <f>"Family Crisis Center"</f>
        <v>Family Crisis Center</v>
      </c>
    </row>
    <row r="974" spans="1:8" x14ac:dyDescent="0.25">
      <c r="A974" t="s">
        <v>337</v>
      </c>
      <c r="B974">
        <v>78882</v>
      </c>
      <c r="C974" s="2">
        <v>60</v>
      </c>
      <c r="D974" s="1">
        <v>43377</v>
      </c>
      <c r="E974" t="str">
        <f>"201810044231"</f>
        <v>201810044231</v>
      </c>
      <c r="F974" t="str">
        <f>"M"</f>
        <v>M</v>
      </c>
      <c r="G974" s="3">
        <v>60</v>
      </c>
      <c r="H974" t="str">
        <f>"Children's Advocacy Center"</f>
        <v>Children's Advocacy Center</v>
      </c>
    </row>
    <row r="975" spans="1:8" x14ac:dyDescent="0.25">
      <c r="A975" t="s">
        <v>338</v>
      </c>
      <c r="B975">
        <v>78883</v>
      </c>
      <c r="C975" s="2">
        <v>246</v>
      </c>
      <c r="D975" s="1">
        <v>43377</v>
      </c>
      <c r="E975" t="str">
        <f>"201810044232"</f>
        <v>201810044232</v>
      </c>
      <c r="F975" t="str">
        <f>"Miscellane"</f>
        <v>Miscellane</v>
      </c>
      <c r="G975" s="3">
        <v>246</v>
      </c>
      <c r="H975" t="str">
        <f>"DEBORAH MALDONADO"</f>
        <v>DEBORAH MALDONADO</v>
      </c>
    </row>
    <row r="976" spans="1:8" x14ac:dyDescent="0.25">
      <c r="A976" t="s">
        <v>339</v>
      </c>
      <c r="B976">
        <v>78884</v>
      </c>
      <c r="C976" s="2">
        <v>6</v>
      </c>
      <c r="D976" s="1">
        <v>43377</v>
      </c>
      <c r="E976" t="str">
        <f>"201810044233"</f>
        <v>201810044233</v>
      </c>
      <c r="F976" t="str">
        <f>"Misc"</f>
        <v>Misc</v>
      </c>
      <c r="G976" s="3">
        <v>6</v>
      </c>
      <c r="H976" t="str">
        <f>"JOEL ANDREW HOFFMEISTER"</f>
        <v>JOEL ANDREW HOFFMEISTER</v>
      </c>
    </row>
    <row r="977" spans="1:8" x14ac:dyDescent="0.25">
      <c r="A977" t="s">
        <v>340</v>
      </c>
      <c r="B977">
        <v>78885</v>
      </c>
      <c r="C977" s="2">
        <v>246</v>
      </c>
      <c r="D977" s="1">
        <v>43377</v>
      </c>
      <c r="E977" t="str">
        <f>"201810044234"</f>
        <v>201810044234</v>
      </c>
      <c r="F977" t="str">
        <f>"Miscella"</f>
        <v>Miscella</v>
      </c>
      <c r="G977" s="3">
        <v>246</v>
      </c>
      <c r="H977" t="str">
        <f>"PATRICIA KAY FRANEY"</f>
        <v>PATRICIA KAY FRANEY</v>
      </c>
    </row>
    <row r="978" spans="1:8" x14ac:dyDescent="0.25">
      <c r="A978" t="s">
        <v>341</v>
      </c>
      <c r="B978">
        <v>78886</v>
      </c>
      <c r="C978" s="2">
        <v>6</v>
      </c>
      <c r="D978" s="1">
        <v>43377</v>
      </c>
      <c r="E978" t="str">
        <f>"201810044235"</f>
        <v>201810044235</v>
      </c>
      <c r="F978" t="str">
        <f>"Misce"</f>
        <v>Misce</v>
      </c>
      <c r="G978" s="3">
        <v>6</v>
      </c>
      <c r="H978" t="str">
        <f>"CHARLES DAVID THOMPSON"</f>
        <v>CHARLES DAVID THOMPSON</v>
      </c>
    </row>
    <row r="979" spans="1:8" x14ac:dyDescent="0.25">
      <c r="A979" t="s">
        <v>342</v>
      </c>
      <c r="B979">
        <v>78887</v>
      </c>
      <c r="C979" s="2">
        <v>6</v>
      </c>
      <c r="D979" s="1">
        <v>43377</v>
      </c>
      <c r="E979" t="str">
        <f>"201810044236"</f>
        <v>201810044236</v>
      </c>
      <c r="F979" t="str">
        <f>"Miscell"</f>
        <v>Miscell</v>
      </c>
      <c r="G979" s="3">
        <v>6</v>
      </c>
      <c r="H979" t="str">
        <f>"NEVA HAMMACK RANDALL"</f>
        <v>NEVA HAMMACK RANDALL</v>
      </c>
    </row>
    <row r="980" spans="1:8" x14ac:dyDescent="0.25">
      <c r="A980" t="s">
        <v>343</v>
      </c>
      <c r="B980">
        <v>78888</v>
      </c>
      <c r="C980" s="2">
        <v>246</v>
      </c>
      <c r="D980" s="1">
        <v>43377</v>
      </c>
      <c r="E980" t="str">
        <f>"201810044237"</f>
        <v>201810044237</v>
      </c>
      <c r="F980" t="str">
        <f>"Misc"</f>
        <v>Misc</v>
      </c>
      <c r="G980" s="3">
        <v>246</v>
      </c>
      <c r="H980" t="str">
        <f>"MICKEY JOSEPH CONCIENNE"</f>
        <v>MICKEY JOSEPH CONCIENNE</v>
      </c>
    </row>
    <row r="981" spans="1:8" x14ac:dyDescent="0.25">
      <c r="A981" t="s">
        <v>344</v>
      </c>
      <c r="B981">
        <v>78889</v>
      </c>
      <c r="C981" s="2">
        <v>6</v>
      </c>
      <c r="D981" s="1">
        <v>43377</v>
      </c>
      <c r="E981" t="str">
        <f>"201810044238"</f>
        <v>201810044238</v>
      </c>
      <c r="F981" t="str">
        <f>"Miscell"</f>
        <v>Miscell</v>
      </c>
      <c r="G981" s="3">
        <v>6</v>
      </c>
      <c r="H981" t="str">
        <f>"DAVID CHRISTIAN MOHR"</f>
        <v>DAVID CHRISTIAN MOHR</v>
      </c>
    </row>
    <row r="982" spans="1:8" x14ac:dyDescent="0.25">
      <c r="A982" t="s">
        <v>345</v>
      </c>
      <c r="B982">
        <v>78890</v>
      </c>
      <c r="C982" s="2">
        <v>6</v>
      </c>
      <c r="D982" s="1">
        <v>43377</v>
      </c>
      <c r="E982" t="str">
        <f>"201810044239"</f>
        <v>201810044239</v>
      </c>
      <c r="F982" t="str">
        <f>"Mis"</f>
        <v>Mis</v>
      </c>
      <c r="G982" s="3">
        <v>6</v>
      </c>
      <c r="H982" t="str">
        <f>"ELIZABETH MARIE CALDWELL"</f>
        <v>ELIZABETH MARIE CALDWELL</v>
      </c>
    </row>
    <row r="983" spans="1:8" x14ac:dyDescent="0.25">
      <c r="A983" t="s">
        <v>346</v>
      </c>
      <c r="B983">
        <v>78891</v>
      </c>
      <c r="C983" s="2">
        <v>246</v>
      </c>
      <c r="D983" s="1">
        <v>43377</v>
      </c>
      <c r="E983" t="str">
        <f>"201810044240"</f>
        <v>201810044240</v>
      </c>
      <c r="F983" t="str">
        <f>"Miscella"</f>
        <v>Miscella</v>
      </c>
      <c r="G983" s="3">
        <v>246</v>
      </c>
      <c r="H983" t="str">
        <f>"HEATHER DAWN MEDINA"</f>
        <v>HEATHER DAWN MEDINA</v>
      </c>
    </row>
    <row r="984" spans="1:8" x14ac:dyDescent="0.25">
      <c r="A984" t="s">
        <v>347</v>
      </c>
      <c r="B984">
        <v>78892</v>
      </c>
      <c r="C984" s="2">
        <v>6</v>
      </c>
      <c r="D984" s="1">
        <v>43377</v>
      </c>
      <c r="E984" t="str">
        <f>"201810044241"</f>
        <v>201810044241</v>
      </c>
      <c r="F984" t="str">
        <f>"Miscella"</f>
        <v>Miscella</v>
      </c>
      <c r="G984" s="3">
        <v>6</v>
      </c>
      <c r="H984" t="str">
        <f>"KELLI FLOWERS HOBBS"</f>
        <v>KELLI FLOWERS HOBBS</v>
      </c>
    </row>
    <row r="985" spans="1:8" x14ac:dyDescent="0.25">
      <c r="A985" t="s">
        <v>348</v>
      </c>
      <c r="B985">
        <v>78893</v>
      </c>
      <c r="C985" s="2">
        <v>6</v>
      </c>
      <c r="D985" s="1">
        <v>43377</v>
      </c>
      <c r="E985" t="str">
        <f>"201810044242"</f>
        <v>201810044242</v>
      </c>
      <c r="F985" t="str">
        <f>"Miscellaneous"</f>
        <v>Miscellaneous</v>
      </c>
      <c r="G985" s="3">
        <v>6</v>
      </c>
      <c r="H985" t="str">
        <f>"KAREN W CARTER"</f>
        <v>KAREN W CARTER</v>
      </c>
    </row>
    <row r="986" spans="1:8" x14ac:dyDescent="0.25">
      <c r="A986" t="s">
        <v>349</v>
      </c>
      <c r="B986">
        <v>78894</v>
      </c>
      <c r="C986" s="2">
        <v>6</v>
      </c>
      <c r="D986" s="1">
        <v>43377</v>
      </c>
      <c r="E986" t="str">
        <f>"201810044243"</f>
        <v>201810044243</v>
      </c>
      <c r="F986" t="str">
        <f>"Miscellan"</f>
        <v>Miscellan</v>
      </c>
      <c r="G986" s="3">
        <v>6</v>
      </c>
      <c r="H986" t="str">
        <f>"KYLE DAVID JENKINS"</f>
        <v>KYLE DAVID JENKINS</v>
      </c>
    </row>
    <row r="987" spans="1:8" x14ac:dyDescent="0.25">
      <c r="A987" t="s">
        <v>350</v>
      </c>
      <c r="B987">
        <v>78895</v>
      </c>
      <c r="C987" s="2">
        <v>6</v>
      </c>
      <c r="D987" s="1">
        <v>43377</v>
      </c>
      <c r="E987" t="str">
        <f>"201810044244"</f>
        <v>201810044244</v>
      </c>
      <c r="F987" t="str">
        <f>"Miscell"</f>
        <v>Miscell</v>
      </c>
      <c r="G987" s="3">
        <v>6</v>
      </c>
      <c r="H987" t="str">
        <f>"MICHAEL GLEN KINSLOW"</f>
        <v>MICHAEL GLEN KINSLOW</v>
      </c>
    </row>
    <row r="988" spans="1:8" x14ac:dyDescent="0.25">
      <c r="A988" t="s">
        <v>351</v>
      </c>
      <c r="B988">
        <v>78896</v>
      </c>
      <c r="C988" s="2">
        <v>6</v>
      </c>
      <c r="D988" s="1">
        <v>43377</v>
      </c>
      <c r="E988" t="str">
        <f>"201810044245"</f>
        <v>201810044245</v>
      </c>
      <c r="F988" t="str">
        <f>"Miscellan"</f>
        <v>Miscellan</v>
      </c>
      <c r="G988" s="3">
        <v>6</v>
      </c>
      <c r="H988" t="str">
        <f>"TERRY ALLAN BURGAN"</f>
        <v>TERRY ALLAN BURGAN</v>
      </c>
    </row>
    <row r="989" spans="1:8" x14ac:dyDescent="0.25">
      <c r="A989" t="s">
        <v>352</v>
      </c>
      <c r="B989">
        <v>78897</v>
      </c>
      <c r="C989" s="2">
        <v>6</v>
      </c>
      <c r="D989" s="1">
        <v>43377</v>
      </c>
      <c r="E989" t="str">
        <f>"201810044246"</f>
        <v>201810044246</v>
      </c>
      <c r="F989" t="str">
        <f>"Miscella"</f>
        <v>Miscella</v>
      </c>
      <c r="G989" s="3">
        <v>6</v>
      </c>
      <c r="H989" t="str">
        <f>"MYLES JORDAN DESHAY"</f>
        <v>MYLES JORDAN DESHAY</v>
      </c>
    </row>
    <row r="990" spans="1:8" x14ac:dyDescent="0.25">
      <c r="A990" t="s">
        <v>353</v>
      </c>
      <c r="B990">
        <v>78898</v>
      </c>
      <c r="C990" s="2">
        <v>6</v>
      </c>
      <c r="D990" s="1">
        <v>43377</v>
      </c>
      <c r="E990" t="str">
        <f>"201810044247"</f>
        <v>201810044247</v>
      </c>
      <c r="F990" t="str">
        <f>"Miscell"</f>
        <v>Miscell</v>
      </c>
      <c r="G990" s="3">
        <v>6</v>
      </c>
      <c r="H990" t="str">
        <f>"SCOTT ALAN UNDERWOOD"</f>
        <v>SCOTT ALAN UNDERWOOD</v>
      </c>
    </row>
    <row r="991" spans="1:8" x14ac:dyDescent="0.25">
      <c r="A991" t="s">
        <v>354</v>
      </c>
      <c r="B991">
        <v>78899</v>
      </c>
      <c r="C991" s="2">
        <v>6</v>
      </c>
      <c r="D991" s="1">
        <v>43377</v>
      </c>
      <c r="E991" t="str">
        <f>"201810044248"</f>
        <v>201810044248</v>
      </c>
      <c r="F991" t="str">
        <f>"Miscell"</f>
        <v>Miscell</v>
      </c>
      <c r="G991" s="3">
        <v>6</v>
      </c>
      <c r="H991" t="str">
        <f>"WILLIAM BRIAN HORTON"</f>
        <v>WILLIAM BRIAN HORTON</v>
      </c>
    </row>
    <row r="992" spans="1:8" x14ac:dyDescent="0.25">
      <c r="A992" t="s">
        <v>355</v>
      </c>
      <c r="B992">
        <v>78900</v>
      </c>
      <c r="C992" s="2">
        <v>6</v>
      </c>
      <c r="D992" s="1">
        <v>43377</v>
      </c>
      <c r="E992" t="str">
        <f>"201810044249"</f>
        <v>201810044249</v>
      </c>
      <c r="F992" t="str">
        <f>"Miscellaneo"</f>
        <v>Miscellaneo</v>
      </c>
      <c r="G992" s="3">
        <v>6</v>
      </c>
      <c r="H992" t="str">
        <f>"KUSUMBEN B PATEL"</f>
        <v>KUSUMBEN B PATEL</v>
      </c>
    </row>
    <row r="993" spans="1:8" x14ac:dyDescent="0.25">
      <c r="A993" t="s">
        <v>356</v>
      </c>
      <c r="B993">
        <v>78901</v>
      </c>
      <c r="C993" s="2">
        <v>6</v>
      </c>
      <c r="D993" s="1">
        <v>43377</v>
      </c>
      <c r="E993" t="str">
        <f>"201810044250"</f>
        <v>201810044250</v>
      </c>
      <c r="F993" t="str">
        <f>"Miscell"</f>
        <v>Miscell</v>
      </c>
      <c r="G993" s="3">
        <v>6</v>
      </c>
      <c r="H993" t="str">
        <f>"DILLAN JAMES BARNARD"</f>
        <v>DILLAN JAMES BARNARD</v>
      </c>
    </row>
    <row r="994" spans="1:8" x14ac:dyDescent="0.25">
      <c r="A994" t="s">
        <v>357</v>
      </c>
      <c r="B994">
        <v>78902</v>
      </c>
      <c r="C994" s="2">
        <v>6</v>
      </c>
      <c r="D994" s="1">
        <v>43377</v>
      </c>
      <c r="E994" t="str">
        <f>"201810044251"</f>
        <v>201810044251</v>
      </c>
      <c r="F994" t="str">
        <f>"Miscel"</f>
        <v>Miscel</v>
      </c>
      <c r="G994" s="3">
        <v>6</v>
      </c>
      <c r="H994" t="str">
        <f>"THERESA P CHRISTENSEN"</f>
        <v>THERESA P CHRISTENSEN</v>
      </c>
    </row>
    <row r="995" spans="1:8" x14ac:dyDescent="0.25">
      <c r="A995" t="s">
        <v>358</v>
      </c>
      <c r="B995">
        <v>78903</v>
      </c>
      <c r="C995" s="2">
        <v>6</v>
      </c>
      <c r="D995" s="1">
        <v>43377</v>
      </c>
      <c r="E995" t="str">
        <f>"201810044252"</f>
        <v>201810044252</v>
      </c>
      <c r="F995" t="str">
        <f>"Miscellaneo"</f>
        <v>Miscellaneo</v>
      </c>
      <c r="G995" s="3">
        <v>6</v>
      </c>
      <c r="H995" t="str">
        <f>"GARY WARREN NULL"</f>
        <v>GARY WARREN NULL</v>
      </c>
    </row>
    <row r="996" spans="1:8" x14ac:dyDescent="0.25">
      <c r="A996" t="s">
        <v>359</v>
      </c>
      <c r="B996">
        <v>78904</v>
      </c>
      <c r="C996" s="2">
        <v>6</v>
      </c>
      <c r="D996" s="1">
        <v>43377</v>
      </c>
      <c r="E996" t="str">
        <f>"201810044253"</f>
        <v>201810044253</v>
      </c>
      <c r="F996" t="str">
        <f>"Miscellaneou"</f>
        <v>Miscellaneou</v>
      </c>
      <c r="G996" s="3">
        <v>6</v>
      </c>
      <c r="H996" t="str">
        <f>"LYSSETT SERAFIN"</f>
        <v>LYSSETT SERAFIN</v>
      </c>
    </row>
    <row r="997" spans="1:8" x14ac:dyDescent="0.25">
      <c r="A997" t="s">
        <v>360</v>
      </c>
      <c r="B997">
        <v>78905</v>
      </c>
      <c r="C997" s="2">
        <v>6</v>
      </c>
      <c r="D997" s="1">
        <v>43377</v>
      </c>
      <c r="E997" t="str">
        <f>"201810044254"</f>
        <v>201810044254</v>
      </c>
      <c r="F997" t="str">
        <f>"Miscel"</f>
        <v>Miscel</v>
      </c>
      <c r="G997" s="3">
        <v>6</v>
      </c>
      <c r="H997" t="str">
        <f>"TAYLOR NICOLE SMALLEY"</f>
        <v>TAYLOR NICOLE SMALLEY</v>
      </c>
    </row>
    <row r="998" spans="1:8" x14ac:dyDescent="0.25">
      <c r="A998" t="s">
        <v>361</v>
      </c>
      <c r="B998">
        <v>78906</v>
      </c>
      <c r="C998" s="2">
        <v>6</v>
      </c>
      <c r="D998" s="1">
        <v>43377</v>
      </c>
      <c r="E998" t="str">
        <f>"201810044255"</f>
        <v>201810044255</v>
      </c>
      <c r="F998" t="str">
        <f>"Miscell"</f>
        <v>Miscell</v>
      </c>
      <c r="G998" s="3">
        <v>6</v>
      </c>
      <c r="H998" t="str">
        <f>"TIFFANY CHAVON ROMAN"</f>
        <v>TIFFANY CHAVON ROMAN</v>
      </c>
    </row>
    <row r="999" spans="1:8" x14ac:dyDescent="0.25">
      <c r="A999" t="s">
        <v>362</v>
      </c>
      <c r="B999">
        <v>78907</v>
      </c>
      <c r="C999" s="2">
        <v>246</v>
      </c>
      <c r="D999" s="1">
        <v>43377</v>
      </c>
      <c r="E999" t="str">
        <f>"201810044256"</f>
        <v>201810044256</v>
      </c>
      <c r="F999" t="str">
        <f>"Miscellaneo"</f>
        <v>Miscellaneo</v>
      </c>
      <c r="G999" s="3">
        <v>246</v>
      </c>
      <c r="H999" t="str">
        <f>"DANNY LEN THOMAS"</f>
        <v>DANNY LEN THOMAS</v>
      </c>
    </row>
    <row r="1000" spans="1:8" x14ac:dyDescent="0.25">
      <c r="A1000" t="s">
        <v>363</v>
      </c>
      <c r="B1000">
        <v>78908</v>
      </c>
      <c r="C1000" s="2">
        <v>6</v>
      </c>
      <c r="D1000" s="1">
        <v>43377</v>
      </c>
      <c r="E1000" t="str">
        <f>"201810044257"</f>
        <v>201810044257</v>
      </c>
      <c r="F1000" t="str">
        <f>"Misc"</f>
        <v>Misc</v>
      </c>
      <c r="G1000" s="3">
        <v>6</v>
      </c>
      <c r="H1000" t="str">
        <f>"VERONICA ELAINE NAVEJAS"</f>
        <v>VERONICA ELAINE NAVEJAS</v>
      </c>
    </row>
    <row r="1001" spans="1:8" x14ac:dyDescent="0.25">
      <c r="A1001" t="s">
        <v>364</v>
      </c>
      <c r="B1001">
        <v>78909</v>
      </c>
      <c r="C1001" s="2">
        <v>6</v>
      </c>
      <c r="D1001" s="1">
        <v>43377</v>
      </c>
      <c r="E1001" t="str">
        <f>"201810044258"</f>
        <v>201810044258</v>
      </c>
      <c r="F1001" t="str">
        <f>"Miscellan"</f>
        <v>Miscellan</v>
      </c>
      <c r="G1001" s="3">
        <v>6</v>
      </c>
      <c r="H1001" t="str">
        <f>"DAVID EDWARD SWOPE"</f>
        <v>DAVID EDWARD SWOPE</v>
      </c>
    </row>
    <row r="1002" spans="1:8" x14ac:dyDescent="0.25">
      <c r="A1002" t="s">
        <v>365</v>
      </c>
      <c r="B1002">
        <v>78910</v>
      </c>
      <c r="C1002" s="2">
        <v>6</v>
      </c>
      <c r="D1002" s="1">
        <v>43377</v>
      </c>
      <c r="E1002" t="str">
        <f>"201810044259"</f>
        <v>201810044259</v>
      </c>
      <c r="F1002" t="str">
        <f>"Mis"</f>
        <v>Mis</v>
      </c>
      <c r="G1002" s="3">
        <v>6</v>
      </c>
      <c r="H1002" t="str">
        <f>"CAROL L CAMPBELL-SCHERER"</f>
        <v>CAROL L CAMPBELL-SCHERER</v>
      </c>
    </row>
    <row r="1003" spans="1:8" x14ac:dyDescent="0.25">
      <c r="A1003" t="s">
        <v>366</v>
      </c>
      <c r="B1003">
        <v>78911</v>
      </c>
      <c r="C1003" s="2">
        <v>6</v>
      </c>
      <c r="D1003" s="1">
        <v>43377</v>
      </c>
      <c r="E1003" t="str">
        <f>"201810044260"</f>
        <v>201810044260</v>
      </c>
      <c r="F1003" t="str">
        <f>"Misce"</f>
        <v>Misce</v>
      </c>
      <c r="G1003" s="3">
        <v>6</v>
      </c>
      <c r="H1003" t="str">
        <f>"DOUGLAS CHARLES ROGERS"</f>
        <v>DOUGLAS CHARLES ROGERS</v>
      </c>
    </row>
    <row r="1004" spans="1:8" x14ac:dyDescent="0.25">
      <c r="A1004" t="s">
        <v>367</v>
      </c>
      <c r="B1004">
        <v>78912</v>
      </c>
      <c r="C1004" s="2">
        <v>6</v>
      </c>
      <c r="D1004" s="1">
        <v>43377</v>
      </c>
      <c r="E1004" t="str">
        <f>"201810044261"</f>
        <v>201810044261</v>
      </c>
      <c r="F1004" t="str">
        <f>"Miscellan"</f>
        <v>Miscellan</v>
      </c>
      <c r="G1004" s="3">
        <v>6</v>
      </c>
      <c r="H1004" t="str">
        <f>"ALAN MICHAEL REDUS"</f>
        <v>ALAN MICHAEL REDUS</v>
      </c>
    </row>
    <row r="1005" spans="1:8" x14ac:dyDescent="0.25">
      <c r="A1005" t="s">
        <v>368</v>
      </c>
      <c r="B1005">
        <v>78913</v>
      </c>
      <c r="C1005" s="2">
        <v>6</v>
      </c>
      <c r="D1005" s="1">
        <v>43377</v>
      </c>
      <c r="E1005" t="str">
        <f>"201810044262"</f>
        <v>201810044262</v>
      </c>
      <c r="F1005" t="str">
        <f>"Mis"</f>
        <v>Mis</v>
      </c>
      <c r="G1005" s="3">
        <v>6</v>
      </c>
      <c r="H1005" t="str">
        <f>"ALEXANDRIA VENDRELL WEST"</f>
        <v>ALEXANDRIA VENDRELL WEST</v>
      </c>
    </row>
    <row r="1006" spans="1:8" x14ac:dyDescent="0.25">
      <c r="A1006" t="s">
        <v>369</v>
      </c>
      <c r="B1006">
        <v>78914</v>
      </c>
      <c r="C1006" s="2">
        <v>246</v>
      </c>
      <c r="D1006" s="1">
        <v>43377</v>
      </c>
      <c r="E1006" t="str">
        <f>"201810044263"</f>
        <v>201810044263</v>
      </c>
      <c r="F1006" t="str">
        <f>"Miscella"</f>
        <v>Miscella</v>
      </c>
      <c r="G1006" s="3">
        <v>246</v>
      </c>
      <c r="H1006" t="str">
        <f>"LONNIE DAVID SWONKE"</f>
        <v>LONNIE DAVID SWONKE</v>
      </c>
    </row>
    <row r="1007" spans="1:8" x14ac:dyDescent="0.25">
      <c r="A1007" t="s">
        <v>370</v>
      </c>
      <c r="B1007">
        <v>78915</v>
      </c>
      <c r="C1007" s="2">
        <v>6</v>
      </c>
      <c r="D1007" s="1">
        <v>43377</v>
      </c>
      <c r="E1007" t="str">
        <f>"201810044264"</f>
        <v>201810044264</v>
      </c>
      <c r="F1007" t="str">
        <f>"Miscellane"</f>
        <v>Miscellane</v>
      </c>
      <c r="G1007" s="3">
        <v>6</v>
      </c>
      <c r="H1007" t="str">
        <f>"BILLY WAYNE HORKY"</f>
        <v>BILLY WAYNE HORKY</v>
      </c>
    </row>
    <row r="1008" spans="1:8" x14ac:dyDescent="0.25">
      <c r="A1008" t="s">
        <v>371</v>
      </c>
      <c r="B1008">
        <v>78916</v>
      </c>
      <c r="C1008" s="2">
        <v>246</v>
      </c>
      <c r="D1008" s="1">
        <v>43377</v>
      </c>
      <c r="E1008" t="str">
        <f>"201810044265"</f>
        <v>201810044265</v>
      </c>
      <c r="F1008" t="str">
        <f>"Miscellan"</f>
        <v>Miscellan</v>
      </c>
      <c r="G1008" s="3">
        <v>246</v>
      </c>
      <c r="H1008" t="str">
        <f>"DEBRA A GROENEVELD"</f>
        <v>DEBRA A GROENEVELD</v>
      </c>
    </row>
    <row r="1009" spans="1:8" x14ac:dyDescent="0.25">
      <c r="A1009" t="s">
        <v>372</v>
      </c>
      <c r="B1009">
        <v>78917</v>
      </c>
      <c r="C1009" s="2">
        <v>246</v>
      </c>
      <c r="D1009" s="1">
        <v>43377</v>
      </c>
      <c r="E1009" t="str">
        <f>"201810044266"</f>
        <v>201810044266</v>
      </c>
      <c r="F1009" t="str">
        <f>"Miscellaneou"</f>
        <v>Miscellaneou</v>
      </c>
      <c r="G1009" s="3">
        <v>246</v>
      </c>
      <c r="H1009" t="str">
        <f>"EDUARDO AGUIRRE"</f>
        <v>EDUARDO AGUIRRE</v>
      </c>
    </row>
    <row r="1010" spans="1:8" x14ac:dyDescent="0.25">
      <c r="A1010" t="s">
        <v>373</v>
      </c>
      <c r="B1010">
        <v>78918</v>
      </c>
      <c r="C1010" s="2">
        <v>6</v>
      </c>
      <c r="D1010" s="1">
        <v>43377</v>
      </c>
      <c r="E1010" t="str">
        <f>"201810044267"</f>
        <v>201810044267</v>
      </c>
      <c r="F1010" t="str">
        <f>"Miscell"</f>
        <v>Miscell</v>
      </c>
      <c r="G1010" s="3">
        <v>6</v>
      </c>
      <c r="H1010" t="str">
        <f>"CATHY BEAUDRY TIEMAN"</f>
        <v>CATHY BEAUDRY TIEMAN</v>
      </c>
    </row>
    <row r="1011" spans="1:8" x14ac:dyDescent="0.25">
      <c r="A1011" t="s">
        <v>374</v>
      </c>
      <c r="B1011">
        <v>78919</v>
      </c>
      <c r="C1011" s="2">
        <v>6</v>
      </c>
      <c r="D1011" s="1">
        <v>43377</v>
      </c>
      <c r="E1011" t="str">
        <f>"201810044268"</f>
        <v>201810044268</v>
      </c>
      <c r="F1011" t="str">
        <f>"Miscellaneou"</f>
        <v>Miscellaneou</v>
      </c>
      <c r="G1011" s="3">
        <v>6</v>
      </c>
      <c r="H1011" t="str">
        <f>"GERALD S LATHEM"</f>
        <v>GERALD S LATHEM</v>
      </c>
    </row>
    <row r="1012" spans="1:8" x14ac:dyDescent="0.25">
      <c r="A1012" t="s">
        <v>375</v>
      </c>
      <c r="B1012">
        <v>78920</v>
      </c>
      <c r="C1012" s="2">
        <v>246</v>
      </c>
      <c r="D1012" s="1">
        <v>43377</v>
      </c>
      <c r="E1012" t="str">
        <f>"201810044269"</f>
        <v>201810044269</v>
      </c>
      <c r="F1012" t="str">
        <f>"Misce"</f>
        <v>Misce</v>
      </c>
      <c r="G1012" s="3">
        <v>246</v>
      </c>
      <c r="H1012" t="str">
        <f>"KELLEY ELIZABETH PRICE"</f>
        <v>KELLEY ELIZABETH PRICE</v>
      </c>
    </row>
    <row r="1013" spans="1:8" x14ac:dyDescent="0.25">
      <c r="A1013" t="s">
        <v>376</v>
      </c>
      <c r="B1013">
        <v>78921</v>
      </c>
      <c r="C1013" s="2">
        <v>6</v>
      </c>
      <c r="D1013" s="1">
        <v>43377</v>
      </c>
      <c r="E1013" t="str">
        <f>"201810044270"</f>
        <v>201810044270</v>
      </c>
      <c r="F1013" t="str">
        <f>"Miscellane"</f>
        <v>Miscellane</v>
      </c>
      <c r="G1013" s="3">
        <v>6</v>
      </c>
      <c r="H1013" t="str">
        <f>"CHRIS TINA NATOLI"</f>
        <v>CHRIS TINA NATOLI</v>
      </c>
    </row>
    <row r="1014" spans="1:8" x14ac:dyDescent="0.25">
      <c r="A1014" t="s">
        <v>377</v>
      </c>
      <c r="B1014">
        <v>78922</v>
      </c>
      <c r="C1014" s="2">
        <v>6</v>
      </c>
      <c r="D1014" s="1">
        <v>43377</v>
      </c>
      <c r="E1014" t="str">
        <f>"201810044271"</f>
        <v>201810044271</v>
      </c>
      <c r="F1014" t="str">
        <f>"Miscell"</f>
        <v>Miscell</v>
      </c>
      <c r="G1014" s="3">
        <v>6</v>
      </c>
      <c r="H1014" t="str">
        <f>"RACHEL DENISE BRYANT"</f>
        <v>RACHEL DENISE BRYANT</v>
      </c>
    </row>
    <row r="1015" spans="1:8" x14ac:dyDescent="0.25">
      <c r="A1015" t="s">
        <v>378</v>
      </c>
      <c r="B1015">
        <v>78923</v>
      </c>
      <c r="C1015" s="2">
        <v>246</v>
      </c>
      <c r="D1015" s="1">
        <v>43377</v>
      </c>
      <c r="E1015" t="str">
        <f>"201810044272"</f>
        <v>201810044272</v>
      </c>
      <c r="F1015" t="str">
        <f>"Miscel"</f>
        <v>Miscel</v>
      </c>
      <c r="G1015" s="3">
        <v>246</v>
      </c>
      <c r="H1015" t="str">
        <f>"DENNIS JAMES GOERLITZ"</f>
        <v>DENNIS JAMES GOERLITZ</v>
      </c>
    </row>
    <row r="1016" spans="1:8" x14ac:dyDescent="0.25">
      <c r="A1016" t="s">
        <v>379</v>
      </c>
      <c r="B1016">
        <v>78924</v>
      </c>
      <c r="C1016" s="2">
        <v>6</v>
      </c>
      <c r="D1016" s="1">
        <v>43377</v>
      </c>
      <c r="E1016" t="str">
        <f>"201810044273"</f>
        <v>201810044273</v>
      </c>
      <c r="F1016" t="str">
        <f>"Misce"</f>
        <v>Misce</v>
      </c>
      <c r="G1016" s="3">
        <v>6</v>
      </c>
      <c r="H1016" t="str">
        <f>"PRICE B MIDDLEBROOK IV"</f>
        <v>PRICE B MIDDLEBROOK IV</v>
      </c>
    </row>
    <row r="1017" spans="1:8" x14ac:dyDescent="0.25">
      <c r="A1017" t="s">
        <v>380</v>
      </c>
      <c r="B1017">
        <v>78925</v>
      </c>
      <c r="C1017" s="2">
        <v>6</v>
      </c>
      <c r="D1017" s="1">
        <v>43377</v>
      </c>
      <c r="E1017" t="str">
        <f>"201810044274"</f>
        <v>201810044274</v>
      </c>
      <c r="F1017" t="str">
        <f>"Miscellaneou"</f>
        <v>Miscellaneou</v>
      </c>
      <c r="G1017" s="3">
        <v>6</v>
      </c>
      <c r="H1017" t="str">
        <f>"JANET LEA ROHDE"</f>
        <v>JANET LEA ROHDE</v>
      </c>
    </row>
    <row r="1018" spans="1:8" x14ac:dyDescent="0.25">
      <c r="A1018" t="s">
        <v>381</v>
      </c>
      <c r="B1018">
        <v>78926</v>
      </c>
      <c r="C1018" s="2">
        <v>6</v>
      </c>
      <c r="D1018" s="1">
        <v>43377</v>
      </c>
      <c r="E1018" t="str">
        <f>"201810044275"</f>
        <v>201810044275</v>
      </c>
      <c r="F1018" t="str">
        <f>"Misce"</f>
        <v>Misce</v>
      </c>
      <c r="G1018" s="3">
        <v>6</v>
      </c>
      <c r="H1018" t="str">
        <f>"JUAN ARTHURO CERVANTES"</f>
        <v>JUAN ARTHURO CERVANTES</v>
      </c>
    </row>
    <row r="1019" spans="1:8" x14ac:dyDescent="0.25">
      <c r="A1019" t="s">
        <v>382</v>
      </c>
      <c r="B1019">
        <v>78927</v>
      </c>
      <c r="C1019" s="2">
        <v>246</v>
      </c>
      <c r="D1019" s="1">
        <v>43377</v>
      </c>
      <c r="E1019" t="str">
        <f>"201810044276"</f>
        <v>201810044276</v>
      </c>
      <c r="F1019" t="str">
        <f>"Miscella"</f>
        <v>Miscella</v>
      </c>
      <c r="G1019" s="3">
        <v>246</v>
      </c>
      <c r="H1019" t="str">
        <f>"SUSAN MARIE DICKENS"</f>
        <v>SUSAN MARIE DICKENS</v>
      </c>
    </row>
    <row r="1020" spans="1:8" x14ac:dyDescent="0.25">
      <c r="A1020" t="s">
        <v>383</v>
      </c>
      <c r="B1020">
        <v>78928</v>
      </c>
      <c r="C1020" s="2">
        <v>6</v>
      </c>
      <c r="D1020" s="1">
        <v>43377</v>
      </c>
      <c r="E1020" t="str">
        <f>"201810044277"</f>
        <v>201810044277</v>
      </c>
      <c r="F1020" t="str">
        <f>"Miscellane"</f>
        <v>Miscellane</v>
      </c>
      <c r="G1020" s="3">
        <v>6</v>
      </c>
      <c r="H1020" t="str">
        <f>"LESLIE PAUL MOYER"</f>
        <v>LESLIE PAUL MOYER</v>
      </c>
    </row>
    <row r="1021" spans="1:8" x14ac:dyDescent="0.25">
      <c r="A1021" t="s">
        <v>384</v>
      </c>
      <c r="B1021">
        <v>78929</v>
      </c>
      <c r="C1021" s="2">
        <v>6</v>
      </c>
      <c r="D1021" s="1">
        <v>43377</v>
      </c>
      <c r="E1021" t="str">
        <f>"201810044278"</f>
        <v>201810044278</v>
      </c>
      <c r="F1021" t="str">
        <f>"Miscellaneo"</f>
        <v>Miscellaneo</v>
      </c>
      <c r="G1021" s="3">
        <v>6</v>
      </c>
      <c r="H1021" t="str">
        <f>"RONALD C COLEMAN"</f>
        <v>RONALD C COLEMAN</v>
      </c>
    </row>
    <row r="1022" spans="1:8" x14ac:dyDescent="0.25">
      <c r="A1022" t="s">
        <v>385</v>
      </c>
      <c r="B1022">
        <v>78930</v>
      </c>
      <c r="C1022" s="2">
        <v>6</v>
      </c>
      <c r="D1022" s="1">
        <v>43377</v>
      </c>
      <c r="E1022" t="str">
        <f>"201810044279"</f>
        <v>201810044279</v>
      </c>
      <c r="F1022" t="str">
        <f>"Misc"</f>
        <v>Misc</v>
      </c>
      <c r="G1022" s="3">
        <v>6</v>
      </c>
      <c r="H1022" t="str">
        <f>"ROBERT LESTER GILLESPIE"</f>
        <v>ROBERT LESTER GILLESPIE</v>
      </c>
    </row>
    <row r="1023" spans="1:8" x14ac:dyDescent="0.25">
      <c r="A1023" t="s">
        <v>386</v>
      </c>
      <c r="B1023">
        <v>78931</v>
      </c>
      <c r="C1023" s="2">
        <v>246</v>
      </c>
      <c r="D1023" s="1">
        <v>43377</v>
      </c>
      <c r="E1023" t="str">
        <f>"201810044280"</f>
        <v>201810044280</v>
      </c>
      <c r="F1023" t="str">
        <f>"Miscellan"</f>
        <v>Miscellan</v>
      </c>
      <c r="G1023" s="3">
        <v>246</v>
      </c>
      <c r="H1023" t="str">
        <f>"MAURO RODRIGUEZ JR"</f>
        <v>MAURO RODRIGUEZ JR</v>
      </c>
    </row>
    <row r="1024" spans="1:8" x14ac:dyDescent="0.25">
      <c r="A1024" t="s">
        <v>387</v>
      </c>
      <c r="B1024">
        <v>78932</v>
      </c>
      <c r="C1024" s="2">
        <v>6</v>
      </c>
      <c r="D1024" s="1">
        <v>43377</v>
      </c>
      <c r="E1024" t="str">
        <f>"201810044281"</f>
        <v>201810044281</v>
      </c>
      <c r="F1024" t="str">
        <f>""</f>
        <v/>
      </c>
      <c r="G1024" s="3">
        <v>6</v>
      </c>
      <c r="H1024" t="str">
        <f>"RAEQUAN MALIK HOLIWELL-POWELL"</f>
        <v>RAEQUAN MALIK HOLIWELL-POWELL</v>
      </c>
    </row>
    <row r="1025" spans="1:8" x14ac:dyDescent="0.25">
      <c r="A1025" t="s">
        <v>388</v>
      </c>
      <c r="B1025">
        <v>78933</v>
      </c>
      <c r="C1025" s="2">
        <v>6</v>
      </c>
      <c r="D1025" s="1">
        <v>43377</v>
      </c>
      <c r="E1025" t="str">
        <f>"201810044282"</f>
        <v>201810044282</v>
      </c>
      <c r="F1025" t="str">
        <f>"M"</f>
        <v>M</v>
      </c>
      <c r="G1025" s="3">
        <v>6</v>
      </c>
      <c r="H1025" t="str">
        <f>"SHALANTHIA GABRIELLE LEWIS"</f>
        <v>SHALANTHIA GABRIELLE LEWIS</v>
      </c>
    </row>
    <row r="1026" spans="1:8" x14ac:dyDescent="0.25">
      <c r="A1026" t="s">
        <v>389</v>
      </c>
      <c r="B1026">
        <v>78934</v>
      </c>
      <c r="C1026" s="2">
        <v>6</v>
      </c>
      <c r="D1026" s="1">
        <v>43377</v>
      </c>
      <c r="E1026" t="str">
        <f>"201810044283"</f>
        <v>201810044283</v>
      </c>
      <c r="F1026" t="str">
        <f>"Misc"</f>
        <v>Misc</v>
      </c>
      <c r="G1026" s="3">
        <v>6</v>
      </c>
      <c r="H1026" t="str">
        <f>"WILLIAM LEROY BLACKWELL"</f>
        <v>WILLIAM LEROY BLACKWELL</v>
      </c>
    </row>
    <row r="1027" spans="1:8" x14ac:dyDescent="0.25">
      <c r="A1027" t="s">
        <v>390</v>
      </c>
      <c r="B1027">
        <v>78935</v>
      </c>
      <c r="C1027" s="2">
        <v>6</v>
      </c>
      <c r="D1027" s="1">
        <v>43377</v>
      </c>
      <c r="E1027" t="str">
        <f>"201810044284"</f>
        <v>201810044284</v>
      </c>
      <c r="F1027" t="str">
        <f>"Miscellan"</f>
        <v>Miscellan</v>
      </c>
      <c r="G1027" s="3">
        <v>6</v>
      </c>
      <c r="H1027" t="str">
        <f>"NORMA JEAN ARRIAGA"</f>
        <v>NORMA JEAN ARRIAGA</v>
      </c>
    </row>
    <row r="1028" spans="1:8" x14ac:dyDescent="0.25">
      <c r="A1028" t="s">
        <v>391</v>
      </c>
      <c r="B1028">
        <v>78936</v>
      </c>
      <c r="C1028" s="2">
        <v>6</v>
      </c>
      <c r="D1028" s="1">
        <v>43377</v>
      </c>
      <c r="E1028" t="str">
        <f>"201810044285"</f>
        <v>201810044285</v>
      </c>
      <c r="F1028" t="str">
        <f>"Miscella"</f>
        <v>Miscella</v>
      </c>
      <c r="G1028" s="3">
        <v>6</v>
      </c>
      <c r="H1028" t="str">
        <f>"PATRICIA ANNE DAVIS"</f>
        <v>PATRICIA ANNE DAVIS</v>
      </c>
    </row>
    <row r="1029" spans="1:8" x14ac:dyDescent="0.25">
      <c r="A1029" t="s">
        <v>392</v>
      </c>
      <c r="B1029">
        <v>78937</v>
      </c>
      <c r="C1029" s="2">
        <v>6</v>
      </c>
      <c r="D1029" s="1">
        <v>43377</v>
      </c>
      <c r="E1029" t="str">
        <f>"201810044286"</f>
        <v>201810044286</v>
      </c>
      <c r="F1029" t="str">
        <f>"Mi"</f>
        <v>Mi</v>
      </c>
      <c r="G1029" s="3">
        <v>6</v>
      </c>
      <c r="H1029" t="str">
        <f>"CHARLES RAYMOND LITTLETON"</f>
        <v>CHARLES RAYMOND LITTLETON</v>
      </c>
    </row>
    <row r="1030" spans="1:8" x14ac:dyDescent="0.25">
      <c r="A1030" t="s">
        <v>325</v>
      </c>
      <c r="B1030">
        <v>79363</v>
      </c>
      <c r="C1030" s="2">
        <v>40</v>
      </c>
      <c r="D1030" s="1">
        <v>43397</v>
      </c>
      <c r="E1030" t="str">
        <f>"201810244640"</f>
        <v>201810244640</v>
      </c>
      <c r="F1030" t="str">
        <f>"Miscellane"</f>
        <v>Miscellane</v>
      </c>
      <c r="G1030" s="3">
        <v>40</v>
      </c>
      <c r="H1030" t="str">
        <f>"GERALD RAY STRONG"</f>
        <v>GERALD RAY STRONG</v>
      </c>
    </row>
    <row r="1031" spans="1:8" x14ac:dyDescent="0.25">
      <c r="A1031" t="s">
        <v>326</v>
      </c>
      <c r="B1031">
        <v>79364</v>
      </c>
      <c r="C1031" s="2">
        <v>40</v>
      </c>
      <c r="D1031" s="1">
        <v>43397</v>
      </c>
      <c r="E1031" t="str">
        <f>"201810244641"</f>
        <v>201810244641</v>
      </c>
      <c r="F1031" t="str">
        <f>"Miscell"</f>
        <v>Miscell</v>
      </c>
      <c r="G1031" s="3">
        <v>40</v>
      </c>
      <c r="H1031" t="str">
        <f>"DUSTIN JOSIAH HAINES"</f>
        <v>DUSTIN JOSIAH HAINES</v>
      </c>
    </row>
    <row r="1032" spans="1:8" x14ac:dyDescent="0.25">
      <c r="A1032" t="s">
        <v>393</v>
      </c>
      <c r="B1032">
        <v>79365</v>
      </c>
      <c r="C1032" s="2">
        <v>40</v>
      </c>
      <c r="D1032" s="1">
        <v>43397</v>
      </c>
      <c r="E1032" t="str">
        <f>"201810244642"</f>
        <v>201810244642</v>
      </c>
      <c r="F1032" t="str">
        <f>"Miscellan"</f>
        <v>Miscellan</v>
      </c>
      <c r="G1032" s="3">
        <v>40</v>
      </c>
      <c r="H1032" t="str">
        <f>"JULIA DAVIS SULSAR"</f>
        <v>JULIA DAVIS SULSAR</v>
      </c>
    </row>
    <row r="1033" spans="1:8" x14ac:dyDescent="0.25">
      <c r="A1033" t="s">
        <v>327</v>
      </c>
      <c r="B1033">
        <v>79366</v>
      </c>
      <c r="C1033" s="2">
        <v>40</v>
      </c>
      <c r="D1033" s="1">
        <v>43397</v>
      </c>
      <c r="E1033" t="str">
        <f>"201810244643"</f>
        <v>201810244643</v>
      </c>
      <c r="F1033" t="str">
        <f>"Mis"</f>
        <v>Mis</v>
      </c>
      <c r="G1033" s="3">
        <v>40</v>
      </c>
      <c r="H1033" t="str">
        <f>"KERRI LYNETTE WASHINGTON"</f>
        <v>KERRI LYNETTE WASHINGTON</v>
      </c>
    </row>
    <row r="1034" spans="1:8" x14ac:dyDescent="0.25">
      <c r="A1034" t="s">
        <v>329</v>
      </c>
      <c r="B1034">
        <v>79367</v>
      </c>
      <c r="C1034" s="2">
        <v>40</v>
      </c>
      <c r="D1034" s="1">
        <v>43397</v>
      </c>
      <c r="E1034" t="str">
        <f>"201810244644"</f>
        <v>201810244644</v>
      </c>
      <c r="F1034" t="str">
        <f>"Miscell"</f>
        <v>Miscell</v>
      </c>
      <c r="G1034" s="3">
        <v>40</v>
      </c>
      <c r="H1034" t="str">
        <f>"HILLARY MARIE KVAMME"</f>
        <v>HILLARY MARIE KVAMME</v>
      </c>
    </row>
    <row r="1035" spans="1:8" x14ac:dyDescent="0.25">
      <c r="A1035" t="s">
        <v>394</v>
      </c>
      <c r="B1035">
        <v>79368</v>
      </c>
      <c r="C1035" s="2">
        <v>40</v>
      </c>
      <c r="D1035" s="1">
        <v>43397</v>
      </c>
      <c r="E1035" t="str">
        <f>"201810244645"</f>
        <v>201810244645</v>
      </c>
      <c r="F1035" t="str">
        <f>"Miscella"</f>
        <v>Miscella</v>
      </c>
      <c r="G1035" s="3">
        <v>40</v>
      </c>
      <c r="H1035" t="str">
        <f>"DONNA BESS SCHUBERT"</f>
        <v>DONNA BESS SCHUBERT</v>
      </c>
    </row>
    <row r="1036" spans="1:8" x14ac:dyDescent="0.25">
      <c r="A1036" t="s">
        <v>331</v>
      </c>
      <c r="B1036">
        <v>79369</v>
      </c>
      <c r="C1036" s="2">
        <v>40</v>
      </c>
      <c r="D1036" s="1">
        <v>43397</v>
      </c>
      <c r="E1036" t="str">
        <f>"201810244646"</f>
        <v>201810244646</v>
      </c>
      <c r="F1036" t="str">
        <f>"Miscella"</f>
        <v>Miscella</v>
      </c>
      <c r="G1036" s="3">
        <v>40</v>
      </c>
      <c r="H1036" t="str">
        <f>"DENA MARIE POUDRIER"</f>
        <v>DENA MARIE POUDRIER</v>
      </c>
    </row>
    <row r="1037" spans="1:8" x14ac:dyDescent="0.25">
      <c r="A1037" t="s">
        <v>332</v>
      </c>
      <c r="B1037">
        <v>79370</v>
      </c>
      <c r="C1037" s="2">
        <v>40</v>
      </c>
      <c r="D1037" s="1">
        <v>43397</v>
      </c>
      <c r="E1037" t="str">
        <f>"201810244647"</f>
        <v>201810244647</v>
      </c>
      <c r="F1037" t="str">
        <f>"Miscellane"</f>
        <v>Miscellane</v>
      </c>
      <c r="G1037" s="3">
        <v>40</v>
      </c>
      <c r="H1037" t="str">
        <f>"CAROL ANN DARLING"</f>
        <v>CAROL ANN DARLING</v>
      </c>
    </row>
    <row r="1038" spans="1:8" x14ac:dyDescent="0.25">
      <c r="A1038" t="s">
        <v>333</v>
      </c>
      <c r="B1038">
        <v>79371</v>
      </c>
      <c r="C1038" s="2">
        <v>40</v>
      </c>
      <c r="D1038" s="1">
        <v>43397</v>
      </c>
      <c r="E1038" t="str">
        <f>"201810244648"</f>
        <v>201810244648</v>
      </c>
      <c r="F1038" t="str">
        <f>"Miscellaneou"</f>
        <v>Miscellaneou</v>
      </c>
      <c r="G1038" s="3">
        <v>40</v>
      </c>
      <c r="H1038" t="str">
        <f>"DAVID GOSTECNIK"</f>
        <v>DAVID GOSTECNIK</v>
      </c>
    </row>
    <row r="1039" spans="1:8" x14ac:dyDescent="0.25">
      <c r="A1039" t="s">
        <v>395</v>
      </c>
      <c r="B1039">
        <v>79065</v>
      </c>
      <c r="C1039" s="2">
        <v>1094</v>
      </c>
      <c r="D1039" s="1">
        <v>43382</v>
      </c>
      <c r="E1039" t="str">
        <f>"1727616"</f>
        <v>1727616</v>
      </c>
      <c r="F1039" t="str">
        <f>"MC GRATH RENTCORP AND SUBSIDIA"</f>
        <v>MC GRATH RENTCORP AND SUBSIDIA</v>
      </c>
      <c r="G1039" s="3">
        <v>207</v>
      </c>
      <c r="H1039" t="str">
        <f>"Storage Container"</f>
        <v>Storage Container</v>
      </c>
    </row>
    <row r="1040" spans="1:8" x14ac:dyDescent="0.25">
      <c r="E1040" t="str">
        <f>""</f>
        <v/>
      </c>
      <c r="F1040" t="str">
        <f>""</f>
        <v/>
      </c>
      <c r="H1040" t="str">
        <f>"Pers Property Exp"</f>
        <v>Pers Property Exp</v>
      </c>
    </row>
    <row r="1041" spans="1:8" x14ac:dyDescent="0.25">
      <c r="E1041" t="str">
        <f>"201810034175"</f>
        <v>201810034175</v>
      </c>
      <c r="F1041" t="str">
        <f>"MC GRATH RENTCORP AND SUBSIDIA"</f>
        <v>MC GRATH RENTCORP AND SUBSIDIA</v>
      </c>
      <c r="G1041" s="3">
        <v>887</v>
      </c>
      <c r="H1041" t="str">
        <f>"8X40 CONEX"</f>
        <v>8X40 CONEX</v>
      </c>
    </row>
    <row r="1042" spans="1:8" x14ac:dyDescent="0.25">
      <c r="E1042" t="str">
        <f>""</f>
        <v/>
      </c>
      <c r="F1042" t="str">
        <f>""</f>
        <v/>
      </c>
      <c r="H1042" t="str">
        <f>"DELIVERY HAUL"</f>
        <v>DELIVERY HAUL</v>
      </c>
    </row>
    <row r="1043" spans="1:8" x14ac:dyDescent="0.25">
      <c r="E1043" t="str">
        <f>""</f>
        <v/>
      </c>
      <c r="F1043" t="str">
        <f>""</f>
        <v/>
      </c>
      <c r="H1043" t="str">
        <f>"RETURN HAUL"</f>
        <v>RETURN HAUL</v>
      </c>
    </row>
    <row r="1044" spans="1:8" x14ac:dyDescent="0.25">
      <c r="E1044" t="str">
        <f>""</f>
        <v/>
      </c>
      <c r="F1044" t="str">
        <f>""</f>
        <v/>
      </c>
      <c r="H1044" t="str">
        <f>"PERSONAL PROPERTY"</f>
        <v>PERSONAL PROPERTY</v>
      </c>
    </row>
    <row r="1045" spans="1:8" x14ac:dyDescent="0.25">
      <c r="A1045" t="s">
        <v>395</v>
      </c>
      <c r="B1045">
        <v>79273</v>
      </c>
      <c r="C1045" s="2">
        <v>78.86</v>
      </c>
      <c r="D1045" s="1">
        <v>43395</v>
      </c>
      <c r="E1045" t="str">
        <f>"1753830"</f>
        <v>1753830</v>
      </c>
      <c r="F1045" t="str">
        <f>"MC GRATH RENTCORP AND SUBSIDIA"</f>
        <v>MC GRATH RENTCORP AND SUBSIDIA</v>
      </c>
      <c r="G1045" s="3">
        <v>78.86</v>
      </c>
      <c r="H1045" t="str">
        <f>"STORAGE RENTAL"</f>
        <v>STORAGE RENTAL</v>
      </c>
    </row>
    <row r="1046" spans="1:8" x14ac:dyDescent="0.25">
      <c r="A1046" t="s">
        <v>396</v>
      </c>
      <c r="B1046">
        <v>79066</v>
      </c>
      <c r="C1046" s="2">
        <v>145</v>
      </c>
      <c r="D1046" s="1">
        <v>43382</v>
      </c>
      <c r="E1046" t="str">
        <f>"17858"</f>
        <v>17858</v>
      </c>
      <c r="F1046" t="str">
        <f>"SEPTEMBER DUMPSTER RENTAL"</f>
        <v>SEPTEMBER DUMPSTER RENTAL</v>
      </c>
      <c r="G1046" s="3">
        <v>145</v>
      </c>
      <c r="H1046" t="str">
        <f>"SEPTEMBER DUMPSTER RENTAL"</f>
        <v>SEPTEMBER DUMPSTER RENTAL</v>
      </c>
    </row>
    <row r="1047" spans="1:8" x14ac:dyDescent="0.25">
      <c r="A1047" t="s">
        <v>397</v>
      </c>
      <c r="B1047">
        <v>79067</v>
      </c>
      <c r="C1047" s="2">
        <v>847.87</v>
      </c>
      <c r="D1047" s="1">
        <v>43382</v>
      </c>
      <c r="E1047" t="str">
        <f>"83645306"</f>
        <v>83645306</v>
      </c>
      <c r="F1047" t="str">
        <f>"INV 83645306"</f>
        <v>INV 83645306</v>
      </c>
      <c r="G1047" s="3">
        <v>732.41</v>
      </c>
      <c r="H1047" t="str">
        <f>"INV 83645306"</f>
        <v>INV 83645306</v>
      </c>
    </row>
    <row r="1048" spans="1:8" x14ac:dyDescent="0.25">
      <c r="E1048" t="str">
        <f>"99932723"</f>
        <v>99932723</v>
      </c>
      <c r="F1048" t="str">
        <f>"INV 99932723"</f>
        <v>INV 99932723</v>
      </c>
      <c r="G1048" s="3">
        <v>115.46</v>
      </c>
      <c r="H1048" t="str">
        <f>"INV 99932723"</f>
        <v>INV 99932723</v>
      </c>
    </row>
    <row r="1049" spans="1:8" x14ac:dyDescent="0.25">
      <c r="A1049" t="s">
        <v>397</v>
      </c>
      <c r="B1049">
        <v>79274</v>
      </c>
      <c r="C1049" s="2">
        <v>6305.4</v>
      </c>
      <c r="D1049" s="1">
        <v>43395</v>
      </c>
      <c r="E1049" t="str">
        <f>"201810174599"</f>
        <v>201810174599</v>
      </c>
      <c r="F1049" t="str">
        <f>"INV 99989241"</f>
        <v>INV 99989241</v>
      </c>
      <c r="G1049" s="3">
        <v>4843.5600000000004</v>
      </c>
      <c r="H1049" t="str">
        <f>"INV 99989241"</f>
        <v>INV 99989241</v>
      </c>
    </row>
    <row r="1050" spans="1:8" x14ac:dyDescent="0.25">
      <c r="E1050" t="str">
        <f>""</f>
        <v/>
      </c>
      <c r="F1050" t="str">
        <f>""</f>
        <v/>
      </c>
      <c r="H1050" t="str">
        <f>"INV 70020955"</f>
        <v>INV 70020955</v>
      </c>
    </row>
    <row r="1051" spans="1:8" x14ac:dyDescent="0.25">
      <c r="E1051" t="str">
        <f>""</f>
        <v/>
      </c>
      <c r="F1051" t="str">
        <f>""</f>
        <v/>
      </c>
      <c r="H1051" t="str">
        <f>"INV 99998077"</f>
        <v>INV 99998077</v>
      </c>
    </row>
    <row r="1052" spans="1:8" x14ac:dyDescent="0.25">
      <c r="E1052" t="str">
        <f>""</f>
        <v/>
      </c>
      <c r="F1052" t="str">
        <f>""</f>
        <v/>
      </c>
      <c r="H1052" t="str">
        <f>"INV 70018221"</f>
        <v>INV 70018221</v>
      </c>
    </row>
    <row r="1053" spans="1:8" x14ac:dyDescent="0.25">
      <c r="E1053" t="str">
        <f>""</f>
        <v/>
      </c>
      <c r="F1053" t="str">
        <f>""</f>
        <v/>
      </c>
      <c r="H1053" t="str">
        <f>"INV 70035437"</f>
        <v>INV 70035437</v>
      </c>
    </row>
    <row r="1054" spans="1:8" x14ac:dyDescent="0.25">
      <c r="E1054" t="str">
        <f>""</f>
        <v/>
      </c>
      <c r="F1054" t="str">
        <f>""</f>
        <v/>
      </c>
      <c r="H1054" t="str">
        <f>"INV 70042096"</f>
        <v>INV 70042096</v>
      </c>
    </row>
    <row r="1055" spans="1:8" x14ac:dyDescent="0.25">
      <c r="E1055" t="str">
        <f>""</f>
        <v/>
      </c>
      <c r="F1055" t="str">
        <f>""</f>
        <v/>
      </c>
      <c r="H1055" t="str">
        <f>"INV 70050052"</f>
        <v>INV 70050052</v>
      </c>
    </row>
    <row r="1056" spans="1:8" x14ac:dyDescent="0.25">
      <c r="E1056" t="str">
        <f>""</f>
        <v/>
      </c>
      <c r="F1056" t="str">
        <f>""</f>
        <v/>
      </c>
      <c r="H1056" t="str">
        <f>"CM 90645183"</f>
        <v>CM 90645183</v>
      </c>
    </row>
    <row r="1057" spans="1:8" x14ac:dyDescent="0.25">
      <c r="E1057" t="str">
        <f>"70029529 70028642+"</f>
        <v>70029529 70028642+</v>
      </c>
      <c r="F1057" t="str">
        <f>"INV 70029529"</f>
        <v>INV 70029529</v>
      </c>
      <c r="G1057" s="3">
        <v>1076.6300000000001</v>
      </c>
      <c r="H1057" t="str">
        <f>"INV 70029529"</f>
        <v>INV 70029529</v>
      </c>
    </row>
    <row r="1058" spans="1:8" x14ac:dyDescent="0.25">
      <c r="E1058" t="str">
        <f>""</f>
        <v/>
      </c>
      <c r="F1058" t="str">
        <f>""</f>
        <v/>
      </c>
      <c r="H1058" t="str">
        <f>"INV 70028642"</f>
        <v>INV 70028642</v>
      </c>
    </row>
    <row r="1059" spans="1:8" x14ac:dyDescent="0.25">
      <c r="E1059" t="str">
        <f>""</f>
        <v/>
      </c>
      <c r="F1059" t="str">
        <f>""</f>
        <v/>
      </c>
      <c r="H1059" t="str">
        <f>"INV 70053076"</f>
        <v>INV 70053076</v>
      </c>
    </row>
    <row r="1060" spans="1:8" x14ac:dyDescent="0.25">
      <c r="E1060" t="str">
        <f>""</f>
        <v/>
      </c>
      <c r="F1060" t="str">
        <f>""</f>
        <v/>
      </c>
      <c r="H1060" t="str">
        <f>"INV 70061228"</f>
        <v>INV 70061228</v>
      </c>
    </row>
    <row r="1061" spans="1:8" x14ac:dyDescent="0.25">
      <c r="E1061" t="str">
        <f>"70044203 70050294"</f>
        <v>70044203 70050294</v>
      </c>
      <c r="F1061" t="str">
        <f>"INV 70044203"</f>
        <v>INV 70044203</v>
      </c>
      <c r="G1061" s="3">
        <v>385.21</v>
      </c>
      <c r="H1061" t="str">
        <f>"INV 70044203"</f>
        <v>INV 70044203</v>
      </c>
    </row>
    <row r="1062" spans="1:8" x14ac:dyDescent="0.25">
      <c r="E1062" t="str">
        <f>""</f>
        <v/>
      </c>
      <c r="F1062" t="str">
        <f>""</f>
        <v/>
      </c>
      <c r="H1062" t="str">
        <f>"INV 70050294"</f>
        <v>INV 70050294</v>
      </c>
    </row>
    <row r="1063" spans="1:8" x14ac:dyDescent="0.25">
      <c r="A1063" t="s">
        <v>398</v>
      </c>
      <c r="B1063">
        <v>79068</v>
      </c>
      <c r="C1063" s="2">
        <v>4312.5</v>
      </c>
      <c r="D1063" s="1">
        <v>43382</v>
      </c>
      <c r="E1063" t="str">
        <f>"201809253941"</f>
        <v>201809253941</v>
      </c>
      <c r="F1063" t="str">
        <f>"11-14658"</f>
        <v>11-14658</v>
      </c>
      <c r="G1063" s="3">
        <v>4312.5</v>
      </c>
      <c r="H1063" t="str">
        <f>"11-14658"</f>
        <v>11-14658</v>
      </c>
    </row>
    <row r="1064" spans="1:8" x14ac:dyDescent="0.25">
      <c r="A1064" t="s">
        <v>399</v>
      </c>
      <c r="B1064">
        <v>79275</v>
      </c>
      <c r="C1064" s="2">
        <v>20462.349999999999</v>
      </c>
      <c r="D1064" s="1">
        <v>43395</v>
      </c>
      <c r="E1064" t="str">
        <f>"201810104451"</f>
        <v>201810104451</v>
      </c>
      <c r="F1064" t="str">
        <f>"RADIO SERVICE AGREEMENT"</f>
        <v>RADIO SERVICE AGREEMENT</v>
      </c>
      <c r="G1064" s="3">
        <v>20462.349999999999</v>
      </c>
      <c r="H1064" t="str">
        <f>"RADIO SERVICE AGREEMENT"</f>
        <v>RADIO SERVICE AGREEMENT</v>
      </c>
    </row>
    <row r="1065" spans="1:8" x14ac:dyDescent="0.25">
      <c r="A1065" t="s">
        <v>400</v>
      </c>
      <c r="B1065">
        <v>79069</v>
      </c>
      <c r="C1065" s="2">
        <v>1647</v>
      </c>
      <c r="D1065" s="1">
        <v>43382</v>
      </c>
      <c r="E1065" t="str">
        <f>"6227600"</f>
        <v>6227600</v>
      </c>
      <c r="F1065" t="str">
        <f>"INV 6227600"</f>
        <v>INV 6227600</v>
      </c>
      <c r="G1065" s="3">
        <v>1647</v>
      </c>
      <c r="H1065" t="str">
        <f>"INV 6227600"</f>
        <v>INV 6227600</v>
      </c>
    </row>
    <row r="1066" spans="1:8" x14ac:dyDescent="0.25">
      <c r="A1066" t="s">
        <v>401</v>
      </c>
      <c r="B1066">
        <v>79070</v>
      </c>
      <c r="C1066" s="2">
        <v>826.8</v>
      </c>
      <c r="D1066" s="1">
        <v>43382</v>
      </c>
      <c r="E1066" t="str">
        <f>"86538717"</f>
        <v>86538717</v>
      </c>
      <c r="F1066" t="str">
        <f>"ACCT#150344157/GEN SVCS"</f>
        <v>ACCT#150344157/GEN SVCS</v>
      </c>
      <c r="G1066" s="3">
        <v>826.8</v>
      </c>
      <c r="H1066" t="str">
        <f>"ACCT#150344157/GEN SVCS"</f>
        <v>ACCT#150344157/GEN SVCS</v>
      </c>
    </row>
    <row r="1067" spans="1:8" x14ac:dyDescent="0.25">
      <c r="A1067" t="s">
        <v>402</v>
      </c>
      <c r="B1067">
        <v>79071</v>
      </c>
      <c r="C1067" s="2">
        <v>700</v>
      </c>
      <c r="D1067" s="1">
        <v>43382</v>
      </c>
      <c r="E1067" t="str">
        <f>"2018-33-1"</f>
        <v>2018-33-1</v>
      </c>
      <c r="F1067" t="str">
        <f>"SUB CT REPORTING 09/17-09/18"</f>
        <v>SUB CT REPORTING 09/17-09/18</v>
      </c>
      <c r="G1067" s="3">
        <v>700</v>
      </c>
      <c r="H1067" t="str">
        <f>"SUB CT REPORTING 09/17-09/18"</f>
        <v>SUB CT REPORTING 09/17-09/18</v>
      </c>
    </row>
    <row r="1068" spans="1:8" x14ac:dyDescent="0.25">
      <c r="A1068" t="s">
        <v>403</v>
      </c>
      <c r="B1068">
        <v>999999</v>
      </c>
      <c r="C1068" s="2">
        <v>7959.6</v>
      </c>
      <c r="D1068" s="1">
        <v>43383</v>
      </c>
      <c r="E1068" t="str">
        <f>"IN0809403"</f>
        <v>IN0809403</v>
      </c>
      <c r="F1068" t="str">
        <f>"INV IN0809403"</f>
        <v>INV IN0809403</v>
      </c>
      <c r="G1068" s="3">
        <v>3968.9</v>
      </c>
      <c r="H1068" t="str">
        <f>"INV IN0809403"</f>
        <v>INV IN0809403</v>
      </c>
    </row>
    <row r="1069" spans="1:8" x14ac:dyDescent="0.25">
      <c r="E1069" t="str">
        <f>"IN0809542 ++"</f>
        <v>IN0809542 ++</v>
      </c>
      <c r="F1069" t="str">
        <f>"INV IN0809542"</f>
        <v>INV IN0809542</v>
      </c>
      <c r="G1069" s="3">
        <v>3990.7</v>
      </c>
      <c r="H1069" t="str">
        <f>"INV IN0809542"</f>
        <v>INV IN0809542</v>
      </c>
    </row>
    <row r="1070" spans="1:8" x14ac:dyDescent="0.25">
      <c r="E1070" t="str">
        <f>""</f>
        <v/>
      </c>
      <c r="F1070" t="str">
        <f>""</f>
        <v/>
      </c>
      <c r="H1070" t="str">
        <f>"INV IN0809668"</f>
        <v>INV IN0809668</v>
      </c>
    </row>
    <row r="1071" spans="1:8" x14ac:dyDescent="0.25">
      <c r="E1071" t="str">
        <f>""</f>
        <v/>
      </c>
      <c r="F1071" t="str">
        <f>""</f>
        <v/>
      </c>
      <c r="H1071" t="str">
        <f>"INV IN0809667"</f>
        <v>INV IN0809667</v>
      </c>
    </row>
    <row r="1072" spans="1:8" x14ac:dyDescent="0.25">
      <c r="A1072" t="s">
        <v>403</v>
      </c>
      <c r="B1072">
        <v>999999</v>
      </c>
      <c r="C1072" s="2">
        <v>5746.47</v>
      </c>
      <c r="D1072" s="1">
        <v>43396</v>
      </c>
      <c r="E1072" t="str">
        <f>"IN0810080"</f>
        <v>IN0810080</v>
      </c>
      <c r="F1072" t="str">
        <f>"INV IN0810080"</f>
        <v>INV IN0810080</v>
      </c>
      <c r="G1072" s="3">
        <v>2398.4699999999998</v>
      </c>
      <c r="H1072" t="str">
        <f>"INV IN0810080"</f>
        <v>INV IN0810080</v>
      </c>
    </row>
    <row r="1073" spans="1:8" x14ac:dyDescent="0.25">
      <c r="E1073" t="str">
        <f>"IN0810197"</f>
        <v>IN0810197</v>
      </c>
      <c r="F1073" t="str">
        <f>"INV IN0810197"</f>
        <v>INV IN0810197</v>
      </c>
      <c r="G1073" s="3">
        <v>3348</v>
      </c>
      <c r="H1073" t="str">
        <f>"INV IN0810197"</f>
        <v>INV IN0810197</v>
      </c>
    </row>
    <row r="1074" spans="1:8" x14ac:dyDescent="0.25">
      <c r="A1074" t="s">
        <v>404</v>
      </c>
      <c r="B1074">
        <v>79276</v>
      </c>
      <c r="C1074" s="2">
        <v>500</v>
      </c>
      <c r="D1074" s="1">
        <v>43395</v>
      </c>
      <c r="E1074" t="str">
        <f>"180832"</f>
        <v>180832</v>
      </c>
      <c r="F1074" t="str">
        <f>"INV 180832"</f>
        <v>INV 180832</v>
      </c>
      <c r="G1074" s="3">
        <v>500</v>
      </c>
      <c r="H1074" t="str">
        <f>"INV 180832"</f>
        <v>INV 180832</v>
      </c>
    </row>
    <row r="1075" spans="1:8" x14ac:dyDescent="0.25">
      <c r="A1075" t="s">
        <v>405</v>
      </c>
      <c r="B1075">
        <v>79072</v>
      </c>
      <c r="C1075" s="2">
        <v>142</v>
      </c>
      <c r="D1075" s="1">
        <v>43382</v>
      </c>
      <c r="E1075" t="str">
        <f>"300042253"</f>
        <v>300042253</v>
      </c>
      <c r="F1075" t="str">
        <f>"PUBLIC SECTOR"</f>
        <v>PUBLIC SECTOR</v>
      </c>
      <c r="G1075" s="3">
        <v>142</v>
      </c>
      <c r="H1075" t="str">
        <f>"PUBLIC SECTOR"</f>
        <v>PUBLIC SECTOR</v>
      </c>
    </row>
    <row r="1076" spans="1:8" x14ac:dyDescent="0.25">
      <c r="A1076" t="s">
        <v>406</v>
      </c>
      <c r="B1076">
        <v>79277</v>
      </c>
      <c r="C1076" s="2">
        <v>900</v>
      </c>
      <c r="D1076" s="1">
        <v>43395</v>
      </c>
      <c r="E1076" t="str">
        <f>"201810174592"</f>
        <v>201810174592</v>
      </c>
      <c r="F1076" t="str">
        <f>"OCTOBER INVOICE"</f>
        <v>OCTOBER INVOICE</v>
      </c>
      <c r="G1076" s="3">
        <v>900</v>
      </c>
      <c r="H1076" t="str">
        <f>"OCTOBER INVOICE"</f>
        <v>OCTOBER INVOICE</v>
      </c>
    </row>
    <row r="1077" spans="1:8" x14ac:dyDescent="0.25">
      <c r="A1077" t="s">
        <v>407</v>
      </c>
      <c r="B1077">
        <v>999999</v>
      </c>
      <c r="C1077" s="2">
        <v>290.41000000000003</v>
      </c>
      <c r="D1077" s="1">
        <v>43396</v>
      </c>
      <c r="E1077" t="str">
        <f>"0581-392352"</f>
        <v>0581-392352</v>
      </c>
      <c r="F1077" t="str">
        <f>"CUST#198406/PCT#3"</f>
        <v>CUST#198406/PCT#3</v>
      </c>
      <c r="G1077" s="3">
        <v>3.81</v>
      </c>
      <c r="H1077" t="str">
        <f>"CUST#198406/PCT#3"</f>
        <v>CUST#198406/PCT#3</v>
      </c>
    </row>
    <row r="1078" spans="1:8" x14ac:dyDescent="0.25">
      <c r="E1078" t="str">
        <f>"0581-401239/400586"</f>
        <v>0581-401239/400586</v>
      </c>
      <c r="F1078" t="str">
        <f>"0581-401239/0581-400586"</f>
        <v>0581-401239/0581-400586</v>
      </c>
      <c r="G1078" s="3">
        <v>25.86</v>
      </c>
      <c r="H1078" t="str">
        <f>"INV 0581-401239"</f>
        <v>INV 0581-401239</v>
      </c>
    </row>
    <row r="1079" spans="1:8" x14ac:dyDescent="0.25">
      <c r="E1079" t="str">
        <f>""</f>
        <v/>
      </c>
      <c r="F1079" t="str">
        <f>""</f>
        <v/>
      </c>
      <c r="H1079" t="str">
        <f>"INV 0581-400586"</f>
        <v>INV 0581-400586</v>
      </c>
    </row>
    <row r="1080" spans="1:8" x14ac:dyDescent="0.25">
      <c r="E1080" t="str">
        <f>"201810154517"</f>
        <v>201810154517</v>
      </c>
      <c r="F1080" t="str">
        <f>"CUST#99088/PCT#4"</f>
        <v>CUST#99088/PCT#4</v>
      </c>
      <c r="G1080" s="3">
        <v>260.74</v>
      </c>
      <c r="H1080" t="str">
        <f>"CUST#99088/PCT#4"</f>
        <v>CUST#99088/PCT#4</v>
      </c>
    </row>
    <row r="1081" spans="1:8" x14ac:dyDescent="0.25">
      <c r="A1081" t="s">
        <v>408</v>
      </c>
      <c r="B1081">
        <v>79073</v>
      </c>
      <c r="C1081" s="2">
        <v>867</v>
      </c>
      <c r="D1081" s="1">
        <v>43382</v>
      </c>
      <c r="E1081" t="str">
        <f>"1369391 1377727++"</f>
        <v>1369391 1377727++</v>
      </c>
      <c r="F1081" t="str">
        <f>"INV 1369391"</f>
        <v>INV 1369391</v>
      </c>
      <c r="G1081" s="3">
        <v>867</v>
      </c>
      <c r="H1081" t="str">
        <f>"INV 1369391"</f>
        <v>INV 1369391</v>
      </c>
    </row>
    <row r="1082" spans="1:8" x14ac:dyDescent="0.25">
      <c r="E1082" t="str">
        <f>""</f>
        <v/>
      </c>
      <c r="F1082" t="str">
        <f>""</f>
        <v/>
      </c>
      <c r="H1082" t="str">
        <f>"INV 122001624"</f>
        <v>INV 122001624</v>
      </c>
    </row>
    <row r="1083" spans="1:8" x14ac:dyDescent="0.25">
      <c r="E1083" t="str">
        <f>""</f>
        <v/>
      </c>
      <c r="F1083" t="str">
        <f>""</f>
        <v/>
      </c>
      <c r="H1083" t="str">
        <f>"INV 1377727"</f>
        <v>INV 1377727</v>
      </c>
    </row>
    <row r="1084" spans="1:8" x14ac:dyDescent="0.25">
      <c r="E1084" t="str">
        <f>""</f>
        <v/>
      </c>
      <c r="F1084" t="str">
        <f>""</f>
        <v/>
      </c>
      <c r="H1084" t="str">
        <f>"INV 1382397"</f>
        <v>INV 1382397</v>
      </c>
    </row>
    <row r="1085" spans="1:8" x14ac:dyDescent="0.25">
      <c r="A1085" t="s">
        <v>408</v>
      </c>
      <c r="B1085">
        <v>79278</v>
      </c>
      <c r="C1085" s="2">
        <v>906.88</v>
      </c>
      <c r="D1085" s="1">
        <v>43395</v>
      </c>
      <c r="E1085" t="str">
        <f>"122001828 +++"</f>
        <v>122001828 +++</v>
      </c>
      <c r="F1085" t="str">
        <f>"INV 122001828"</f>
        <v>INV 122001828</v>
      </c>
      <c r="G1085" s="3">
        <v>906.88</v>
      </c>
      <c r="H1085" t="str">
        <f>"INV 122001828"</f>
        <v>INV 122001828</v>
      </c>
    </row>
    <row r="1086" spans="1:8" x14ac:dyDescent="0.25">
      <c r="E1086" t="str">
        <f>""</f>
        <v/>
      </c>
      <c r="F1086" t="str">
        <f>""</f>
        <v/>
      </c>
      <c r="H1086" t="str">
        <f>"INV 1390397"</f>
        <v>INV 1390397</v>
      </c>
    </row>
    <row r="1087" spans="1:8" x14ac:dyDescent="0.25">
      <c r="E1087" t="str">
        <f>""</f>
        <v/>
      </c>
      <c r="F1087" t="str">
        <f>""</f>
        <v/>
      </c>
      <c r="H1087" t="str">
        <f>"INV 1393456"</f>
        <v>INV 1393456</v>
      </c>
    </row>
    <row r="1088" spans="1:8" x14ac:dyDescent="0.25">
      <c r="E1088" t="str">
        <f>""</f>
        <v/>
      </c>
      <c r="F1088" t="str">
        <f>""</f>
        <v/>
      </c>
      <c r="H1088" t="str">
        <f>"INV 122002097"</f>
        <v>INV 122002097</v>
      </c>
    </row>
    <row r="1089" spans="1:8" x14ac:dyDescent="0.25">
      <c r="A1089" t="s">
        <v>409</v>
      </c>
      <c r="B1089">
        <v>79074</v>
      </c>
      <c r="C1089" s="2">
        <v>5122.37</v>
      </c>
      <c r="D1089" s="1">
        <v>43382</v>
      </c>
      <c r="E1089" t="str">
        <f>"10094226"</f>
        <v>10094226</v>
      </c>
      <c r="F1089" t="str">
        <f>"Bill# 10094226"</f>
        <v>Bill# 10094226</v>
      </c>
      <c r="G1089" s="3">
        <v>5122.37</v>
      </c>
      <c r="H1089" t="str">
        <f>"Ord# 204234456001"</f>
        <v>Ord# 204234456001</v>
      </c>
    </row>
    <row r="1090" spans="1:8" x14ac:dyDescent="0.25">
      <c r="E1090" t="str">
        <f>""</f>
        <v/>
      </c>
      <c r="F1090" t="str">
        <f>""</f>
        <v/>
      </c>
      <c r="H1090" t="str">
        <f>"Ord# 204236819001"</f>
        <v>Ord# 204236819001</v>
      </c>
    </row>
    <row r="1091" spans="1:8" x14ac:dyDescent="0.25">
      <c r="E1091" t="str">
        <f>""</f>
        <v/>
      </c>
      <c r="F1091" t="str">
        <f>""</f>
        <v/>
      </c>
      <c r="H1091" t="str">
        <f>"Ord# 204236820001"</f>
        <v>Ord# 204236820001</v>
      </c>
    </row>
    <row r="1092" spans="1:8" x14ac:dyDescent="0.25">
      <c r="E1092" t="str">
        <f>""</f>
        <v/>
      </c>
      <c r="F1092" t="str">
        <f>""</f>
        <v/>
      </c>
      <c r="H1092" t="str">
        <f>"Ord# 202609637001"</f>
        <v>Ord# 202609637001</v>
      </c>
    </row>
    <row r="1093" spans="1:8" x14ac:dyDescent="0.25">
      <c r="E1093" t="str">
        <f>""</f>
        <v/>
      </c>
      <c r="F1093" t="str">
        <f>""</f>
        <v/>
      </c>
      <c r="H1093" t="str">
        <f>"Ord# 202611379001"</f>
        <v>Ord# 202611379001</v>
      </c>
    </row>
    <row r="1094" spans="1:8" x14ac:dyDescent="0.25">
      <c r="E1094" t="str">
        <f>""</f>
        <v/>
      </c>
      <c r="F1094" t="str">
        <f>""</f>
        <v/>
      </c>
      <c r="H1094" t="str">
        <f>"Ord# 196929901001"</f>
        <v>Ord# 196929901001</v>
      </c>
    </row>
    <row r="1095" spans="1:8" x14ac:dyDescent="0.25">
      <c r="E1095" t="str">
        <f>""</f>
        <v/>
      </c>
      <c r="F1095" t="str">
        <f>""</f>
        <v/>
      </c>
      <c r="H1095" t="str">
        <f>"Ord# 196930823001"</f>
        <v>Ord# 196930823001</v>
      </c>
    </row>
    <row r="1096" spans="1:8" x14ac:dyDescent="0.25">
      <c r="E1096" t="str">
        <f>""</f>
        <v/>
      </c>
      <c r="F1096" t="str">
        <f>""</f>
        <v/>
      </c>
      <c r="H1096" t="str">
        <f>"Ord# 194765082001"</f>
        <v>Ord# 194765082001</v>
      </c>
    </row>
    <row r="1097" spans="1:8" x14ac:dyDescent="0.25">
      <c r="E1097" t="str">
        <f>""</f>
        <v/>
      </c>
      <c r="F1097" t="str">
        <f>""</f>
        <v/>
      </c>
      <c r="H1097" t="str">
        <f>"Ord# 203229541001"</f>
        <v>Ord# 203229541001</v>
      </c>
    </row>
    <row r="1098" spans="1:8" x14ac:dyDescent="0.25">
      <c r="E1098" t="str">
        <f>""</f>
        <v/>
      </c>
      <c r="F1098" t="str">
        <f>""</f>
        <v/>
      </c>
      <c r="H1098" t="str">
        <f>"Ord# 203229541002"</f>
        <v>Ord# 203229541002</v>
      </c>
    </row>
    <row r="1099" spans="1:8" x14ac:dyDescent="0.25">
      <c r="E1099" t="str">
        <f>""</f>
        <v/>
      </c>
      <c r="F1099" t="str">
        <f>""</f>
        <v/>
      </c>
      <c r="H1099" t="str">
        <f>"Ord# 204149182001"</f>
        <v>Ord# 204149182001</v>
      </c>
    </row>
    <row r="1100" spans="1:8" x14ac:dyDescent="0.25">
      <c r="E1100" t="str">
        <f>""</f>
        <v/>
      </c>
      <c r="F1100" t="str">
        <f>""</f>
        <v/>
      </c>
      <c r="H1100" t="str">
        <f>"Ord# 194765082001"</f>
        <v>Ord# 194765082001</v>
      </c>
    </row>
    <row r="1101" spans="1:8" x14ac:dyDescent="0.25">
      <c r="E1101" t="str">
        <f>""</f>
        <v/>
      </c>
      <c r="F1101" t="str">
        <f>""</f>
        <v/>
      </c>
      <c r="H1101" t="str">
        <f>"Ord# 203823686001"</f>
        <v>Ord# 203823686001</v>
      </c>
    </row>
    <row r="1102" spans="1:8" x14ac:dyDescent="0.25">
      <c r="E1102" t="str">
        <f>""</f>
        <v/>
      </c>
      <c r="F1102" t="str">
        <f>""</f>
        <v/>
      </c>
      <c r="H1102" t="str">
        <f>"Ord# 206001432001"</f>
        <v>Ord# 206001432001</v>
      </c>
    </row>
    <row r="1103" spans="1:8" x14ac:dyDescent="0.25">
      <c r="E1103" t="str">
        <f>""</f>
        <v/>
      </c>
      <c r="F1103" t="str">
        <f>""</f>
        <v/>
      </c>
      <c r="H1103" t="str">
        <f>"Ord# 206004830001"</f>
        <v>Ord# 206004830001</v>
      </c>
    </row>
    <row r="1104" spans="1:8" x14ac:dyDescent="0.25">
      <c r="E1104" t="str">
        <f>""</f>
        <v/>
      </c>
      <c r="F1104" t="str">
        <f>""</f>
        <v/>
      </c>
      <c r="H1104" t="str">
        <f>"Ord# 201847740001"</f>
        <v>Ord# 201847740001</v>
      </c>
    </row>
    <row r="1105" spans="1:8" x14ac:dyDescent="0.25">
      <c r="E1105" t="str">
        <f>""</f>
        <v/>
      </c>
      <c r="F1105" t="str">
        <f>""</f>
        <v/>
      </c>
      <c r="H1105" t="str">
        <f>"Ord# 201853816001"</f>
        <v>Ord# 201853816001</v>
      </c>
    </row>
    <row r="1106" spans="1:8" x14ac:dyDescent="0.25">
      <c r="E1106" t="str">
        <f>""</f>
        <v/>
      </c>
      <c r="F1106" t="str">
        <f>""</f>
        <v/>
      </c>
      <c r="H1106" t="str">
        <f>"Ord# 201853817001"</f>
        <v>Ord# 201853817001</v>
      </c>
    </row>
    <row r="1107" spans="1:8" x14ac:dyDescent="0.25">
      <c r="A1107" t="s">
        <v>409</v>
      </c>
      <c r="B1107">
        <v>79279</v>
      </c>
      <c r="C1107" s="2">
        <v>3908.52</v>
      </c>
      <c r="D1107" s="1">
        <v>43395</v>
      </c>
      <c r="E1107" t="str">
        <f>"10179772"</f>
        <v>10179772</v>
      </c>
      <c r="F1107" t="str">
        <f>"Bill# 10179772"</f>
        <v>Bill# 10179772</v>
      </c>
      <c r="G1107" s="3">
        <v>810.29</v>
      </c>
      <c r="H1107" t="str">
        <f>"Ord# 213599569001"</f>
        <v>Ord# 213599569001</v>
      </c>
    </row>
    <row r="1108" spans="1:8" x14ac:dyDescent="0.25">
      <c r="E1108" t="str">
        <f>""</f>
        <v/>
      </c>
      <c r="F1108" t="str">
        <f>""</f>
        <v/>
      </c>
      <c r="H1108" t="str">
        <f>"Ord# 213602195001"</f>
        <v>Ord# 213602195001</v>
      </c>
    </row>
    <row r="1109" spans="1:8" x14ac:dyDescent="0.25">
      <c r="E1109" t="str">
        <f>""</f>
        <v/>
      </c>
      <c r="F1109" t="str">
        <f>""</f>
        <v/>
      </c>
      <c r="H1109" t="str">
        <f>"Ord# 212728568001"</f>
        <v>Ord# 212728568001</v>
      </c>
    </row>
    <row r="1110" spans="1:8" x14ac:dyDescent="0.25">
      <c r="E1110" t="str">
        <f>""</f>
        <v/>
      </c>
      <c r="F1110" t="str">
        <f>""</f>
        <v/>
      </c>
      <c r="H1110" t="str">
        <f>"Ord# 212754568001"</f>
        <v>Ord# 212754568001</v>
      </c>
    </row>
    <row r="1111" spans="1:8" x14ac:dyDescent="0.25">
      <c r="E1111" t="str">
        <f>""</f>
        <v/>
      </c>
      <c r="F1111" t="str">
        <f>""</f>
        <v/>
      </c>
      <c r="H1111" t="str">
        <f>"Ord# 212754569001"</f>
        <v>Ord# 212754569001</v>
      </c>
    </row>
    <row r="1112" spans="1:8" x14ac:dyDescent="0.25">
      <c r="E1112" t="str">
        <f>""</f>
        <v/>
      </c>
      <c r="F1112" t="str">
        <f>""</f>
        <v/>
      </c>
      <c r="H1112" t="str">
        <f>"Ord# 21275457001"</f>
        <v>Ord# 21275457001</v>
      </c>
    </row>
    <row r="1113" spans="1:8" x14ac:dyDescent="0.25">
      <c r="E1113" t="str">
        <f>"201810164523"</f>
        <v>201810164523</v>
      </c>
      <c r="F1113" t="str">
        <f>"Bill# 10179772"</f>
        <v>Bill# 10179772</v>
      </c>
      <c r="G1113" s="3">
        <v>3098.23</v>
      </c>
      <c r="H1113" t="str">
        <f>"Ord# 210263687001"</f>
        <v>Ord# 210263687001</v>
      </c>
    </row>
    <row r="1114" spans="1:8" x14ac:dyDescent="0.25">
      <c r="E1114" t="str">
        <f>""</f>
        <v/>
      </c>
      <c r="F1114" t="str">
        <f>""</f>
        <v/>
      </c>
      <c r="H1114" t="str">
        <f>"Ord# 210270250001"</f>
        <v>Ord# 210270250001</v>
      </c>
    </row>
    <row r="1115" spans="1:8" x14ac:dyDescent="0.25">
      <c r="E1115" t="str">
        <f>""</f>
        <v/>
      </c>
      <c r="F1115" t="str">
        <f>""</f>
        <v/>
      </c>
      <c r="H1115" t="str">
        <f>"Ord# 204066531001"</f>
        <v>Ord# 204066531001</v>
      </c>
    </row>
    <row r="1116" spans="1:8" x14ac:dyDescent="0.25">
      <c r="E1116" t="str">
        <f>""</f>
        <v/>
      </c>
      <c r="F1116" t="str">
        <f>""</f>
        <v/>
      </c>
      <c r="H1116" t="str">
        <f>"Ord# 209351779001"</f>
        <v>Ord# 209351779001</v>
      </c>
    </row>
    <row r="1117" spans="1:8" x14ac:dyDescent="0.25">
      <c r="E1117" t="str">
        <f>""</f>
        <v/>
      </c>
      <c r="F1117" t="str">
        <f>""</f>
        <v/>
      </c>
      <c r="H1117" t="str">
        <f>"Ord# 207882792001"</f>
        <v>Ord# 207882792001</v>
      </c>
    </row>
    <row r="1118" spans="1:8" x14ac:dyDescent="0.25">
      <c r="E1118" t="str">
        <f>""</f>
        <v/>
      </c>
      <c r="F1118" t="str">
        <f>""</f>
        <v/>
      </c>
      <c r="H1118" t="str">
        <f>"del charge"</f>
        <v>del charge</v>
      </c>
    </row>
    <row r="1119" spans="1:8" x14ac:dyDescent="0.25">
      <c r="E1119" t="str">
        <f>""</f>
        <v/>
      </c>
      <c r="F1119" t="str">
        <f>""</f>
        <v/>
      </c>
      <c r="H1119" t="str">
        <f>"Ord# 207885524001"</f>
        <v>Ord# 207885524001</v>
      </c>
    </row>
    <row r="1120" spans="1:8" x14ac:dyDescent="0.25">
      <c r="E1120" t="str">
        <f>""</f>
        <v/>
      </c>
      <c r="F1120" t="str">
        <f>""</f>
        <v/>
      </c>
      <c r="H1120" t="str">
        <f>"Ord# 205818119001"</f>
        <v>Ord# 205818119001</v>
      </c>
    </row>
    <row r="1121" spans="1:8" x14ac:dyDescent="0.25">
      <c r="E1121" t="str">
        <f>""</f>
        <v/>
      </c>
      <c r="F1121" t="str">
        <f>""</f>
        <v/>
      </c>
      <c r="H1121" t="str">
        <f>"Ord# 211449666001"</f>
        <v>Ord# 211449666001</v>
      </c>
    </row>
    <row r="1122" spans="1:8" x14ac:dyDescent="0.25">
      <c r="E1122" t="str">
        <f>""</f>
        <v/>
      </c>
      <c r="F1122" t="str">
        <f>""</f>
        <v/>
      </c>
      <c r="H1122" t="str">
        <f>"Ord# 211460365001"</f>
        <v>Ord# 211460365001</v>
      </c>
    </row>
    <row r="1123" spans="1:8" x14ac:dyDescent="0.25">
      <c r="E1123" t="str">
        <f>""</f>
        <v/>
      </c>
      <c r="F1123" t="str">
        <f>""</f>
        <v/>
      </c>
      <c r="H1123" t="str">
        <f>"Ord# 211460366001"</f>
        <v>Ord# 211460366001</v>
      </c>
    </row>
    <row r="1124" spans="1:8" x14ac:dyDescent="0.25">
      <c r="E1124" t="str">
        <f>""</f>
        <v/>
      </c>
      <c r="F1124" t="str">
        <f>""</f>
        <v/>
      </c>
      <c r="H1124" t="str">
        <f>"Ord# 211304995001"</f>
        <v>Ord# 211304995001</v>
      </c>
    </row>
    <row r="1125" spans="1:8" x14ac:dyDescent="0.25">
      <c r="E1125" t="str">
        <f>""</f>
        <v/>
      </c>
      <c r="F1125" t="str">
        <f>""</f>
        <v/>
      </c>
      <c r="H1125" t="str">
        <f>"Ord# 211305373001"</f>
        <v>Ord# 211305373001</v>
      </c>
    </row>
    <row r="1126" spans="1:8" x14ac:dyDescent="0.25">
      <c r="E1126" t="str">
        <f>""</f>
        <v/>
      </c>
      <c r="F1126" t="str">
        <f>""</f>
        <v/>
      </c>
      <c r="H1126" t="str">
        <f>"Ord# 210555810001"</f>
        <v>Ord# 210555810001</v>
      </c>
    </row>
    <row r="1127" spans="1:8" x14ac:dyDescent="0.25">
      <c r="E1127" t="str">
        <f>""</f>
        <v/>
      </c>
      <c r="F1127" t="str">
        <f>""</f>
        <v/>
      </c>
      <c r="H1127" t="str">
        <f>"Ord# 206560921001"</f>
        <v>Ord# 206560921001</v>
      </c>
    </row>
    <row r="1128" spans="1:8" x14ac:dyDescent="0.25">
      <c r="A1128" t="s">
        <v>410</v>
      </c>
      <c r="B1128">
        <v>79280</v>
      </c>
      <c r="C1128" s="2">
        <v>4152</v>
      </c>
      <c r="D1128" s="1">
        <v>43395</v>
      </c>
      <c r="E1128" t="str">
        <f>"318-001011"</f>
        <v>318-001011</v>
      </c>
      <c r="F1128" t="str">
        <f>"3RD QTR ACTIVITY 2018"</f>
        <v>3RD QTR ACTIVITY 2018</v>
      </c>
      <c r="G1128" s="3">
        <v>1890</v>
      </c>
      <c r="H1128" t="str">
        <f>"3RD QTR ACTIVITY 2018"</f>
        <v>3RD QTR ACTIVITY 2018</v>
      </c>
    </row>
    <row r="1129" spans="1:8" x14ac:dyDescent="0.25">
      <c r="E1129" t="str">
        <f>"318-002011"</f>
        <v>318-002011</v>
      </c>
      <c r="F1129" t="str">
        <f>"3RD QTR ACTIVITY 2018"</f>
        <v>3RD QTR ACTIVITY 2018</v>
      </c>
      <c r="G1129" s="3">
        <v>414</v>
      </c>
      <c r="H1129" t="str">
        <f>"3RD QTR ACTIVITY 2018"</f>
        <v>3RD QTR ACTIVITY 2018</v>
      </c>
    </row>
    <row r="1130" spans="1:8" x14ac:dyDescent="0.25">
      <c r="E1130" t="str">
        <f>"318-003011"</f>
        <v>318-003011</v>
      </c>
      <c r="F1130" t="str">
        <f>"3RD QTR ACTIVITY 2018"</f>
        <v>3RD QTR ACTIVITY 2018</v>
      </c>
      <c r="G1130" s="3">
        <v>1230</v>
      </c>
      <c r="H1130" t="str">
        <f>"3RD QTR ACTIVITY 2018"</f>
        <v>3RD QTR ACTIVITY 2018</v>
      </c>
    </row>
    <row r="1131" spans="1:8" x14ac:dyDescent="0.25">
      <c r="E1131" t="str">
        <f>"318-004011"</f>
        <v>318-004011</v>
      </c>
      <c r="F1131" t="str">
        <f>"3RD QTR ACTIVITY 2018"</f>
        <v>3RD QTR ACTIVITY 2018</v>
      </c>
      <c r="G1131" s="3">
        <v>588</v>
      </c>
      <c r="H1131" t="str">
        <f>"3RD QTR ACTIVITY 2018"</f>
        <v>3RD QTR ACTIVITY 2018</v>
      </c>
    </row>
    <row r="1132" spans="1:8" x14ac:dyDescent="0.25">
      <c r="E1132" t="str">
        <f>"318-008011"</f>
        <v>318-008011</v>
      </c>
      <c r="F1132" t="str">
        <f>"3RD QTR 2018"</f>
        <v>3RD QTR 2018</v>
      </c>
      <c r="G1132" s="3">
        <v>24</v>
      </c>
      <c r="H1132" t="str">
        <f>"3RD QTR 2018"</f>
        <v>3RD QTR 2018</v>
      </c>
    </row>
    <row r="1133" spans="1:8" x14ac:dyDescent="0.25">
      <c r="E1133" t="str">
        <f>"318-009011"</f>
        <v>318-009011</v>
      </c>
      <c r="F1133" t="str">
        <f>"3RD QTR ACTIVITY JULY-SEP 2018"</f>
        <v>3RD QTR ACTIVITY JULY-SEP 2018</v>
      </c>
      <c r="G1133" s="3">
        <v>6</v>
      </c>
      <c r="H1133" t="str">
        <f>"3RD QTR ACTIVITY JULY-SEP 2018"</f>
        <v>3RD QTR ACTIVITY JULY-SEP 2018</v>
      </c>
    </row>
    <row r="1134" spans="1:8" x14ac:dyDescent="0.25">
      <c r="A1134" t="s">
        <v>411</v>
      </c>
      <c r="B1134">
        <v>79281</v>
      </c>
      <c r="C1134" s="2">
        <v>585</v>
      </c>
      <c r="D1134" s="1">
        <v>43395</v>
      </c>
      <c r="E1134" t="str">
        <f>"284704"</f>
        <v>284704</v>
      </c>
      <c r="F1134" t="str">
        <f>"CUST ID:BASCOU/DRUG SCREEN"</f>
        <v>CUST ID:BASCOU/DRUG SCREEN</v>
      </c>
      <c r="G1134" s="3">
        <v>585</v>
      </c>
      <c r="H1134" t="str">
        <f>"CUST ID:BASCOU/DRUG SCREEN"</f>
        <v>CUST ID:BASCOU/DRUG SCREEN</v>
      </c>
    </row>
    <row r="1135" spans="1:8" x14ac:dyDescent="0.25">
      <c r="E1135" t="str">
        <f>""</f>
        <v/>
      </c>
      <c r="F1135" t="str">
        <f>""</f>
        <v/>
      </c>
      <c r="H1135" t="str">
        <f>"CUST ID:BASCOU/DRUG SCREEN"</f>
        <v>CUST ID:BASCOU/DRUG SCREEN</v>
      </c>
    </row>
    <row r="1136" spans="1:8" x14ac:dyDescent="0.25">
      <c r="E1136" t="str">
        <f>""</f>
        <v/>
      </c>
      <c r="F1136" t="str">
        <f>""</f>
        <v/>
      </c>
      <c r="H1136" t="str">
        <f>"CUST ID:BASCOU/DRUG SCREEN"</f>
        <v>CUST ID:BASCOU/DRUG SCREEN</v>
      </c>
    </row>
    <row r="1137" spans="1:8" x14ac:dyDescent="0.25">
      <c r="E1137" t="str">
        <f>""</f>
        <v/>
      </c>
      <c r="F1137" t="str">
        <f>""</f>
        <v/>
      </c>
      <c r="H1137" t="str">
        <f>"CUST ID:BASCOU/DRUG SCREEN"</f>
        <v>CUST ID:BASCOU/DRUG SCREEN</v>
      </c>
    </row>
    <row r="1138" spans="1:8" x14ac:dyDescent="0.25">
      <c r="E1138" t="str">
        <f>""</f>
        <v/>
      </c>
      <c r="F1138" t="str">
        <f>""</f>
        <v/>
      </c>
      <c r="H1138" t="str">
        <f>"CUST ID:BASCOU/DRUG SCREEN"</f>
        <v>CUST ID:BASCOU/DRUG SCREEN</v>
      </c>
    </row>
    <row r="1139" spans="1:8" x14ac:dyDescent="0.25">
      <c r="A1139" t="s">
        <v>412</v>
      </c>
      <c r="B1139">
        <v>79075</v>
      </c>
      <c r="C1139" s="2">
        <v>300</v>
      </c>
      <c r="D1139" s="1">
        <v>43382</v>
      </c>
      <c r="E1139" t="str">
        <f>"17982"</f>
        <v>17982</v>
      </c>
      <c r="F1139" t="str">
        <f>"INV 17982"</f>
        <v>INV 17982</v>
      </c>
      <c r="G1139" s="3">
        <v>300</v>
      </c>
      <c r="H1139" t="str">
        <f>"INV 17982"</f>
        <v>INV 17982</v>
      </c>
    </row>
    <row r="1140" spans="1:8" x14ac:dyDescent="0.25">
      <c r="A1140" t="s">
        <v>413</v>
      </c>
      <c r="B1140">
        <v>79076</v>
      </c>
      <c r="C1140" s="2">
        <v>441</v>
      </c>
      <c r="D1140" s="1">
        <v>43382</v>
      </c>
      <c r="E1140" t="str">
        <f>"201810034179"</f>
        <v>201810034179</v>
      </c>
      <c r="F1140" t="str">
        <f>"Materials"</f>
        <v>Materials</v>
      </c>
      <c r="G1140" s="3">
        <v>441</v>
      </c>
      <c r="H1140" t="str">
        <f>"36 x50yds Black YD 3"</f>
        <v>36 x50yds Black YD 3</v>
      </c>
    </row>
    <row r="1141" spans="1:8" x14ac:dyDescent="0.25">
      <c r="A1141" t="s">
        <v>414</v>
      </c>
      <c r="B1141">
        <v>79282</v>
      </c>
      <c r="C1141" s="2">
        <v>99.96</v>
      </c>
      <c r="D1141" s="1">
        <v>43395</v>
      </c>
      <c r="E1141" t="str">
        <f>"33672"</f>
        <v>33672</v>
      </c>
      <c r="F1141" t="str">
        <f>"ACCT#1137/PCT#4"</f>
        <v>ACCT#1137/PCT#4</v>
      </c>
      <c r="G1141" s="3">
        <v>99.96</v>
      </c>
      <c r="H1141" t="str">
        <f>"ACCT#1137/PCT#4"</f>
        <v>ACCT#1137/PCT#4</v>
      </c>
    </row>
    <row r="1142" spans="1:8" x14ac:dyDescent="0.25">
      <c r="A1142" t="s">
        <v>415</v>
      </c>
      <c r="B1142">
        <v>79077</v>
      </c>
      <c r="C1142" s="2">
        <v>9624.5</v>
      </c>
      <c r="D1142" s="1">
        <v>43382</v>
      </c>
      <c r="E1142" t="str">
        <f>"029161"</f>
        <v>029161</v>
      </c>
      <c r="F1142" t="str">
        <f>"Inv# 029161"</f>
        <v>Inv# 029161</v>
      </c>
      <c r="G1142" s="3">
        <v>9624.5</v>
      </c>
      <c r="H1142" t="str">
        <f>"Type 3"</f>
        <v>Type 3</v>
      </c>
    </row>
    <row r="1143" spans="1:8" x14ac:dyDescent="0.25">
      <c r="E1143" t="str">
        <f>""</f>
        <v/>
      </c>
      <c r="F1143" t="str">
        <f>""</f>
        <v/>
      </c>
      <c r="H1143" t="str">
        <f>"Freight Divided by 4"</f>
        <v>Freight Divided by 4</v>
      </c>
    </row>
    <row r="1144" spans="1:8" x14ac:dyDescent="0.25">
      <c r="E1144" t="str">
        <f>""</f>
        <v/>
      </c>
      <c r="F1144" t="str">
        <f>""</f>
        <v/>
      </c>
      <c r="H1144" t="str">
        <f>"Type 3"</f>
        <v>Type 3</v>
      </c>
    </row>
    <row r="1145" spans="1:8" x14ac:dyDescent="0.25">
      <c r="E1145" t="str">
        <f>""</f>
        <v/>
      </c>
      <c r="F1145" t="str">
        <f>""</f>
        <v/>
      </c>
      <c r="H1145" t="str">
        <f>"Freight divided by 4"</f>
        <v>Freight divided by 4</v>
      </c>
    </row>
    <row r="1146" spans="1:8" x14ac:dyDescent="0.25">
      <c r="E1146" t="str">
        <f>""</f>
        <v/>
      </c>
      <c r="F1146" t="str">
        <f>""</f>
        <v/>
      </c>
      <c r="H1146" t="str">
        <f>"Type 3"</f>
        <v>Type 3</v>
      </c>
    </row>
    <row r="1147" spans="1:8" x14ac:dyDescent="0.25">
      <c r="E1147" t="str">
        <f>""</f>
        <v/>
      </c>
      <c r="F1147" t="str">
        <f>""</f>
        <v/>
      </c>
      <c r="H1147" t="str">
        <f>"Type2"</f>
        <v>Type2</v>
      </c>
    </row>
    <row r="1148" spans="1:8" x14ac:dyDescent="0.25">
      <c r="E1148" t="str">
        <f>""</f>
        <v/>
      </c>
      <c r="F1148" t="str">
        <f>""</f>
        <v/>
      </c>
      <c r="H1148" t="str">
        <f>"Freight divided by 3"</f>
        <v>Freight divided by 3</v>
      </c>
    </row>
    <row r="1149" spans="1:8" x14ac:dyDescent="0.25">
      <c r="A1149" t="s">
        <v>416</v>
      </c>
      <c r="B1149">
        <v>999999</v>
      </c>
      <c r="C1149" s="2">
        <v>16158.45</v>
      </c>
      <c r="D1149" s="1">
        <v>43396</v>
      </c>
      <c r="E1149" t="str">
        <f>"2008349 2008350"</f>
        <v>2008349 2008350</v>
      </c>
      <c r="F1149" t="str">
        <f>"Inv# 2008349  2008350"</f>
        <v>Inv# 2008349  2008350</v>
      </c>
      <c r="G1149" s="3">
        <v>810.8</v>
      </c>
      <c r="H1149" t="str">
        <f>"Inv# 2008349"</f>
        <v>Inv# 2008349</v>
      </c>
    </row>
    <row r="1150" spans="1:8" x14ac:dyDescent="0.25">
      <c r="E1150" t="str">
        <f>""</f>
        <v/>
      </c>
      <c r="F1150" t="str">
        <f>""</f>
        <v/>
      </c>
      <c r="H1150" t="str">
        <f>"Inv# 2008350"</f>
        <v>Inv# 2008350</v>
      </c>
    </row>
    <row r="1151" spans="1:8" x14ac:dyDescent="0.25">
      <c r="E1151" t="str">
        <f>"2008352"</f>
        <v>2008352</v>
      </c>
      <c r="F1151" t="str">
        <f>"Completion Payment"</f>
        <v>Completion Payment</v>
      </c>
      <c r="G1151" s="3">
        <v>9750</v>
      </c>
      <c r="H1151" t="str">
        <f>"Completion Payment"</f>
        <v>Completion Payment</v>
      </c>
    </row>
    <row r="1152" spans="1:8" x14ac:dyDescent="0.25">
      <c r="E1152" t="str">
        <f>"2008354 2008353"</f>
        <v>2008354 2008353</v>
      </c>
      <c r="F1152" t="str">
        <f>"Inv# 2008354  2008353"</f>
        <v>Inv# 2008354  2008353</v>
      </c>
      <c r="G1152" s="3">
        <v>5597.65</v>
      </c>
      <c r="H1152" t="str">
        <f>"Inv# 2008353"</f>
        <v>Inv# 2008353</v>
      </c>
    </row>
    <row r="1153" spans="1:8" x14ac:dyDescent="0.25">
      <c r="E1153" t="str">
        <f>""</f>
        <v/>
      </c>
      <c r="F1153" t="str">
        <f>""</f>
        <v/>
      </c>
      <c r="H1153" t="str">
        <f>"Inv# 2008354"</f>
        <v>Inv# 2008354</v>
      </c>
    </row>
    <row r="1154" spans="1:8" x14ac:dyDescent="0.25">
      <c r="E1154" t="str">
        <f>""</f>
        <v/>
      </c>
      <c r="F1154" t="str">
        <f>""</f>
        <v/>
      </c>
      <c r="H1154" t="str">
        <f>"Inv# 2008354"</f>
        <v>Inv# 2008354</v>
      </c>
    </row>
    <row r="1155" spans="1:8" x14ac:dyDescent="0.25">
      <c r="A1155" t="s">
        <v>417</v>
      </c>
      <c r="B1155">
        <v>79283</v>
      </c>
      <c r="C1155" s="2">
        <v>9547.36</v>
      </c>
      <c r="D1155" s="1">
        <v>43395</v>
      </c>
      <c r="E1155" t="str">
        <f>"0033306181"</f>
        <v>0033306181</v>
      </c>
      <c r="F1155" t="str">
        <f>"INV# 0033306181"</f>
        <v>INV# 0033306181</v>
      </c>
      <c r="G1155" s="3">
        <v>3168</v>
      </c>
      <c r="H1155" t="str">
        <f>"ITEM# 78927024"</f>
        <v>ITEM# 78927024</v>
      </c>
    </row>
    <row r="1156" spans="1:8" x14ac:dyDescent="0.25">
      <c r="E1156" t="str">
        <f>""</f>
        <v/>
      </c>
      <c r="F1156" t="str">
        <f>""</f>
        <v/>
      </c>
      <c r="H1156" t="str">
        <f>"SHIPPING"</f>
        <v>SHIPPING</v>
      </c>
    </row>
    <row r="1157" spans="1:8" x14ac:dyDescent="0.25">
      <c r="E1157" t="str">
        <f>"201810174619"</f>
        <v>201810174619</v>
      </c>
      <c r="F1157" t="str">
        <f>"ACCT#0200140783/ANIMAL SVCS"</f>
        <v>ACCT#0200140783/ANIMAL SVCS</v>
      </c>
      <c r="G1157" s="3">
        <v>6379.36</v>
      </c>
      <c r="H1157" t="str">
        <f>"ACCT#0200140783/ANIMAL SVCS"</f>
        <v>ACCT#0200140783/ANIMAL SVCS</v>
      </c>
    </row>
    <row r="1158" spans="1:8" x14ac:dyDescent="0.25">
      <c r="E1158" t="str">
        <f>""</f>
        <v/>
      </c>
      <c r="F1158" t="str">
        <f>""</f>
        <v/>
      </c>
      <c r="H1158" t="str">
        <f>"ACCT#0200140783/ANIMAL SVCS"</f>
        <v>ACCT#0200140783/ANIMAL SVCS</v>
      </c>
    </row>
    <row r="1159" spans="1:8" x14ac:dyDescent="0.25">
      <c r="A1159" t="s">
        <v>418</v>
      </c>
      <c r="B1159">
        <v>79078</v>
      </c>
      <c r="C1159" s="2">
        <v>32629.19</v>
      </c>
      <c r="D1159" s="1">
        <v>43382</v>
      </c>
      <c r="E1159" t="str">
        <f>"IVC00042356"</f>
        <v>IVC00042356</v>
      </c>
      <c r="F1159" t="str">
        <f>"ATTORNEY FEES 4/1/17-6/30/17"</f>
        <v>ATTORNEY FEES 4/1/17-6/30/17</v>
      </c>
      <c r="G1159" s="3">
        <v>10553.53</v>
      </c>
      <c r="H1159" t="str">
        <f>"ATTORNEY FEES 4/1/17-6/30/17"</f>
        <v>ATTORNEY FEES 4/1/17-6/30/17</v>
      </c>
    </row>
    <row r="1160" spans="1:8" x14ac:dyDescent="0.25">
      <c r="E1160" t="str">
        <f>"IVC00042358"</f>
        <v>IVC00042358</v>
      </c>
      <c r="F1160" t="str">
        <f>"ATTORNEYS FEES 4/1/17-6/30/17"</f>
        <v>ATTORNEYS FEES 4/1/17-6/30/17</v>
      </c>
      <c r="G1160" s="3">
        <v>8796.93</v>
      </c>
      <c r="H1160" t="str">
        <f>"ATTORNEYS FEES 4/1/17-6/30/17"</f>
        <v>ATTORNEYS FEES 4/1/17-6/30/17</v>
      </c>
    </row>
    <row r="1161" spans="1:8" x14ac:dyDescent="0.25">
      <c r="E1161" t="str">
        <f>"IVC00042359"</f>
        <v>IVC00042359</v>
      </c>
      <c r="F1161" t="str">
        <f>"ATTORNEY FEES 4/1/17-6/30/17"</f>
        <v>ATTORNEY FEES 4/1/17-6/30/17</v>
      </c>
      <c r="G1161" s="3">
        <v>13278.73</v>
      </c>
      <c r="H1161" t="str">
        <f>"ATTORNEY FEES 4/1/17-6/30/17"</f>
        <v>ATTORNEY FEES 4/1/17-6/30/17</v>
      </c>
    </row>
    <row r="1162" spans="1:8" x14ac:dyDescent="0.25">
      <c r="A1162" t="s">
        <v>418</v>
      </c>
      <c r="B1162">
        <v>79284</v>
      </c>
      <c r="C1162" s="2">
        <v>51429.41</v>
      </c>
      <c r="D1162" s="1">
        <v>43395</v>
      </c>
      <c r="E1162" t="str">
        <f>"IVC00042357"</f>
        <v>IVC00042357</v>
      </c>
      <c r="F1162" t="str">
        <f>"ATTORNEYS FEES 4/1/17-6/30/17"</f>
        <v>ATTORNEYS FEES 4/1/17-6/30/17</v>
      </c>
      <c r="G1162" s="3">
        <v>4820.5</v>
      </c>
      <c r="H1162" t="str">
        <f>"ATTORNEYS FEES 4/1/17-6/30/17"</f>
        <v>ATTORNEYS FEES 4/1/17-6/30/17</v>
      </c>
    </row>
    <row r="1163" spans="1:8" x14ac:dyDescent="0.25">
      <c r="E1163" t="str">
        <f>"IVC00042562"</f>
        <v>IVC00042562</v>
      </c>
      <c r="F1163" t="str">
        <f>"ATTORNEY FEES JULY-SEPT 2018"</f>
        <v>ATTORNEY FEES JULY-SEPT 2018</v>
      </c>
      <c r="G1163" s="3">
        <v>4547.93</v>
      </c>
      <c r="H1163" t="str">
        <f>"ATTORNEY FEES JULY-SEPT 2018"</f>
        <v>ATTORNEY FEES JULY-SEPT 2018</v>
      </c>
    </row>
    <row r="1164" spans="1:8" x14ac:dyDescent="0.25">
      <c r="E1164" t="str">
        <f>"IVC00042563"</f>
        <v>IVC00042563</v>
      </c>
      <c r="F1164" t="str">
        <f>"ATTORNEY FEES JULY-SEPT 2018"</f>
        <v>ATTORNEY FEES JULY-SEPT 2018</v>
      </c>
      <c r="G1164" s="3">
        <v>21310.65</v>
      </c>
      <c r="H1164" t="str">
        <f>"ATTORNEY FEES JULY-SEPT 2018"</f>
        <v>ATTORNEY FEES JULY-SEPT 2018</v>
      </c>
    </row>
    <row r="1165" spans="1:8" x14ac:dyDescent="0.25">
      <c r="E1165" t="str">
        <f>"IVC00042564"</f>
        <v>IVC00042564</v>
      </c>
      <c r="F1165" t="str">
        <f>"ATTORNEY FEES JULY-SEPT 2018"</f>
        <v>ATTORNEY FEES JULY-SEPT 2018</v>
      </c>
      <c r="G1165" s="3">
        <v>9644.11</v>
      </c>
      <c r="H1165" t="str">
        <f>"ATTORNEY FEES JULY-SEPT 2018"</f>
        <v>ATTORNEY FEES JULY-SEPT 2018</v>
      </c>
    </row>
    <row r="1166" spans="1:8" x14ac:dyDescent="0.25">
      <c r="E1166" t="str">
        <f>"IVC00042565"</f>
        <v>IVC00042565</v>
      </c>
      <c r="F1166" t="str">
        <f>"ATTORNEY FEES JULY-SEPT 2018"</f>
        <v>ATTORNEY FEES JULY-SEPT 2018</v>
      </c>
      <c r="G1166" s="3">
        <v>11106.22</v>
      </c>
      <c r="H1166" t="str">
        <f>"ATTORNEY FEES JULY-SEPT 2018"</f>
        <v>ATTORNEY FEES JULY-SEPT 2018</v>
      </c>
    </row>
    <row r="1167" spans="1:8" x14ac:dyDescent="0.25">
      <c r="A1167" t="s">
        <v>419</v>
      </c>
      <c r="B1167">
        <v>79285</v>
      </c>
      <c r="C1167" s="2">
        <v>9.6999999999999993</v>
      </c>
      <c r="D1167" s="1">
        <v>43395</v>
      </c>
      <c r="E1167" t="str">
        <f>"SIUN12377998"</f>
        <v>SIUN12377998</v>
      </c>
      <c r="F1167" t="str">
        <f>"ACCT#CUN0000000233/ANIMAL CONT"</f>
        <v>ACCT#CUN0000000233/ANIMAL CONT</v>
      </c>
      <c r="G1167" s="3">
        <v>9.6999999999999993</v>
      </c>
      <c r="H1167" t="str">
        <f>"ACCT#CUN0000000233/ANIMAL CONT"</f>
        <v>ACCT#CUN0000000233/ANIMAL CONT</v>
      </c>
    </row>
    <row r="1168" spans="1:8" x14ac:dyDescent="0.25">
      <c r="A1168" t="s">
        <v>420</v>
      </c>
      <c r="B1168">
        <v>79079</v>
      </c>
      <c r="C1168" s="2">
        <v>330.55</v>
      </c>
      <c r="D1168" s="1">
        <v>43382</v>
      </c>
      <c r="E1168" t="str">
        <f>"201810024106"</f>
        <v>201810024106</v>
      </c>
      <c r="F1168" t="str">
        <f>"REIMBURSE-HOTEL"</f>
        <v>REIMBURSE-HOTEL</v>
      </c>
      <c r="G1168" s="3">
        <v>330.55</v>
      </c>
      <c r="H1168" t="str">
        <f>"REIMBURSE-HOTEL"</f>
        <v>REIMBURSE-HOTEL</v>
      </c>
    </row>
    <row r="1169" spans="1:8" x14ac:dyDescent="0.25">
      <c r="A1169" t="s">
        <v>421</v>
      </c>
      <c r="B1169">
        <v>999999</v>
      </c>
      <c r="C1169" s="2">
        <v>870</v>
      </c>
      <c r="D1169" s="1">
        <v>43383</v>
      </c>
      <c r="E1169" t="str">
        <f>"201810024038"</f>
        <v>201810024038</v>
      </c>
      <c r="F1169" t="str">
        <f>"18-18974"</f>
        <v>18-18974</v>
      </c>
      <c r="G1169" s="3">
        <v>657</v>
      </c>
      <c r="H1169" t="str">
        <f>"18-18974"</f>
        <v>18-18974</v>
      </c>
    </row>
    <row r="1170" spans="1:8" x14ac:dyDescent="0.25">
      <c r="E1170" t="str">
        <f>"201810024044"</f>
        <v>201810024044</v>
      </c>
      <c r="F1170" t="str">
        <f>"17-18718"</f>
        <v>17-18718</v>
      </c>
      <c r="G1170" s="3">
        <v>213</v>
      </c>
      <c r="H1170" t="str">
        <f>"17-18718"</f>
        <v>17-18718</v>
      </c>
    </row>
    <row r="1171" spans="1:8" x14ac:dyDescent="0.25">
      <c r="A1171" t="s">
        <v>421</v>
      </c>
      <c r="B1171">
        <v>999999</v>
      </c>
      <c r="C1171" s="2">
        <v>625</v>
      </c>
      <c r="D1171" s="1">
        <v>43396</v>
      </c>
      <c r="E1171" t="str">
        <f>"201810104446"</f>
        <v>201810104446</v>
      </c>
      <c r="F1171" t="str">
        <f>"J3136"</f>
        <v>J3136</v>
      </c>
      <c r="G1171" s="3">
        <v>250</v>
      </c>
      <c r="H1171" t="str">
        <f>"J3136"</f>
        <v>J3136</v>
      </c>
    </row>
    <row r="1172" spans="1:8" x14ac:dyDescent="0.25">
      <c r="E1172" t="str">
        <f>"201810164557"</f>
        <v>201810164557</v>
      </c>
      <c r="F1172" t="str">
        <f>"56026  56027"</f>
        <v>56026  56027</v>
      </c>
      <c r="G1172" s="3">
        <v>375</v>
      </c>
      <c r="H1172" t="str">
        <f>"56026  56027"</f>
        <v>56026  56027</v>
      </c>
    </row>
    <row r="1173" spans="1:8" x14ac:dyDescent="0.25">
      <c r="A1173" t="s">
        <v>422</v>
      </c>
      <c r="B1173">
        <v>79080</v>
      </c>
      <c r="C1173" s="2">
        <v>54</v>
      </c>
      <c r="D1173" s="1">
        <v>43382</v>
      </c>
      <c r="E1173" t="str">
        <f>"003147"</f>
        <v>003147</v>
      </c>
      <c r="F1173" t="str">
        <f>"INSPECT-04 DODGE/00 CHEVY/P3"</f>
        <v>INSPECT-04 DODGE/00 CHEVY/P3</v>
      </c>
      <c r="G1173" s="3">
        <v>14</v>
      </c>
      <c r="H1173" t="str">
        <f>"INSPECT-04 DODGE/00 CHEVY/P3"</f>
        <v>INSPECT-04 DODGE/00 CHEVY/P3</v>
      </c>
    </row>
    <row r="1174" spans="1:8" x14ac:dyDescent="0.25">
      <c r="E1174" t="str">
        <f>"003147 P4"</f>
        <v>003147 P4</v>
      </c>
      <c r="F1174" t="str">
        <f>"INSPECTION-2003 FORD/PCT#4"</f>
        <v>INSPECTION-2003 FORD/PCT#4</v>
      </c>
      <c r="G1174" s="3">
        <v>40</v>
      </c>
      <c r="H1174" t="str">
        <f>"INSPECTION-2003 FORD/PCT#4"</f>
        <v>INSPECTION-2003 FORD/PCT#4</v>
      </c>
    </row>
    <row r="1175" spans="1:8" x14ac:dyDescent="0.25">
      <c r="A1175" t="s">
        <v>423</v>
      </c>
      <c r="B1175">
        <v>79081</v>
      </c>
      <c r="C1175" s="2">
        <v>32.25</v>
      </c>
      <c r="D1175" s="1">
        <v>43382</v>
      </c>
      <c r="E1175" t="str">
        <f>"1009477214"</f>
        <v>1009477214</v>
      </c>
      <c r="F1175" t="str">
        <f>"INV 1009477214"</f>
        <v>INV 1009477214</v>
      </c>
      <c r="G1175" s="3">
        <v>32.25</v>
      </c>
      <c r="H1175" t="str">
        <f>"INV 1009477214"</f>
        <v>INV 1009477214</v>
      </c>
    </row>
    <row r="1176" spans="1:8" x14ac:dyDescent="0.25">
      <c r="A1176" t="s">
        <v>423</v>
      </c>
      <c r="B1176">
        <v>79286</v>
      </c>
      <c r="C1176" s="2">
        <v>137.75</v>
      </c>
      <c r="D1176" s="1">
        <v>43395</v>
      </c>
      <c r="E1176" t="str">
        <f>"1009571209"</f>
        <v>1009571209</v>
      </c>
      <c r="F1176" t="str">
        <f>"ACCT#0011198047/POSTAGE"</f>
        <v>ACCT#0011198047/POSTAGE</v>
      </c>
      <c r="G1176" s="3">
        <v>137.75</v>
      </c>
      <c r="H1176" t="str">
        <f>"ACCT#0011198047/POSTAGE"</f>
        <v>ACCT#0011198047/POSTAGE</v>
      </c>
    </row>
    <row r="1177" spans="1:8" x14ac:dyDescent="0.25">
      <c r="A1177" t="s">
        <v>424</v>
      </c>
      <c r="B1177">
        <v>999999</v>
      </c>
      <c r="C1177" s="2">
        <v>1631.01</v>
      </c>
      <c r="D1177" s="1">
        <v>43383</v>
      </c>
      <c r="E1177" t="str">
        <f>"3307229748"</f>
        <v>3307229748</v>
      </c>
      <c r="F1177" t="str">
        <f>"ACCT#0011198047/BASTROP COUNTY"</f>
        <v>ACCT#0011198047/BASTROP COUNTY</v>
      </c>
      <c r="G1177" s="3">
        <v>1631.01</v>
      </c>
      <c r="H1177" t="str">
        <f>"ACCT#0011198047/BASTROP COUNTY"</f>
        <v>ACCT#0011198047/BASTROP COUNTY</v>
      </c>
    </row>
    <row r="1178" spans="1:8" x14ac:dyDescent="0.25">
      <c r="A1178" t="s">
        <v>425</v>
      </c>
      <c r="B1178">
        <v>79082</v>
      </c>
      <c r="C1178" s="2">
        <v>4338.75</v>
      </c>
      <c r="D1178" s="1">
        <v>43382</v>
      </c>
      <c r="E1178" t="str">
        <f>"201809253889"</f>
        <v>201809253889</v>
      </c>
      <c r="F1178" t="str">
        <f>"16-17765  03/1-03/28"</f>
        <v>16-17765  03/1-03/28</v>
      </c>
      <c r="G1178" s="3">
        <v>352.5</v>
      </c>
      <c r="H1178" t="str">
        <f>"16-17765  03/1-03/28"</f>
        <v>16-17765  03/1-03/28</v>
      </c>
    </row>
    <row r="1179" spans="1:8" x14ac:dyDescent="0.25">
      <c r="E1179" t="str">
        <f>"201809253890"</f>
        <v>201809253890</v>
      </c>
      <c r="F1179" t="str">
        <f>"18-18864"</f>
        <v>18-18864</v>
      </c>
      <c r="G1179" s="3">
        <v>180</v>
      </c>
      <c r="H1179" t="str">
        <f>"18-18864"</f>
        <v>18-18864</v>
      </c>
    </row>
    <row r="1180" spans="1:8" x14ac:dyDescent="0.25">
      <c r="E1180" t="str">
        <f>"201809253891"</f>
        <v>201809253891</v>
      </c>
      <c r="F1180" t="str">
        <f>"17-18269  03/02-03/31"</f>
        <v>17-18269  03/02-03/31</v>
      </c>
      <c r="G1180" s="3">
        <v>352.5</v>
      </c>
      <c r="H1180" t="str">
        <f>"17-18269  03/02-03/31"</f>
        <v>17-18269  03/02-03/31</v>
      </c>
    </row>
    <row r="1181" spans="1:8" x14ac:dyDescent="0.25">
      <c r="E1181" t="str">
        <f>"201809253892"</f>
        <v>201809253892</v>
      </c>
      <c r="F1181" t="str">
        <f>"17-18120  03/28/18"</f>
        <v>17-18120  03/28/18</v>
      </c>
      <c r="G1181" s="3">
        <v>22.5</v>
      </c>
      <c r="H1181" t="str">
        <f>"17-18120  03/28/18"</f>
        <v>17-18120  03/28/18</v>
      </c>
    </row>
    <row r="1182" spans="1:8" x14ac:dyDescent="0.25">
      <c r="E1182" t="str">
        <f>"201809253893"</f>
        <v>201809253893</v>
      </c>
      <c r="F1182" t="str">
        <f>"16-17944  03/03-03/30"</f>
        <v>16-17944  03/03-03/30</v>
      </c>
      <c r="G1182" s="3">
        <v>82.5</v>
      </c>
      <c r="H1182" t="str">
        <f>"16-17944  03/03-03/30"</f>
        <v>16-17944  03/03-03/30</v>
      </c>
    </row>
    <row r="1183" spans="1:8" x14ac:dyDescent="0.25">
      <c r="E1183" t="str">
        <f>"201809253894"</f>
        <v>201809253894</v>
      </c>
      <c r="F1183" t="str">
        <f>"17-18527  03/12-03/28"</f>
        <v>17-18527  03/12-03/28</v>
      </c>
      <c r="G1183" s="3">
        <v>172.5</v>
      </c>
      <c r="H1183" t="str">
        <f>"17-18527  03/12-03/28"</f>
        <v>17-18527  03/12-03/28</v>
      </c>
    </row>
    <row r="1184" spans="1:8" x14ac:dyDescent="0.25">
      <c r="E1184" t="str">
        <f>"201809253895"</f>
        <v>201809253895</v>
      </c>
      <c r="F1184" t="str">
        <f>"17-18738  02/05-02/28"</f>
        <v>17-18738  02/05-02/28</v>
      </c>
      <c r="G1184" s="3">
        <v>343.75</v>
      </c>
      <c r="H1184" t="str">
        <f>"17-18738  02/05-02/28"</f>
        <v>17-18738  02/05-02/28</v>
      </c>
    </row>
    <row r="1185" spans="1:9" x14ac:dyDescent="0.25">
      <c r="E1185" t="str">
        <f>"201809253896"</f>
        <v>201809253896</v>
      </c>
      <c r="F1185" t="str">
        <f>"17-18672  12/10/17-12/26/17"</f>
        <v>17-18672  12/10/17-12/26/17</v>
      </c>
      <c r="G1185" s="3">
        <v>232.5</v>
      </c>
      <c r="H1185" t="str">
        <f>"17-18672  12/10/17-12/26/17"</f>
        <v>17-18672  12/10/17-12/26/17</v>
      </c>
    </row>
    <row r="1186" spans="1:9" x14ac:dyDescent="0.25">
      <c r="E1186" t="str">
        <f>"201809253897"</f>
        <v>201809253897</v>
      </c>
      <c r="F1186" t="str">
        <f>"17-18535  03/08/18"</f>
        <v>17-18535  03/08/18</v>
      </c>
      <c r="G1186" s="3">
        <v>75</v>
      </c>
      <c r="H1186" t="str">
        <f>"17-18535  03/08/18"</f>
        <v>17-18535  03/08/18</v>
      </c>
    </row>
    <row r="1187" spans="1:9" x14ac:dyDescent="0.25">
      <c r="E1187" t="str">
        <f>"201809253898"</f>
        <v>201809253898</v>
      </c>
      <c r="F1187" t="str">
        <f>"16-17760  02/05-03/08"</f>
        <v>16-17760  02/05-03/08</v>
      </c>
      <c r="G1187" s="3">
        <v>90</v>
      </c>
      <c r="H1187" t="str">
        <f>"16-17760  02/05-03/08"</f>
        <v>16-17760  02/05-03/08</v>
      </c>
    </row>
    <row r="1188" spans="1:9" x14ac:dyDescent="0.25">
      <c r="E1188" t="str">
        <f>"201809253899"</f>
        <v>201809253899</v>
      </c>
      <c r="F1188" t="str">
        <f>"18-18924  03/20-03/28"</f>
        <v>18-18924  03/20-03/28</v>
      </c>
      <c r="G1188" s="3">
        <v>240</v>
      </c>
      <c r="H1188" t="str">
        <f>"18-18924"</f>
        <v>18-18924</v>
      </c>
    </row>
    <row r="1189" spans="1:9" x14ac:dyDescent="0.25">
      <c r="E1189" t="str">
        <f>"201809253900"</f>
        <v>201809253900</v>
      </c>
      <c r="F1189" t="str">
        <f>"16-17894  03/05-03/27"</f>
        <v>16-17894  03/05-03/27</v>
      </c>
      <c r="G1189" s="3">
        <v>767.5</v>
      </c>
      <c r="H1189" t="str">
        <f>"16-17894  03/05-03/27"</f>
        <v>16-17894  03/05-03/27</v>
      </c>
    </row>
    <row r="1190" spans="1:9" x14ac:dyDescent="0.25">
      <c r="E1190" t="str">
        <f>"201809253901"</f>
        <v>201809253901</v>
      </c>
      <c r="F1190" t="str">
        <f>"17-18615  03/01-03/28"</f>
        <v>17-18615  03/01-03/28</v>
      </c>
      <c r="G1190" s="3">
        <v>427.5</v>
      </c>
      <c r="H1190" t="str">
        <f>"17-18615  03/01-03/28"</f>
        <v>17-18615  03/01-03/28</v>
      </c>
    </row>
    <row r="1191" spans="1:9" x14ac:dyDescent="0.25">
      <c r="E1191" t="str">
        <f>"201809253902"</f>
        <v>201809253902</v>
      </c>
      <c r="F1191" t="str">
        <f>"20180035"</f>
        <v>20180035</v>
      </c>
      <c r="G1191" s="3">
        <v>125</v>
      </c>
      <c r="H1191" t="str">
        <f>"20180035"</f>
        <v>20180035</v>
      </c>
    </row>
    <row r="1192" spans="1:9" x14ac:dyDescent="0.25">
      <c r="E1192" t="str">
        <f>"201809253903"</f>
        <v>201809253903</v>
      </c>
      <c r="F1192" t="str">
        <f>"55 627"</f>
        <v>55 627</v>
      </c>
      <c r="G1192" s="3">
        <v>250</v>
      </c>
      <c r="H1192" t="str">
        <f>"55 627"</f>
        <v>55 627</v>
      </c>
    </row>
    <row r="1193" spans="1:9" x14ac:dyDescent="0.25">
      <c r="E1193" t="str">
        <f>"201810024061"</f>
        <v>201810024061</v>
      </c>
      <c r="F1193" t="str">
        <f>"55 999"</f>
        <v>55 999</v>
      </c>
      <c r="G1193" s="3">
        <v>250</v>
      </c>
      <c r="H1193" t="str">
        <f>"55 999"</f>
        <v>55 999</v>
      </c>
    </row>
    <row r="1194" spans="1:9" x14ac:dyDescent="0.25">
      <c r="E1194" t="str">
        <f>"201810024062"</f>
        <v>201810024062</v>
      </c>
      <c r="F1194" t="str">
        <f>"DCPC18120"</f>
        <v>DCPC18120</v>
      </c>
      <c r="G1194" s="3">
        <v>250</v>
      </c>
      <c r="H1194" t="str">
        <f>"DCPC18120"</f>
        <v>DCPC18120</v>
      </c>
    </row>
    <row r="1195" spans="1:9" x14ac:dyDescent="0.25">
      <c r="E1195" t="str">
        <f>"201810024063"</f>
        <v>201810024063</v>
      </c>
      <c r="F1195" t="str">
        <f>"DCPC18121"</f>
        <v>DCPC18121</v>
      </c>
      <c r="G1195" s="3">
        <v>125</v>
      </c>
      <c r="H1195" t="str">
        <f>"DCPC18121"</f>
        <v>DCPC18121</v>
      </c>
    </row>
    <row r="1196" spans="1:9" x14ac:dyDescent="0.25">
      <c r="A1196" t="s">
        <v>425</v>
      </c>
      <c r="B1196">
        <v>79287</v>
      </c>
      <c r="C1196" s="2">
        <v>500</v>
      </c>
      <c r="D1196" s="1">
        <v>43395</v>
      </c>
      <c r="E1196" t="str">
        <f>"201810164552"</f>
        <v>201810164552</v>
      </c>
      <c r="F1196" t="str">
        <f>"56 274"</f>
        <v>56 274</v>
      </c>
      <c r="G1196" s="3">
        <v>250</v>
      </c>
      <c r="H1196" t="str">
        <f>"56 274"</f>
        <v>56 274</v>
      </c>
    </row>
    <row r="1197" spans="1:9" x14ac:dyDescent="0.25">
      <c r="E1197" t="str">
        <f>"201810164553"</f>
        <v>201810164553</v>
      </c>
      <c r="F1197" t="str">
        <f>"56 085"</f>
        <v>56 085</v>
      </c>
      <c r="G1197" s="3">
        <v>250</v>
      </c>
      <c r="H1197" t="str">
        <f>"56 085"</f>
        <v>56 085</v>
      </c>
    </row>
    <row r="1198" spans="1:9" x14ac:dyDescent="0.25">
      <c r="A1198" t="s">
        <v>426</v>
      </c>
      <c r="B1198">
        <v>79083</v>
      </c>
      <c r="C1198" s="2">
        <v>25</v>
      </c>
      <c r="D1198" s="1">
        <v>43382</v>
      </c>
      <c r="E1198" t="s">
        <v>274</v>
      </c>
      <c r="F1198" t="s">
        <v>275</v>
      </c>
      <c r="G1198" s="3" t="str">
        <f>"RESTITUTION-C. FERRIS"</f>
        <v>RESTITUTION-C. FERRIS</v>
      </c>
      <c r="H1198" t="str">
        <f>"210-0000"</f>
        <v>210-0000</v>
      </c>
      <c r="I1198" t="str">
        <f>""</f>
        <v/>
      </c>
    </row>
    <row r="1199" spans="1:9" x14ac:dyDescent="0.25">
      <c r="A1199" t="s">
        <v>427</v>
      </c>
      <c r="B1199">
        <v>999999</v>
      </c>
      <c r="C1199" s="2">
        <v>1053.3599999999999</v>
      </c>
      <c r="D1199" s="1">
        <v>43383</v>
      </c>
      <c r="E1199" t="str">
        <f>"162707"</f>
        <v>162707</v>
      </c>
      <c r="F1199" t="str">
        <f>"INV 162707"</f>
        <v>INV 162707</v>
      </c>
      <c r="G1199" s="3">
        <v>1053.3599999999999</v>
      </c>
      <c r="H1199" t="str">
        <f>"INV 162707"</f>
        <v>INV 162707</v>
      </c>
    </row>
    <row r="1200" spans="1:9" x14ac:dyDescent="0.25">
      <c r="A1200" t="s">
        <v>428</v>
      </c>
      <c r="B1200">
        <v>79288</v>
      </c>
      <c r="C1200" s="2">
        <v>325</v>
      </c>
      <c r="D1200" s="1">
        <v>43395</v>
      </c>
      <c r="E1200" t="str">
        <f>"231641"</f>
        <v>231641</v>
      </c>
      <c r="F1200" t="str">
        <f>"INV 231641"</f>
        <v>INV 231641</v>
      </c>
      <c r="G1200" s="3">
        <v>325</v>
      </c>
      <c r="H1200" t="str">
        <f>"INV 231641"</f>
        <v>INV 231641</v>
      </c>
    </row>
    <row r="1201" spans="1:8" x14ac:dyDescent="0.25">
      <c r="A1201" t="s">
        <v>429</v>
      </c>
      <c r="B1201">
        <v>79289</v>
      </c>
      <c r="C1201" s="2">
        <v>791.06</v>
      </c>
      <c r="D1201" s="1">
        <v>43395</v>
      </c>
      <c r="E1201" t="str">
        <f>"21803200"</f>
        <v>21803200</v>
      </c>
      <c r="F1201" t="str">
        <f>"INV 21803200"</f>
        <v>INV 21803200</v>
      </c>
      <c r="G1201" s="3">
        <v>791.06</v>
      </c>
      <c r="H1201" t="str">
        <f>"INV 21803200"</f>
        <v>INV 21803200</v>
      </c>
    </row>
    <row r="1202" spans="1:8" x14ac:dyDescent="0.25">
      <c r="A1202" t="s">
        <v>430</v>
      </c>
      <c r="B1202">
        <v>999999</v>
      </c>
      <c r="C1202" s="2">
        <v>549.71</v>
      </c>
      <c r="D1202" s="1">
        <v>43383</v>
      </c>
      <c r="E1202" t="str">
        <f>"201810024123"</f>
        <v>201810024123</v>
      </c>
      <c r="F1202" t="str">
        <f>"REIMBURSE FOOD/HOTEL"</f>
        <v>REIMBURSE FOOD/HOTEL</v>
      </c>
      <c r="G1202" s="3">
        <v>449.71</v>
      </c>
      <c r="H1202" t="str">
        <f>"REIMBURSE FOOD/HOTEL"</f>
        <v>REIMBURSE FOOD/HOTEL</v>
      </c>
    </row>
    <row r="1203" spans="1:8" x14ac:dyDescent="0.25">
      <c r="E1203" t="str">
        <f>""</f>
        <v/>
      </c>
      <c r="F1203" t="str">
        <f>""</f>
        <v/>
      </c>
      <c r="H1203" t="str">
        <f>"REIMBURSE FOOD/HOTEL"</f>
        <v>REIMBURSE FOOD/HOTEL</v>
      </c>
    </row>
    <row r="1204" spans="1:8" x14ac:dyDescent="0.25">
      <c r="E1204" t="str">
        <f>"201810024124"</f>
        <v>201810024124</v>
      </c>
      <c r="F1204" t="str">
        <f>"REIMBURSE CONFER REGISTRATION"</f>
        <v>REIMBURSE CONFER REGISTRATION</v>
      </c>
      <c r="G1204" s="3">
        <v>100</v>
      </c>
      <c r="H1204" t="str">
        <f>"REIMBURSE CONFER REGISTRATION"</f>
        <v>REIMBURSE CONFER REGISTRATION</v>
      </c>
    </row>
    <row r="1205" spans="1:8" x14ac:dyDescent="0.25">
      <c r="A1205" t="s">
        <v>431</v>
      </c>
      <c r="B1205">
        <v>79084</v>
      </c>
      <c r="C1205" s="2">
        <v>1039.5999999999999</v>
      </c>
      <c r="D1205" s="1">
        <v>43382</v>
      </c>
      <c r="E1205" t="str">
        <f>"201810034166"</f>
        <v>201810034166</v>
      </c>
      <c r="F1205" t="str">
        <f>"LODGING"</f>
        <v>LODGING</v>
      </c>
      <c r="G1205" s="3">
        <v>1039.5999999999999</v>
      </c>
      <c r="H1205" t="str">
        <f>"LODGING C. WOLF"</f>
        <v>LODGING C. WOLF</v>
      </c>
    </row>
    <row r="1206" spans="1:8" x14ac:dyDescent="0.25">
      <c r="E1206" t="str">
        <f>""</f>
        <v/>
      </c>
      <c r="F1206" t="str">
        <f>""</f>
        <v/>
      </c>
      <c r="H1206" t="str">
        <f>"LODGINGA. GODWIN"</f>
        <v>LODGINGA. GODWIN</v>
      </c>
    </row>
    <row r="1207" spans="1:8" x14ac:dyDescent="0.25">
      <c r="A1207" t="s">
        <v>432</v>
      </c>
      <c r="B1207">
        <v>79085</v>
      </c>
      <c r="C1207" s="2">
        <v>15</v>
      </c>
      <c r="D1207" s="1">
        <v>43382</v>
      </c>
      <c r="E1207" t="str">
        <f>"201809253925"</f>
        <v>201809253925</v>
      </c>
      <c r="F1207" t="str">
        <f>"MEAL REIMBURSEMENT"</f>
        <v>MEAL REIMBURSEMENT</v>
      </c>
      <c r="G1207" s="3">
        <v>15</v>
      </c>
      <c r="H1207" t="str">
        <f>"MEAL REIMBURSEMENT"</f>
        <v>MEAL REIMBURSEMENT</v>
      </c>
    </row>
    <row r="1208" spans="1:8" x14ac:dyDescent="0.25">
      <c r="A1208" t="s">
        <v>433</v>
      </c>
      <c r="B1208">
        <v>999999</v>
      </c>
      <c r="C1208" s="2">
        <v>111.78</v>
      </c>
      <c r="D1208" s="1">
        <v>43396</v>
      </c>
      <c r="E1208" t="str">
        <f>" 0121587851"</f>
        <v xml:space="preserve"> 0121587851</v>
      </c>
      <c r="F1208" t="str">
        <f>"ACCT#0121587851"</f>
        <v>ACCT#0121587851</v>
      </c>
      <c r="G1208" s="3">
        <v>16.940000000000001</v>
      </c>
      <c r="H1208" t="str">
        <f>"ACCT#0121587851"</f>
        <v>ACCT#0121587851</v>
      </c>
    </row>
    <row r="1209" spans="1:8" x14ac:dyDescent="0.25">
      <c r="E1209" t="str">
        <f>"18J0121569859"</f>
        <v>18J0121569859</v>
      </c>
      <c r="F1209" t="str">
        <f>"ACCT#0121569859/JP4"</f>
        <v>ACCT#0121569859/JP4</v>
      </c>
      <c r="G1209" s="3">
        <v>7.93</v>
      </c>
      <c r="H1209" t="str">
        <f>"ACCT#0121569859/JP4"</f>
        <v>ACCT#0121569859/JP4</v>
      </c>
    </row>
    <row r="1210" spans="1:8" x14ac:dyDescent="0.25">
      <c r="E1210" t="str">
        <f>"18J0121587851"</f>
        <v>18J0121587851</v>
      </c>
      <c r="F1210" t="str">
        <f>"ACCT#0121587851/PCT#4"</f>
        <v>ACCT#0121587851/PCT#4</v>
      </c>
      <c r="G1210" s="3">
        <v>86.91</v>
      </c>
      <c r="H1210" t="str">
        <f>"ACCT#0121587851"</f>
        <v>ACCT#0121587851</v>
      </c>
    </row>
    <row r="1211" spans="1:8" x14ac:dyDescent="0.25">
      <c r="A1211" t="s">
        <v>434</v>
      </c>
      <c r="B1211">
        <v>79086</v>
      </c>
      <c r="C1211" s="2">
        <v>450</v>
      </c>
      <c r="D1211" s="1">
        <v>43382</v>
      </c>
      <c r="E1211" t="str">
        <f>"201810034189"</f>
        <v>201810034189</v>
      </c>
      <c r="F1211" t="str">
        <f>"VETERINARY SURG SVCS-09/24/18"</f>
        <v>VETERINARY SURG SVCS-09/24/18</v>
      </c>
      <c r="G1211" s="3">
        <v>450</v>
      </c>
      <c r="H1211" t="str">
        <f>"VETERINARY SURG SVCS-09/24/18"</f>
        <v>VETERINARY SURG SVCS-09/24/18</v>
      </c>
    </row>
    <row r="1212" spans="1:8" x14ac:dyDescent="0.25">
      <c r="A1212" t="s">
        <v>435</v>
      </c>
      <c r="B1212">
        <v>79290</v>
      </c>
      <c r="C1212" s="2">
        <v>2689.07</v>
      </c>
      <c r="D1212" s="1">
        <v>43395</v>
      </c>
      <c r="E1212" t="str">
        <f>"0843-001503737"</f>
        <v>0843-001503737</v>
      </c>
      <c r="F1212" t="str">
        <f>"ACCT#3-0843-0017094"</f>
        <v>ACCT#3-0843-0017094</v>
      </c>
      <c r="G1212" s="3">
        <v>2049.52</v>
      </c>
      <c r="H1212" t="str">
        <f>"ACCT#3-0843-0017094"</f>
        <v>ACCT#3-0843-0017094</v>
      </c>
    </row>
    <row r="1213" spans="1:8" x14ac:dyDescent="0.25">
      <c r="E1213" t="str">
        <f>"0843-0015052592"</f>
        <v>0843-0015052592</v>
      </c>
      <c r="F1213" t="str">
        <f>"ACCT#3-0843-1269216"</f>
        <v>ACCT#3-0843-1269216</v>
      </c>
      <c r="G1213" s="3">
        <v>639.54999999999995</v>
      </c>
      <c r="H1213" t="str">
        <f>"ACCT#3-0843-1269216"</f>
        <v>ACCT#3-0843-1269216</v>
      </c>
    </row>
    <row r="1214" spans="1:8" x14ac:dyDescent="0.25">
      <c r="A1214" t="s">
        <v>436</v>
      </c>
      <c r="B1214">
        <v>79291</v>
      </c>
      <c r="C1214" s="2">
        <v>1124.3</v>
      </c>
      <c r="D1214" s="1">
        <v>43395</v>
      </c>
      <c r="E1214" t="str">
        <f>"0000010926"</f>
        <v>0000010926</v>
      </c>
      <c r="F1214" t="str">
        <f>"WK ORD#0000011897/PCT#4"</f>
        <v>WK ORD#0000011897/PCT#4</v>
      </c>
      <c r="G1214" s="3">
        <v>719</v>
      </c>
      <c r="H1214" t="str">
        <f>"WK ORD#0000011897/PCT#4"</f>
        <v>WK ORD#0000011897/PCT#4</v>
      </c>
    </row>
    <row r="1215" spans="1:8" x14ac:dyDescent="0.25">
      <c r="E1215" t="str">
        <f>"0000010927"</f>
        <v>0000010927</v>
      </c>
      <c r="F1215" t="str">
        <f>"WK ORD#0000011930/PCT#4"</f>
        <v>WK ORD#0000011930/PCT#4</v>
      </c>
      <c r="G1215" s="3">
        <v>405.3</v>
      </c>
      <c r="H1215" t="str">
        <f>"WK ORD#0000011930/PCT#4"</f>
        <v>WK ORD#0000011930/PCT#4</v>
      </c>
    </row>
    <row r="1216" spans="1:8" x14ac:dyDescent="0.25">
      <c r="A1216" t="s">
        <v>437</v>
      </c>
      <c r="B1216">
        <v>999999</v>
      </c>
      <c r="C1216" s="2">
        <v>717.9</v>
      </c>
      <c r="D1216" s="1">
        <v>43383</v>
      </c>
      <c r="E1216" t="str">
        <f>"201809253906"</f>
        <v>201809253906</v>
      </c>
      <c r="F1216" t="str">
        <f>"NO CAUSE # LISTED"</f>
        <v>NO CAUSE # LISTED</v>
      </c>
      <c r="G1216" s="3">
        <v>510</v>
      </c>
      <c r="H1216" t="str">
        <f>"NO CAUSE # LISTED"</f>
        <v>NO CAUSE # LISTED</v>
      </c>
    </row>
    <row r="1217" spans="1:8" x14ac:dyDescent="0.25">
      <c r="E1217" t="str">
        <f>"201810024118"</f>
        <v>201810024118</v>
      </c>
      <c r="F1217" t="str">
        <f>"18-19247"</f>
        <v>18-19247</v>
      </c>
      <c r="G1217" s="3">
        <v>103.95</v>
      </c>
      <c r="H1217" t="str">
        <f>"18-19247"</f>
        <v>18-19247</v>
      </c>
    </row>
    <row r="1218" spans="1:8" x14ac:dyDescent="0.25">
      <c r="E1218" t="str">
        <f>"201810024119"</f>
        <v>201810024119</v>
      </c>
      <c r="F1218" t="str">
        <f>"18-19248"</f>
        <v>18-19248</v>
      </c>
      <c r="G1218" s="3">
        <v>103.95</v>
      </c>
      <c r="H1218" t="str">
        <f>"18-19248"</f>
        <v>18-19248</v>
      </c>
    </row>
    <row r="1219" spans="1:8" x14ac:dyDescent="0.25">
      <c r="A1219" t="s">
        <v>437</v>
      </c>
      <c r="B1219">
        <v>999999</v>
      </c>
      <c r="C1219" s="2">
        <v>250</v>
      </c>
      <c r="D1219" s="1">
        <v>43396</v>
      </c>
      <c r="E1219" t="str">
        <f>"201810164573"</f>
        <v>201810164573</v>
      </c>
      <c r="F1219" t="str">
        <f>"307222018B"</f>
        <v>307222018B</v>
      </c>
      <c r="G1219" s="3">
        <v>250</v>
      </c>
      <c r="H1219" t="str">
        <f>"307222018B"</f>
        <v>307222018B</v>
      </c>
    </row>
    <row r="1220" spans="1:8" x14ac:dyDescent="0.25">
      <c r="A1220" t="s">
        <v>438</v>
      </c>
      <c r="B1220">
        <v>79087</v>
      </c>
      <c r="C1220" s="2">
        <v>151.94</v>
      </c>
      <c r="D1220" s="1">
        <v>43382</v>
      </c>
      <c r="E1220" t="str">
        <f>"80874"</f>
        <v>80874</v>
      </c>
      <c r="F1220" t="str">
        <f>"PARKING LIGHT / P4"</f>
        <v>PARKING LIGHT / P4</v>
      </c>
      <c r="G1220" s="3">
        <v>124.17</v>
      </c>
      <c r="H1220" t="str">
        <f>"PARKING LIGHT / P4"</f>
        <v>PARKING LIGHT / P4</v>
      </c>
    </row>
    <row r="1221" spans="1:8" x14ac:dyDescent="0.25">
      <c r="E1221" t="str">
        <f>"80944"</f>
        <v>80944</v>
      </c>
      <c r="F1221" t="str">
        <f>"WHEEL COVER / P4"</f>
        <v>WHEEL COVER / P4</v>
      </c>
      <c r="G1221" s="3">
        <v>27.77</v>
      </c>
      <c r="H1221" t="str">
        <f>"WHEEL COVER / P4"</f>
        <v>WHEEL COVER / P4</v>
      </c>
    </row>
    <row r="1222" spans="1:8" x14ac:dyDescent="0.25">
      <c r="A1222" t="s">
        <v>439</v>
      </c>
      <c r="B1222">
        <v>79088</v>
      </c>
      <c r="C1222" s="2">
        <v>950</v>
      </c>
      <c r="D1222" s="1">
        <v>43382</v>
      </c>
      <c r="E1222" t="str">
        <f>"201810013975"</f>
        <v>201810013975</v>
      </c>
      <c r="F1222" t="str">
        <f>"16 446"</f>
        <v>16 446</v>
      </c>
      <c r="G1222" s="3">
        <v>950</v>
      </c>
      <c r="H1222" t="str">
        <f>"16 446"</f>
        <v>16 446</v>
      </c>
    </row>
    <row r="1223" spans="1:8" x14ac:dyDescent="0.25">
      <c r="A1223" t="s">
        <v>440</v>
      </c>
      <c r="B1223">
        <v>79292</v>
      </c>
      <c r="C1223" s="2">
        <v>2000</v>
      </c>
      <c r="D1223" s="1">
        <v>43395</v>
      </c>
      <c r="E1223" t="str">
        <f>" 10523006"</f>
        <v xml:space="preserve"> 10523006</v>
      </c>
      <c r="F1223" t="str">
        <f>"40 HRS @ $20/HR/PCT#3"</f>
        <v>40 HRS @ $20/HR/PCT#3</v>
      </c>
      <c r="G1223" s="3">
        <v>800</v>
      </c>
      <c r="H1223" t="str">
        <f>"40 HRS @ $20/HR/PCT#3"</f>
        <v>40 HRS @ $20/HR/PCT#3</v>
      </c>
    </row>
    <row r="1224" spans="1:8" x14ac:dyDescent="0.25">
      <c r="E1224" t="str">
        <f>"10523006"</f>
        <v>10523006</v>
      </c>
      <c r="F1224" t="str">
        <f>"60 HRS @ $20/HR/PCT#3"</f>
        <v>60 HRS @ $20/HR/PCT#3</v>
      </c>
      <c r="G1224" s="3">
        <v>1200</v>
      </c>
      <c r="H1224" t="str">
        <f>"60 HRS @ $20/HR/PCT#3"</f>
        <v>60 HRS @ $20/HR/PCT#3</v>
      </c>
    </row>
    <row r="1225" spans="1:8" x14ac:dyDescent="0.25">
      <c r="A1225" t="s">
        <v>441</v>
      </c>
      <c r="B1225">
        <v>999999</v>
      </c>
      <c r="C1225" s="2">
        <v>15718.18</v>
      </c>
      <c r="D1225" s="1">
        <v>43396</v>
      </c>
      <c r="E1225" t="str">
        <f>" 5054538918"</f>
        <v xml:space="preserve"> 5054538918</v>
      </c>
      <c r="F1225" t="str">
        <f>"CONTRACT#4457471"</f>
        <v>CONTRACT#4457471</v>
      </c>
      <c r="G1225" s="3">
        <v>13111.8</v>
      </c>
      <c r="H1225" t="str">
        <f t="shared" ref="H1225:H1256" si="9">"CONTRACT#4457471"</f>
        <v>CONTRACT#4457471</v>
      </c>
    </row>
    <row r="1226" spans="1:8" x14ac:dyDescent="0.25">
      <c r="E1226" t="str">
        <f>""</f>
        <v/>
      </c>
      <c r="F1226" t="str">
        <f>""</f>
        <v/>
      </c>
      <c r="H1226" t="str">
        <f t="shared" si="9"/>
        <v>CONTRACT#4457471</v>
      </c>
    </row>
    <row r="1227" spans="1:8" x14ac:dyDescent="0.25">
      <c r="E1227" t="str">
        <f>""</f>
        <v/>
      </c>
      <c r="F1227" t="str">
        <f>""</f>
        <v/>
      </c>
      <c r="H1227" t="str">
        <f t="shared" si="9"/>
        <v>CONTRACT#4457471</v>
      </c>
    </row>
    <row r="1228" spans="1:8" x14ac:dyDescent="0.25">
      <c r="E1228" t="str">
        <f>""</f>
        <v/>
      </c>
      <c r="F1228" t="str">
        <f>""</f>
        <v/>
      </c>
      <c r="H1228" t="str">
        <f t="shared" si="9"/>
        <v>CONTRACT#4457471</v>
      </c>
    </row>
    <row r="1229" spans="1:8" x14ac:dyDescent="0.25">
      <c r="E1229" t="str">
        <f>""</f>
        <v/>
      </c>
      <c r="F1229" t="str">
        <f>""</f>
        <v/>
      </c>
      <c r="H1229" t="str">
        <f t="shared" si="9"/>
        <v>CONTRACT#4457471</v>
      </c>
    </row>
    <row r="1230" spans="1:8" x14ac:dyDescent="0.25">
      <c r="E1230" t="str">
        <f>""</f>
        <v/>
      </c>
      <c r="F1230" t="str">
        <f>""</f>
        <v/>
      </c>
      <c r="H1230" t="str">
        <f t="shared" si="9"/>
        <v>CONTRACT#4457471</v>
      </c>
    </row>
    <row r="1231" spans="1:8" x14ac:dyDescent="0.25">
      <c r="E1231" t="str">
        <f>""</f>
        <v/>
      </c>
      <c r="F1231" t="str">
        <f>""</f>
        <v/>
      </c>
      <c r="H1231" t="str">
        <f t="shared" si="9"/>
        <v>CONTRACT#4457471</v>
      </c>
    </row>
    <row r="1232" spans="1:8" x14ac:dyDescent="0.25">
      <c r="E1232" t="str">
        <f>""</f>
        <v/>
      </c>
      <c r="F1232" t="str">
        <f>""</f>
        <v/>
      </c>
      <c r="H1232" t="str">
        <f t="shared" si="9"/>
        <v>CONTRACT#4457471</v>
      </c>
    </row>
    <row r="1233" spans="5:8" x14ac:dyDescent="0.25">
      <c r="E1233" t="str">
        <f>""</f>
        <v/>
      </c>
      <c r="F1233" t="str">
        <f>""</f>
        <v/>
      </c>
      <c r="H1233" t="str">
        <f t="shared" si="9"/>
        <v>CONTRACT#4457471</v>
      </c>
    </row>
    <row r="1234" spans="5:8" x14ac:dyDescent="0.25">
      <c r="E1234" t="str">
        <f>""</f>
        <v/>
      </c>
      <c r="F1234" t="str">
        <f>""</f>
        <v/>
      </c>
      <c r="H1234" t="str">
        <f t="shared" si="9"/>
        <v>CONTRACT#4457471</v>
      </c>
    </row>
    <row r="1235" spans="5:8" x14ac:dyDescent="0.25">
      <c r="E1235" t="str">
        <f>""</f>
        <v/>
      </c>
      <c r="F1235" t="str">
        <f>""</f>
        <v/>
      </c>
      <c r="H1235" t="str">
        <f t="shared" si="9"/>
        <v>CONTRACT#4457471</v>
      </c>
    </row>
    <row r="1236" spans="5:8" x14ac:dyDescent="0.25">
      <c r="E1236" t="str">
        <f>""</f>
        <v/>
      </c>
      <c r="F1236" t="str">
        <f>""</f>
        <v/>
      </c>
      <c r="H1236" t="str">
        <f t="shared" si="9"/>
        <v>CONTRACT#4457471</v>
      </c>
    </row>
    <row r="1237" spans="5:8" x14ac:dyDescent="0.25">
      <c r="E1237" t="str">
        <f>""</f>
        <v/>
      </c>
      <c r="F1237" t="str">
        <f>""</f>
        <v/>
      </c>
      <c r="H1237" t="str">
        <f t="shared" si="9"/>
        <v>CONTRACT#4457471</v>
      </c>
    </row>
    <row r="1238" spans="5:8" x14ac:dyDescent="0.25">
      <c r="E1238" t="str">
        <f>""</f>
        <v/>
      </c>
      <c r="F1238" t="str">
        <f>""</f>
        <v/>
      </c>
      <c r="H1238" t="str">
        <f t="shared" si="9"/>
        <v>CONTRACT#4457471</v>
      </c>
    </row>
    <row r="1239" spans="5:8" x14ac:dyDescent="0.25">
      <c r="E1239" t="str">
        <f>""</f>
        <v/>
      </c>
      <c r="F1239" t="str">
        <f>""</f>
        <v/>
      </c>
      <c r="H1239" t="str">
        <f t="shared" si="9"/>
        <v>CONTRACT#4457471</v>
      </c>
    </row>
    <row r="1240" spans="5:8" x14ac:dyDescent="0.25">
      <c r="E1240" t="str">
        <f>""</f>
        <v/>
      </c>
      <c r="F1240" t="str">
        <f>""</f>
        <v/>
      </c>
      <c r="H1240" t="str">
        <f t="shared" si="9"/>
        <v>CONTRACT#4457471</v>
      </c>
    </row>
    <row r="1241" spans="5:8" x14ac:dyDescent="0.25">
      <c r="E1241" t="str">
        <f>""</f>
        <v/>
      </c>
      <c r="F1241" t="str">
        <f>""</f>
        <v/>
      </c>
      <c r="H1241" t="str">
        <f t="shared" si="9"/>
        <v>CONTRACT#4457471</v>
      </c>
    </row>
    <row r="1242" spans="5:8" x14ac:dyDescent="0.25">
      <c r="E1242" t="str">
        <f>""</f>
        <v/>
      </c>
      <c r="F1242" t="str">
        <f>""</f>
        <v/>
      </c>
      <c r="H1242" t="str">
        <f t="shared" si="9"/>
        <v>CONTRACT#4457471</v>
      </c>
    </row>
    <row r="1243" spans="5:8" x14ac:dyDescent="0.25">
      <c r="E1243" t="str">
        <f>""</f>
        <v/>
      </c>
      <c r="F1243" t="str">
        <f>""</f>
        <v/>
      </c>
      <c r="H1243" t="str">
        <f t="shared" si="9"/>
        <v>CONTRACT#4457471</v>
      </c>
    </row>
    <row r="1244" spans="5:8" x14ac:dyDescent="0.25">
      <c r="E1244" t="str">
        <f>""</f>
        <v/>
      </c>
      <c r="F1244" t="str">
        <f>""</f>
        <v/>
      </c>
      <c r="H1244" t="str">
        <f t="shared" si="9"/>
        <v>CONTRACT#4457471</v>
      </c>
    </row>
    <row r="1245" spans="5:8" x14ac:dyDescent="0.25">
      <c r="E1245" t="str">
        <f>""</f>
        <v/>
      </c>
      <c r="F1245" t="str">
        <f>""</f>
        <v/>
      </c>
      <c r="H1245" t="str">
        <f t="shared" si="9"/>
        <v>CONTRACT#4457471</v>
      </c>
    </row>
    <row r="1246" spans="5:8" x14ac:dyDescent="0.25">
      <c r="E1246" t="str">
        <f>""</f>
        <v/>
      </c>
      <c r="F1246" t="str">
        <f>""</f>
        <v/>
      </c>
      <c r="H1246" t="str">
        <f t="shared" si="9"/>
        <v>CONTRACT#4457471</v>
      </c>
    </row>
    <row r="1247" spans="5:8" x14ac:dyDescent="0.25">
      <c r="E1247" t="str">
        <f>""</f>
        <v/>
      </c>
      <c r="F1247" t="str">
        <f>""</f>
        <v/>
      </c>
      <c r="H1247" t="str">
        <f t="shared" si="9"/>
        <v>CONTRACT#4457471</v>
      </c>
    </row>
    <row r="1248" spans="5:8" x14ac:dyDescent="0.25">
      <c r="E1248" t="str">
        <f>""</f>
        <v/>
      </c>
      <c r="F1248" t="str">
        <f>""</f>
        <v/>
      </c>
      <c r="H1248" t="str">
        <f t="shared" si="9"/>
        <v>CONTRACT#4457471</v>
      </c>
    </row>
    <row r="1249" spans="5:8" x14ac:dyDescent="0.25">
      <c r="E1249" t="str">
        <f>""</f>
        <v/>
      </c>
      <c r="F1249" t="str">
        <f>""</f>
        <v/>
      </c>
      <c r="H1249" t="str">
        <f t="shared" si="9"/>
        <v>CONTRACT#4457471</v>
      </c>
    </row>
    <row r="1250" spans="5:8" x14ac:dyDescent="0.25">
      <c r="E1250" t="str">
        <f>""</f>
        <v/>
      </c>
      <c r="F1250" t="str">
        <f>""</f>
        <v/>
      </c>
      <c r="H1250" t="str">
        <f t="shared" si="9"/>
        <v>CONTRACT#4457471</v>
      </c>
    </row>
    <row r="1251" spans="5:8" x14ac:dyDescent="0.25">
      <c r="E1251" t="str">
        <f>""</f>
        <v/>
      </c>
      <c r="F1251" t="str">
        <f>""</f>
        <v/>
      </c>
      <c r="H1251" t="str">
        <f t="shared" si="9"/>
        <v>CONTRACT#4457471</v>
      </c>
    </row>
    <row r="1252" spans="5:8" x14ac:dyDescent="0.25">
      <c r="E1252" t="str">
        <f>""</f>
        <v/>
      </c>
      <c r="F1252" t="str">
        <f>""</f>
        <v/>
      </c>
      <c r="H1252" t="str">
        <f t="shared" si="9"/>
        <v>CONTRACT#4457471</v>
      </c>
    </row>
    <row r="1253" spans="5:8" x14ac:dyDescent="0.25">
      <c r="E1253" t="str">
        <f>""</f>
        <v/>
      </c>
      <c r="F1253" t="str">
        <f>""</f>
        <v/>
      </c>
      <c r="H1253" t="str">
        <f t="shared" si="9"/>
        <v>CONTRACT#4457471</v>
      </c>
    </row>
    <row r="1254" spans="5:8" x14ac:dyDescent="0.25">
      <c r="E1254" t="str">
        <f>""</f>
        <v/>
      </c>
      <c r="F1254" t="str">
        <f>""</f>
        <v/>
      </c>
      <c r="H1254" t="str">
        <f t="shared" si="9"/>
        <v>CONTRACT#4457471</v>
      </c>
    </row>
    <row r="1255" spans="5:8" x14ac:dyDescent="0.25">
      <c r="E1255" t="str">
        <f>""</f>
        <v/>
      </c>
      <c r="F1255" t="str">
        <f>""</f>
        <v/>
      </c>
      <c r="H1255" t="str">
        <f t="shared" si="9"/>
        <v>CONTRACT#4457471</v>
      </c>
    </row>
    <row r="1256" spans="5:8" x14ac:dyDescent="0.25">
      <c r="E1256" t="str">
        <f>""</f>
        <v/>
      </c>
      <c r="F1256" t="str">
        <f>""</f>
        <v/>
      </c>
      <c r="H1256" t="str">
        <f t="shared" si="9"/>
        <v>CONTRACT#4457471</v>
      </c>
    </row>
    <row r="1257" spans="5:8" x14ac:dyDescent="0.25">
      <c r="E1257" t="str">
        <f>""</f>
        <v/>
      </c>
      <c r="F1257" t="str">
        <f>""</f>
        <v/>
      </c>
      <c r="H1257" t="str">
        <f t="shared" ref="H1257:H1288" si="10">"CONTRACT#4457471"</f>
        <v>CONTRACT#4457471</v>
      </c>
    </row>
    <row r="1258" spans="5:8" x14ac:dyDescent="0.25">
      <c r="E1258" t="str">
        <f>""</f>
        <v/>
      </c>
      <c r="F1258" t="str">
        <f>""</f>
        <v/>
      </c>
      <c r="H1258" t="str">
        <f t="shared" si="10"/>
        <v>CONTRACT#4457471</v>
      </c>
    </row>
    <row r="1259" spans="5:8" x14ac:dyDescent="0.25">
      <c r="E1259" t="str">
        <f>""</f>
        <v/>
      </c>
      <c r="F1259" t="str">
        <f>""</f>
        <v/>
      </c>
      <c r="H1259" t="str">
        <f t="shared" si="10"/>
        <v>CONTRACT#4457471</v>
      </c>
    </row>
    <row r="1260" spans="5:8" x14ac:dyDescent="0.25">
      <c r="E1260" t="str">
        <f>""</f>
        <v/>
      </c>
      <c r="F1260" t="str">
        <f>""</f>
        <v/>
      </c>
      <c r="H1260" t="str">
        <f t="shared" si="10"/>
        <v>CONTRACT#4457471</v>
      </c>
    </row>
    <row r="1261" spans="5:8" x14ac:dyDescent="0.25">
      <c r="E1261" t="str">
        <f>"5054538918"</f>
        <v>5054538918</v>
      </c>
      <c r="F1261" t="str">
        <f>"CONTRACT#4457471"</f>
        <v>CONTRACT#4457471</v>
      </c>
      <c r="G1261" s="3">
        <v>2606.38</v>
      </c>
      <c r="H1261" t="str">
        <f t="shared" si="10"/>
        <v>CONTRACT#4457471</v>
      </c>
    </row>
    <row r="1262" spans="5:8" x14ac:dyDescent="0.25">
      <c r="E1262" t="str">
        <f>""</f>
        <v/>
      </c>
      <c r="F1262" t="str">
        <f>""</f>
        <v/>
      </c>
      <c r="H1262" t="str">
        <f t="shared" si="10"/>
        <v>CONTRACT#4457471</v>
      </c>
    </row>
    <row r="1263" spans="5:8" x14ac:dyDescent="0.25">
      <c r="E1263" t="str">
        <f>""</f>
        <v/>
      </c>
      <c r="F1263" t="str">
        <f>""</f>
        <v/>
      </c>
      <c r="H1263" t="str">
        <f t="shared" si="10"/>
        <v>CONTRACT#4457471</v>
      </c>
    </row>
    <row r="1264" spans="5:8" x14ac:dyDescent="0.25">
      <c r="E1264" t="str">
        <f>""</f>
        <v/>
      </c>
      <c r="F1264" t="str">
        <f>""</f>
        <v/>
      </c>
      <c r="H1264" t="str">
        <f t="shared" si="10"/>
        <v>CONTRACT#4457471</v>
      </c>
    </row>
    <row r="1265" spans="5:8" x14ac:dyDescent="0.25">
      <c r="E1265" t="str">
        <f>""</f>
        <v/>
      </c>
      <c r="F1265" t="str">
        <f>""</f>
        <v/>
      </c>
      <c r="H1265" t="str">
        <f t="shared" si="10"/>
        <v>CONTRACT#4457471</v>
      </c>
    </row>
    <row r="1266" spans="5:8" x14ac:dyDescent="0.25">
      <c r="E1266" t="str">
        <f>""</f>
        <v/>
      </c>
      <c r="F1266" t="str">
        <f>""</f>
        <v/>
      </c>
      <c r="H1266" t="str">
        <f t="shared" si="10"/>
        <v>CONTRACT#4457471</v>
      </c>
    </row>
    <row r="1267" spans="5:8" x14ac:dyDescent="0.25">
      <c r="E1267" t="str">
        <f>""</f>
        <v/>
      </c>
      <c r="F1267" t="str">
        <f>""</f>
        <v/>
      </c>
      <c r="H1267" t="str">
        <f t="shared" si="10"/>
        <v>CONTRACT#4457471</v>
      </c>
    </row>
    <row r="1268" spans="5:8" x14ac:dyDescent="0.25">
      <c r="E1268" t="str">
        <f>""</f>
        <v/>
      </c>
      <c r="F1268" t="str">
        <f>""</f>
        <v/>
      </c>
      <c r="H1268" t="str">
        <f t="shared" si="10"/>
        <v>CONTRACT#4457471</v>
      </c>
    </row>
    <row r="1269" spans="5:8" x14ac:dyDescent="0.25">
      <c r="E1269" t="str">
        <f>""</f>
        <v/>
      </c>
      <c r="F1269" t="str">
        <f>""</f>
        <v/>
      </c>
      <c r="H1269" t="str">
        <f t="shared" si="10"/>
        <v>CONTRACT#4457471</v>
      </c>
    </row>
    <row r="1270" spans="5:8" x14ac:dyDescent="0.25">
      <c r="E1270" t="str">
        <f>""</f>
        <v/>
      </c>
      <c r="F1270" t="str">
        <f>""</f>
        <v/>
      </c>
      <c r="H1270" t="str">
        <f t="shared" si="10"/>
        <v>CONTRACT#4457471</v>
      </c>
    </row>
    <row r="1271" spans="5:8" x14ac:dyDescent="0.25">
      <c r="E1271" t="str">
        <f>""</f>
        <v/>
      </c>
      <c r="F1271" t="str">
        <f>""</f>
        <v/>
      </c>
      <c r="H1271" t="str">
        <f t="shared" si="10"/>
        <v>CONTRACT#4457471</v>
      </c>
    </row>
    <row r="1272" spans="5:8" x14ac:dyDescent="0.25">
      <c r="E1272" t="str">
        <f>""</f>
        <v/>
      </c>
      <c r="F1272" t="str">
        <f>""</f>
        <v/>
      </c>
      <c r="H1272" t="str">
        <f t="shared" si="10"/>
        <v>CONTRACT#4457471</v>
      </c>
    </row>
    <row r="1273" spans="5:8" x14ac:dyDescent="0.25">
      <c r="E1273" t="str">
        <f>""</f>
        <v/>
      </c>
      <c r="F1273" t="str">
        <f>""</f>
        <v/>
      </c>
      <c r="H1273" t="str">
        <f t="shared" si="10"/>
        <v>CONTRACT#4457471</v>
      </c>
    </row>
    <row r="1274" spans="5:8" x14ac:dyDescent="0.25">
      <c r="E1274" t="str">
        <f>""</f>
        <v/>
      </c>
      <c r="F1274" t="str">
        <f>""</f>
        <v/>
      </c>
      <c r="H1274" t="str">
        <f t="shared" si="10"/>
        <v>CONTRACT#4457471</v>
      </c>
    </row>
    <row r="1275" spans="5:8" x14ac:dyDescent="0.25">
      <c r="E1275" t="str">
        <f>""</f>
        <v/>
      </c>
      <c r="F1275" t="str">
        <f>""</f>
        <v/>
      </c>
      <c r="H1275" t="str">
        <f t="shared" si="10"/>
        <v>CONTRACT#4457471</v>
      </c>
    </row>
    <row r="1276" spans="5:8" x14ac:dyDescent="0.25">
      <c r="E1276" t="str">
        <f>""</f>
        <v/>
      </c>
      <c r="F1276" t="str">
        <f>""</f>
        <v/>
      </c>
      <c r="H1276" t="str">
        <f t="shared" si="10"/>
        <v>CONTRACT#4457471</v>
      </c>
    </row>
    <row r="1277" spans="5:8" x14ac:dyDescent="0.25">
      <c r="E1277" t="str">
        <f>""</f>
        <v/>
      </c>
      <c r="F1277" t="str">
        <f>""</f>
        <v/>
      </c>
      <c r="H1277" t="str">
        <f t="shared" si="10"/>
        <v>CONTRACT#4457471</v>
      </c>
    </row>
    <row r="1278" spans="5:8" x14ac:dyDescent="0.25">
      <c r="E1278" t="str">
        <f>""</f>
        <v/>
      </c>
      <c r="F1278" t="str">
        <f>""</f>
        <v/>
      </c>
      <c r="H1278" t="str">
        <f t="shared" si="10"/>
        <v>CONTRACT#4457471</v>
      </c>
    </row>
    <row r="1279" spans="5:8" x14ac:dyDescent="0.25">
      <c r="E1279" t="str">
        <f>""</f>
        <v/>
      </c>
      <c r="F1279" t="str">
        <f>""</f>
        <v/>
      </c>
      <c r="H1279" t="str">
        <f t="shared" si="10"/>
        <v>CONTRACT#4457471</v>
      </c>
    </row>
    <row r="1280" spans="5:8" x14ac:dyDescent="0.25">
      <c r="E1280" t="str">
        <f>""</f>
        <v/>
      </c>
      <c r="F1280" t="str">
        <f>""</f>
        <v/>
      </c>
      <c r="H1280" t="str">
        <f t="shared" si="10"/>
        <v>CONTRACT#4457471</v>
      </c>
    </row>
    <row r="1281" spans="1:8" x14ac:dyDescent="0.25">
      <c r="E1281" t="str">
        <f>""</f>
        <v/>
      </c>
      <c r="F1281" t="str">
        <f>""</f>
        <v/>
      </c>
      <c r="H1281" t="str">
        <f t="shared" si="10"/>
        <v>CONTRACT#4457471</v>
      </c>
    </row>
    <row r="1282" spans="1:8" x14ac:dyDescent="0.25">
      <c r="E1282" t="str">
        <f>""</f>
        <v/>
      </c>
      <c r="F1282" t="str">
        <f>""</f>
        <v/>
      </c>
      <c r="H1282" t="str">
        <f t="shared" si="10"/>
        <v>CONTRACT#4457471</v>
      </c>
    </row>
    <row r="1283" spans="1:8" x14ac:dyDescent="0.25">
      <c r="E1283" t="str">
        <f>""</f>
        <v/>
      </c>
      <c r="F1283" t="str">
        <f>""</f>
        <v/>
      </c>
      <c r="H1283" t="str">
        <f t="shared" si="10"/>
        <v>CONTRACT#4457471</v>
      </c>
    </row>
    <row r="1284" spans="1:8" x14ac:dyDescent="0.25">
      <c r="E1284" t="str">
        <f>""</f>
        <v/>
      </c>
      <c r="F1284" t="str">
        <f>""</f>
        <v/>
      </c>
      <c r="H1284" t="str">
        <f t="shared" si="10"/>
        <v>CONTRACT#4457471</v>
      </c>
    </row>
    <row r="1285" spans="1:8" x14ac:dyDescent="0.25">
      <c r="E1285" t="str">
        <f>""</f>
        <v/>
      </c>
      <c r="F1285" t="str">
        <f>""</f>
        <v/>
      </c>
      <c r="H1285" t="str">
        <f t="shared" si="10"/>
        <v>CONTRACT#4457471</v>
      </c>
    </row>
    <row r="1286" spans="1:8" x14ac:dyDescent="0.25">
      <c r="E1286" t="str">
        <f>""</f>
        <v/>
      </c>
      <c r="F1286" t="str">
        <f>""</f>
        <v/>
      </c>
      <c r="H1286" t="str">
        <f t="shared" si="10"/>
        <v>CONTRACT#4457471</v>
      </c>
    </row>
    <row r="1287" spans="1:8" x14ac:dyDescent="0.25">
      <c r="E1287" t="str">
        <f>""</f>
        <v/>
      </c>
      <c r="F1287" t="str">
        <f>""</f>
        <v/>
      </c>
      <c r="H1287" t="str">
        <f t="shared" si="10"/>
        <v>CONTRACT#4457471</v>
      </c>
    </row>
    <row r="1288" spans="1:8" x14ac:dyDescent="0.25">
      <c r="E1288" t="str">
        <f>""</f>
        <v/>
      </c>
      <c r="F1288" t="str">
        <f>""</f>
        <v/>
      </c>
      <c r="H1288" t="str">
        <f t="shared" si="10"/>
        <v>CONTRACT#4457471</v>
      </c>
    </row>
    <row r="1289" spans="1:8" x14ac:dyDescent="0.25">
      <c r="E1289" t="str">
        <f>""</f>
        <v/>
      </c>
      <c r="F1289" t="str">
        <f>""</f>
        <v/>
      </c>
      <c r="H1289" t="str">
        <f t="shared" ref="H1289:H1294" si="11">"CONTRACT#4457471"</f>
        <v>CONTRACT#4457471</v>
      </c>
    </row>
    <row r="1290" spans="1:8" x14ac:dyDescent="0.25">
      <c r="E1290" t="str">
        <f>""</f>
        <v/>
      </c>
      <c r="F1290" t="str">
        <f>""</f>
        <v/>
      </c>
      <c r="H1290" t="str">
        <f t="shared" si="11"/>
        <v>CONTRACT#4457471</v>
      </c>
    </row>
    <row r="1291" spans="1:8" x14ac:dyDescent="0.25">
      <c r="E1291" t="str">
        <f>""</f>
        <v/>
      </c>
      <c r="F1291" t="str">
        <f>""</f>
        <v/>
      </c>
      <c r="H1291" t="str">
        <f t="shared" si="11"/>
        <v>CONTRACT#4457471</v>
      </c>
    </row>
    <row r="1292" spans="1:8" x14ac:dyDescent="0.25">
      <c r="E1292" t="str">
        <f>""</f>
        <v/>
      </c>
      <c r="F1292" t="str">
        <f>""</f>
        <v/>
      </c>
      <c r="H1292" t="str">
        <f t="shared" si="11"/>
        <v>CONTRACT#4457471</v>
      </c>
    </row>
    <row r="1293" spans="1:8" x14ac:dyDescent="0.25">
      <c r="E1293" t="str">
        <f>""</f>
        <v/>
      </c>
      <c r="F1293" t="str">
        <f>""</f>
        <v/>
      </c>
      <c r="H1293" t="str">
        <f t="shared" si="11"/>
        <v>CONTRACT#4457471</v>
      </c>
    </row>
    <row r="1294" spans="1:8" x14ac:dyDescent="0.25">
      <c r="E1294" t="str">
        <f>""</f>
        <v/>
      </c>
      <c r="F1294" t="str">
        <f>""</f>
        <v/>
      </c>
      <c r="H1294" t="str">
        <f t="shared" si="11"/>
        <v>CONTRACT#4457471</v>
      </c>
    </row>
    <row r="1295" spans="1:8" x14ac:dyDescent="0.25">
      <c r="A1295" t="s">
        <v>442</v>
      </c>
      <c r="B1295">
        <v>999999</v>
      </c>
      <c r="C1295" s="2">
        <v>55.96</v>
      </c>
      <c r="D1295" s="1">
        <v>43383</v>
      </c>
      <c r="E1295" t="str">
        <f>"I012420"</f>
        <v>I012420</v>
      </c>
      <c r="F1295" t="str">
        <f>"URETHANE/PCT#3"</f>
        <v>URETHANE/PCT#3</v>
      </c>
      <c r="G1295" s="3">
        <v>55.96</v>
      </c>
      <c r="H1295" t="str">
        <f>"URETHANE/PCT#3"</f>
        <v>URETHANE/PCT#3</v>
      </c>
    </row>
    <row r="1296" spans="1:8" x14ac:dyDescent="0.25">
      <c r="A1296" t="s">
        <v>443</v>
      </c>
      <c r="B1296">
        <v>999999</v>
      </c>
      <c r="C1296" s="2">
        <v>900</v>
      </c>
      <c r="D1296" s="1">
        <v>43396</v>
      </c>
      <c r="E1296" t="str">
        <f>"BCSOSEP18"</f>
        <v>BCSOSEP18</v>
      </c>
      <c r="F1296" t="str">
        <f>"INV BCSOSEP18"</f>
        <v>INV BCSOSEP18</v>
      </c>
      <c r="G1296" s="3">
        <v>900</v>
      </c>
      <c r="H1296" t="str">
        <f>"INV BCSOSEP18"</f>
        <v>INV BCSOSEP18</v>
      </c>
    </row>
    <row r="1297" spans="1:9" x14ac:dyDescent="0.25">
      <c r="A1297" t="s">
        <v>444</v>
      </c>
      <c r="B1297">
        <v>79089</v>
      </c>
      <c r="C1297" s="2">
        <v>143.03</v>
      </c>
      <c r="D1297" s="1">
        <v>43382</v>
      </c>
      <c r="E1297" t="str">
        <f>"4420555"</f>
        <v>4420555</v>
      </c>
      <c r="F1297" t="str">
        <f>"CUST#90564/ORD#2408617"</f>
        <v>CUST#90564/ORD#2408617</v>
      </c>
      <c r="G1297" s="3">
        <v>143.03</v>
      </c>
      <c r="H1297" t="str">
        <f>"CUST#90564/ORD#2408617"</f>
        <v>CUST#90564/ORD#2408617</v>
      </c>
    </row>
    <row r="1298" spans="1:9" x14ac:dyDescent="0.25">
      <c r="A1298" t="s">
        <v>445</v>
      </c>
      <c r="B1298">
        <v>79090</v>
      </c>
      <c r="C1298" s="2">
        <v>174</v>
      </c>
      <c r="D1298" s="1">
        <v>43382</v>
      </c>
      <c r="E1298" t="str">
        <f>"201810024103"</f>
        <v>201810024103</v>
      </c>
      <c r="F1298" t="str">
        <f>"LPHCP RECORDING FEES"</f>
        <v>LPHCP RECORDING FEES</v>
      </c>
      <c r="G1298" s="3">
        <v>174</v>
      </c>
      <c r="H1298" t="str">
        <f>"LPHCP RECORDING FEES"</f>
        <v>LPHCP RECORDING FEES</v>
      </c>
    </row>
    <row r="1299" spans="1:9" x14ac:dyDescent="0.25">
      <c r="A1299" t="s">
        <v>445</v>
      </c>
      <c r="B1299">
        <v>79091</v>
      </c>
      <c r="C1299" s="2">
        <v>61</v>
      </c>
      <c r="D1299" s="1">
        <v>43382</v>
      </c>
      <c r="E1299" t="str">
        <f>"201810034197"</f>
        <v>201810034197</v>
      </c>
      <c r="F1299" t="str">
        <f>"DEVELOPMENT SVCS RECORD FEES"</f>
        <v>DEVELOPMENT SVCS RECORD FEES</v>
      </c>
      <c r="G1299" s="3">
        <v>61</v>
      </c>
      <c r="H1299" t="str">
        <f>"DEVELOPMENT SVCS RECORD FEES"</f>
        <v>DEVELOPMENT SVCS RECORD FEES</v>
      </c>
    </row>
    <row r="1300" spans="1:9" x14ac:dyDescent="0.25">
      <c r="A1300" t="s">
        <v>445</v>
      </c>
      <c r="B1300">
        <v>79293</v>
      </c>
      <c r="C1300" s="2">
        <v>274</v>
      </c>
      <c r="D1300" s="1">
        <v>43395</v>
      </c>
      <c r="E1300" t="str">
        <f>"201810164524"</f>
        <v>201810164524</v>
      </c>
      <c r="F1300" t="str">
        <f>"LPHCP RECORDING FEES"</f>
        <v>LPHCP RECORDING FEES</v>
      </c>
      <c r="G1300" s="3">
        <v>274</v>
      </c>
      <c r="H1300" t="str">
        <f>"LPHCP RECORDING FEES"</f>
        <v>LPHCP RECORDING FEES</v>
      </c>
    </row>
    <row r="1301" spans="1:9" x14ac:dyDescent="0.25">
      <c r="A1301" t="s">
        <v>445</v>
      </c>
      <c r="B1301">
        <v>79294</v>
      </c>
      <c r="C1301" s="2">
        <v>305</v>
      </c>
      <c r="D1301" s="1">
        <v>43395</v>
      </c>
      <c r="E1301" t="str">
        <f>"201810174612"</f>
        <v>201810174612</v>
      </c>
      <c r="F1301" t="str">
        <f>"DEVELOPMENT SVCS RECORDING FEE"</f>
        <v>DEVELOPMENT SVCS RECORDING FEE</v>
      </c>
      <c r="G1301" s="3">
        <v>305</v>
      </c>
      <c r="H1301" t="str">
        <f>"DEVELOPMENT SVCS RECORDING FEE"</f>
        <v>DEVELOPMENT SVCS RECORDING FEE</v>
      </c>
    </row>
    <row r="1302" spans="1:9" x14ac:dyDescent="0.25">
      <c r="A1302" t="s">
        <v>446</v>
      </c>
      <c r="B1302">
        <v>999999</v>
      </c>
      <c r="C1302" s="2">
        <v>170.07</v>
      </c>
      <c r="D1302" s="1">
        <v>43383</v>
      </c>
      <c r="E1302" t="str">
        <f>"201810024141"</f>
        <v>201810024141</v>
      </c>
      <c r="F1302" t="str">
        <f>"INDIGENT HEALTH"</f>
        <v>INDIGENT HEALTH</v>
      </c>
      <c r="G1302" s="3">
        <v>170.07</v>
      </c>
      <c r="H1302" t="str">
        <f>"INDIGENT HEALTH"</f>
        <v>INDIGENT HEALTH</v>
      </c>
    </row>
    <row r="1303" spans="1:9" x14ac:dyDescent="0.25">
      <c r="E1303" t="str">
        <f>""</f>
        <v/>
      </c>
      <c r="F1303" t="str">
        <f>""</f>
        <v/>
      </c>
      <c r="H1303" t="str">
        <f>"INDIGENT HEALTH"</f>
        <v>INDIGENT HEALTH</v>
      </c>
    </row>
    <row r="1304" spans="1:9" x14ac:dyDescent="0.25">
      <c r="A1304" t="s">
        <v>447</v>
      </c>
      <c r="B1304">
        <v>999999</v>
      </c>
      <c r="C1304" s="2">
        <v>980</v>
      </c>
      <c r="D1304" s="1">
        <v>43383</v>
      </c>
      <c r="E1304" t="str">
        <f>"062213"</f>
        <v>062213</v>
      </c>
      <c r="F1304" t="str">
        <f>"Printed Juvenile Casebind"</f>
        <v>Printed Juvenile Casebind</v>
      </c>
      <c r="G1304" s="3">
        <v>980</v>
      </c>
      <c r="H1304" t="str">
        <f>"payment"</f>
        <v>payment</v>
      </c>
    </row>
    <row r="1305" spans="1:9" x14ac:dyDescent="0.25">
      <c r="E1305" t="str">
        <f>""</f>
        <v/>
      </c>
      <c r="F1305" t="str">
        <f>""</f>
        <v/>
      </c>
      <c r="H1305" t="str">
        <f>"Shipping"</f>
        <v>Shipping</v>
      </c>
    </row>
    <row r="1306" spans="1:9" x14ac:dyDescent="0.25">
      <c r="A1306" t="s">
        <v>448</v>
      </c>
      <c r="B1306">
        <v>79092</v>
      </c>
      <c r="C1306" s="2">
        <v>420</v>
      </c>
      <c r="D1306" s="1">
        <v>43382</v>
      </c>
      <c r="E1306" t="str">
        <f>"32662"</f>
        <v>32662</v>
      </c>
      <c r="F1306" t="str">
        <f>"ELECTION SEMINAR-KRISTIN MILES"</f>
        <v>ELECTION SEMINAR-KRISTIN MILES</v>
      </c>
      <c r="G1306" s="3">
        <v>210</v>
      </c>
      <c r="H1306" t="str">
        <f>"ELECTION SEMINAR-KRISTIN MILES"</f>
        <v>ELECTION SEMINAR-KRISTIN MILES</v>
      </c>
    </row>
    <row r="1307" spans="1:9" x14ac:dyDescent="0.25">
      <c r="E1307" t="str">
        <f>"32663"</f>
        <v>32663</v>
      </c>
      <c r="F1307" t="str">
        <f>"ELECT SEMINAR-BRIDGETTE ESCOBE"</f>
        <v>ELECT SEMINAR-BRIDGETTE ESCOBE</v>
      </c>
      <c r="G1307" s="3">
        <v>210</v>
      </c>
      <c r="H1307" t="str">
        <f>"ELECT SEMINAR-BRIDGETTE ESCOBE"</f>
        <v>ELECT SEMINAR-BRIDGETTE ESCOBE</v>
      </c>
    </row>
    <row r="1308" spans="1:9" x14ac:dyDescent="0.25">
      <c r="A1308" t="s">
        <v>449</v>
      </c>
      <c r="B1308">
        <v>79093</v>
      </c>
      <c r="C1308" s="2">
        <v>3000</v>
      </c>
      <c r="D1308" s="1">
        <v>43382</v>
      </c>
      <c r="E1308" t="str">
        <f>"201809253930"</f>
        <v>201809253930</v>
      </c>
      <c r="F1308" t="str">
        <f>"2018-2019 REQUESTED FUNDS"</f>
        <v>2018-2019 REQUESTED FUNDS</v>
      </c>
      <c r="G1308" s="3">
        <v>3000</v>
      </c>
      <c r="H1308" t="str">
        <f>"2019 REQUESTED FUNDS"</f>
        <v>2019 REQUESTED FUNDS</v>
      </c>
    </row>
    <row r="1309" spans="1:9" x14ac:dyDescent="0.25">
      <c r="A1309" t="s">
        <v>450</v>
      </c>
      <c r="B1309">
        <v>79094</v>
      </c>
      <c r="C1309" s="2">
        <v>1043</v>
      </c>
      <c r="D1309" s="1">
        <v>43382</v>
      </c>
      <c r="E1309" t="str">
        <f>"201810024146"</f>
        <v>201810024146</v>
      </c>
      <c r="F1309" t="str">
        <f>"INDIGENT HEALTH"</f>
        <v>INDIGENT HEALTH</v>
      </c>
      <c r="G1309" s="3">
        <v>1043</v>
      </c>
      <c r="H1309" t="str">
        <f>"INDIGENT HEALTH"</f>
        <v>INDIGENT HEALTH</v>
      </c>
    </row>
    <row r="1310" spans="1:9" x14ac:dyDescent="0.25">
      <c r="A1310" t="s">
        <v>450</v>
      </c>
      <c r="B1310">
        <v>79295</v>
      </c>
      <c r="C1310" s="2">
        <v>31555</v>
      </c>
      <c r="D1310" s="1">
        <v>43395</v>
      </c>
      <c r="E1310" t="str">
        <f>"201810174620"</f>
        <v>201810174620</v>
      </c>
      <c r="F1310" t="str">
        <f>"3902*98041*1 4425*98041*1 4437"</f>
        <v>3902*98041*1 4425*98041*1 4437</v>
      </c>
      <c r="G1310" s="3">
        <v>31555</v>
      </c>
      <c r="H1310" t="str">
        <f>"3902*98041*1 4425*98041*1 4437"</f>
        <v>3902*98041*1 4425*98041*1 4437</v>
      </c>
    </row>
    <row r="1311" spans="1:9" x14ac:dyDescent="0.25">
      <c r="A1311" t="s">
        <v>451</v>
      </c>
      <c r="B1311">
        <v>79095</v>
      </c>
      <c r="C1311" s="2">
        <v>37</v>
      </c>
      <c r="D1311" s="1">
        <v>43382</v>
      </c>
      <c r="E1311" t="s">
        <v>200</v>
      </c>
      <c r="F1311" t="s">
        <v>452</v>
      </c>
      <c r="G1311" s="3" t="str">
        <f>"RESTITUTION-D. MCCOMB"</f>
        <v>RESTITUTION-D. MCCOMB</v>
      </c>
      <c r="H1311" t="str">
        <f>"210-0000"</f>
        <v>210-0000</v>
      </c>
      <c r="I1311" t="str">
        <f>""</f>
        <v/>
      </c>
    </row>
    <row r="1312" spans="1:9" x14ac:dyDescent="0.25">
      <c r="A1312" t="s">
        <v>453</v>
      </c>
      <c r="B1312">
        <v>79296</v>
      </c>
      <c r="C1312" s="2">
        <v>384.25</v>
      </c>
      <c r="D1312" s="1">
        <v>43395</v>
      </c>
      <c r="E1312" t="str">
        <f>"201810174603"</f>
        <v>201810174603</v>
      </c>
      <c r="F1312" t="str">
        <f>"ACCT#20147/ANIMAL SERVICES"</f>
        <v>ACCT#20147/ANIMAL SERVICES</v>
      </c>
      <c r="G1312" s="3">
        <v>384.25</v>
      </c>
    </row>
    <row r="1313" spans="1:8" x14ac:dyDescent="0.25">
      <c r="A1313" t="s">
        <v>454</v>
      </c>
      <c r="B1313">
        <v>79096</v>
      </c>
      <c r="C1313" s="2">
        <v>11.04</v>
      </c>
      <c r="D1313" s="1">
        <v>43382</v>
      </c>
      <c r="E1313" t="str">
        <f>"9438-8"</f>
        <v>9438-8</v>
      </c>
      <c r="F1313" t="str">
        <f>"ACCT#4220-2556-9/GENERAL SVCS"</f>
        <v>ACCT#4220-2556-9/GENERAL SVCS</v>
      </c>
      <c r="G1313" s="3">
        <v>11.04</v>
      </c>
      <c r="H1313" t="str">
        <f>"ACCT#4220-2556-9/GENERAL SVCS"</f>
        <v>ACCT#4220-2556-9/GENERAL SVCS</v>
      </c>
    </row>
    <row r="1314" spans="1:8" x14ac:dyDescent="0.25">
      <c r="A1314" t="s">
        <v>455</v>
      </c>
      <c r="B1314">
        <v>79097</v>
      </c>
      <c r="C1314" s="2">
        <v>328</v>
      </c>
      <c r="D1314" s="1">
        <v>43382</v>
      </c>
      <c r="E1314" t="str">
        <f>"GB00298265"</f>
        <v>GB00298265</v>
      </c>
      <c r="F1314" t="str">
        <f>"Adobe License"</f>
        <v>Adobe License</v>
      </c>
      <c r="G1314" s="3">
        <v>328</v>
      </c>
      <c r="H1314" t="str">
        <f>"Payment"</f>
        <v>Payment</v>
      </c>
    </row>
    <row r="1315" spans="1:8" x14ac:dyDescent="0.25">
      <c r="A1315" t="s">
        <v>455</v>
      </c>
      <c r="B1315">
        <v>79297</v>
      </c>
      <c r="C1315" s="2">
        <v>320</v>
      </c>
      <c r="D1315" s="1">
        <v>43395</v>
      </c>
      <c r="E1315" t="str">
        <f>"GB00300771"</f>
        <v>GB00300771</v>
      </c>
      <c r="F1315" t="str">
        <f>"Network Cables"</f>
        <v>Network Cables</v>
      </c>
      <c r="G1315" s="3">
        <v>320</v>
      </c>
      <c r="H1315" t="str">
        <f>"Part#: MM25-PA7P-06"</f>
        <v>Part#: MM25-PA7P-06</v>
      </c>
    </row>
    <row r="1316" spans="1:8" x14ac:dyDescent="0.25">
      <c r="E1316" t="str">
        <f>""</f>
        <v/>
      </c>
      <c r="F1316" t="str">
        <f>""</f>
        <v/>
      </c>
      <c r="H1316" t="str">
        <f>"MM15-PA7P-06"</f>
        <v>MM15-PA7P-06</v>
      </c>
    </row>
    <row r="1317" spans="1:8" x14ac:dyDescent="0.25">
      <c r="E1317" t="str">
        <f>""</f>
        <v/>
      </c>
      <c r="F1317" t="str">
        <f>""</f>
        <v/>
      </c>
      <c r="H1317" t="str">
        <f>"Part#: MM10-PA7P-06"</f>
        <v>Part#: MM10-PA7P-06</v>
      </c>
    </row>
    <row r="1318" spans="1:8" x14ac:dyDescent="0.25">
      <c r="A1318" t="s">
        <v>456</v>
      </c>
      <c r="B1318">
        <v>79098</v>
      </c>
      <c r="C1318" s="2">
        <v>105.97</v>
      </c>
      <c r="D1318" s="1">
        <v>43382</v>
      </c>
      <c r="E1318" t="str">
        <f>"886807"</f>
        <v>886807</v>
      </c>
      <c r="F1318" t="str">
        <f>"ACCT#550615/TRANS OIL PRESS"</f>
        <v>ACCT#550615/TRANS OIL PRESS</v>
      </c>
      <c r="G1318" s="3">
        <v>105.97</v>
      </c>
      <c r="H1318" t="str">
        <f>"ACCT#550615/TRANS OIL PRESS"</f>
        <v>ACCT#550615/TRANS OIL PRESS</v>
      </c>
    </row>
    <row r="1319" spans="1:8" x14ac:dyDescent="0.25">
      <c r="A1319" t="s">
        <v>457</v>
      </c>
      <c r="B1319">
        <v>79099</v>
      </c>
      <c r="C1319" s="2">
        <v>225</v>
      </c>
      <c r="D1319" s="1">
        <v>43382</v>
      </c>
      <c r="E1319" t="str">
        <f>"723437"</f>
        <v>723437</v>
      </c>
      <c r="F1319" t="str">
        <f>"SHREDDING SVCS"</f>
        <v>SHREDDING SVCS</v>
      </c>
      <c r="G1319" s="3">
        <v>103</v>
      </c>
      <c r="H1319" t="str">
        <f t="shared" ref="H1319:H1324" si="12">"SHREDDING SVCS"</f>
        <v>SHREDDING SVCS</v>
      </c>
    </row>
    <row r="1320" spans="1:8" x14ac:dyDescent="0.25">
      <c r="E1320" t="str">
        <f>""</f>
        <v/>
      </c>
      <c r="F1320" t="str">
        <f>""</f>
        <v/>
      </c>
      <c r="H1320" t="str">
        <f t="shared" si="12"/>
        <v>SHREDDING SVCS</v>
      </c>
    </row>
    <row r="1321" spans="1:8" x14ac:dyDescent="0.25">
      <c r="E1321" t="str">
        <f>""</f>
        <v/>
      </c>
      <c r="F1321" t="str">
        <f>""</f>
        <v/>
      </c>
      <c r="H1321" t="str">
        <f t="shared" si="12"/>
        <v>SHREDDING SVCS</v>
      </c>
    </row>
    <row r="1322" spans="1:8" x14ac:dyDescent="0.25">
      <c r="E1322" t="str">
        <f>""</f>
        <v/>
      </c>
      <c r="F1322" t="str">
        <f>""</f>
        <v/>
      </c>
      <c r="H1322" t="str">
        <f t="shared" si="12"/>
        <v>SHREDDING SVCS</v>
      </c>
    </row>
    <row r="1323" spans="1:8" x14ac:dyDescent="0.25">
      <c r="E1323" t="str">
        <f>""</f>
        <v/>
      </c>
      <c r="F1323" t="str">
        <f>""</f>
        <v/>
      </c>
      <c r="H1323" t="str">
        <f t="shared" si="12"/>
        <v>SHREDDING SVCS</v>
      </c>
    </row>
    <row r="1324" spans="1:8" x14ac:dyDescent="0.25">
      <c r="E1324" t="str">
        <f>""</f>
        <v/>
      </c>
      <c r="F1324" t="str">
        <f>""</f>
        <v/>
      </c>
      <c r="H1324" t="str">
        <f t="shared" si="12"/>
        <v>SHREDDING SVCS</v>
      </c>
    </row>
    <row r="1325" spans="1:8" x14ac:dyDescent="0.25">
      <c r="E1325" t="str">
        <f>"8125528814"</f>
        <v>8125528814</v>
      </c>
      <c r="F1325" t="str">
        <f>"INV 8125528814"</f>
        <v>INV 8125528814</v>
      </c>
      <c r="G1325" s="3">
        <v>122</v>
      </c>
      <c r="H1325" t="str">
        <f>"INV 8125528814"</f>
        <v>INV 8125528814</v>
      </c>
    </row>
    <row r="1326" spans="1:8" x14ac:dyDescent="0.25">
      <c r="A1326" t="s">
        <v>458</v>
      </c>
      <c r="B1326">
        <v>79100</v>
      </c>
      <c r="C1326" s="2">
        <v>320</v>
      </c>
      <c r="D1326" s="1">
        <v>43382</v>
      </c>
      <c r="E1326" t="str">
        <f>"928918"</f>
        <v>928918</v>
      </c>
      <c r="F1326" t="str">
        <f>"PUMPED SEPTIC SYSTEM"</f>
        <v>PUMPED SEPTIC SYSTEM</v>
      </c>
      <c r="G1326" s="3">
        <v>320</v>
      </c>
      <c r="H1326" t="str">
        <f>"PUMPED SEPTIC SYSTEM"</f>
        <v>PUMPED SEPTIC SYSTEM</v>
      </c>
    </row>
    <row r="1327" spans="1:8" x14ac:dyDescent="0.25">
      <c r="A1327" t="s">
        <v>459</v>
      </c>
      <c r="B1327">
        <v>79298</v>
      </c>
      <c r="C1327" s="2">
        <v>179</v>
      </c>
      <c r="D1327" s="1">
        <v>43395</v>
      </c>
      <c r="E1327" t="str">
        <f>"11895731"</f>
        <v>11895731</v>
      </c>
      <c r="F1327" t="str">
        <f>"TRAINING FOR EXCEL"</f>
        <v>TRAINING FOR EXCEL</v>
      </c>
      <c r="G1327" s="3">
        <v>179</v>
      </c>
      <c r="H1327" t="str">
        <f>"TRAINING FOR EXCEL"</f>
        <v>TRAINING FOR EXCEL</v>
      </c>
    </row>
    <row r="1328" spans="1:8" x14ac:dyDescent="0.25">
      <c r="A1328" t="s">
        <v>460</v>
      </c>
      <c r="B1328">
        <v>79299</v>
      </c>
      <c r="C1328" s="2">
        <v>20.350000000000001</v>
      </c>
      <c r="D1328" s="1">
        <v>43395</v>
      </c>
      <c r="E1328" t="str">
        <f>"399285  399313"</f>
        <v>399285  399313</v>
      </c>
      <c r="F1328" t="str">
        <f>"STATEMENT#28559/PCT#2"</f>
        <v>STATEMENT#28559/PCT#2</v>
      </c>
      <c r="G1328" s="3">
        <v>20.350000000000001</v>
      </c>
      <c r="H1328" t="str">
        <f>"STATEMENT#28559/PCT#2"</f>
        <v>STATEMENT#28559/PCT#2</v>
      </c>
    </row>
    <row r="1329" spans="1:8" x14ac:dyDescent="0.25">
      <c r="A1329" t="s">
        <v>461</v>
      </c>
      <c r="B1329">
        <v>79300</v>
      </c>
      <c r="C1329" s="2">
        <v>1085.55</v>
      </c>
      <c r="D1329" s="1">
        <v>43395</v>
      </c>
      <c r="E1329" t="str">
        <f>"201810104471"</f>
        <v>201810104471</v>
      </c>
      <c r="F1329" t="str">
        <f>"ACCT#260/PCT#2"</f>
        <v>ACCT#260/PCT#2</v>
      </c>
      <c r="G1329" s="3">
        <v>1085.55</v>
      </c>
      <c r="H1329" t="str">
        <f>"ACCT#260/PCT#2"</f>
        <v>ACCT#260/PCT#2</v>
      </c>
    </row>
    <row r="1330" spans="1:8" x14ac:dyDescent="0.25">
      <c r="A1330" t="s">
        <v>462</v>
      </c>
      <c r="B1330">
        <v>79101</v>
      </c>
      <c r="C1330" s="2">
        <v>2500</v>
      </c>
      <c r="D1330" s="1">
        <v>43382</v>
      </c>
      <c r="E1330" t="str">
        <f>"201810024016"</f>
        <v>201810024016</v>
      </c>
      <c r="F1330" t="str">
        <f>"ALLOCATED FUNDING 2018-2019"</f>
        <v>ALLOCATED FUNDING 2018-2019</v>
      </c>
      <c r="G1330" s="3">
        <v>2500</v>
      </c>
      <c r="H1330" t="str">
        <f>"ALLOCATED FUNDING 2018-2019"</f>
        <v>ALLOCATED FUNDING 2018-2019</v>
      </c>
    </row>
    <row r="1331" spans="1:8" x14ac:dyDescent="0.25">
      <c r="A1331" t="s">
        <v>463</v>
      </c>
      <c r="B1331">
        <v>79102</v>
      </c>
      <c r="C1331" s="2">
        <v>7000</v>
      </c>
      <c r="D1331" s="1">
        <v>43382</v>
      </c>
      <c r="E1331" t="str">
        <f>"201809253931"</f>
        <v>201809253931</v>
      </c>
      <c r="F1331" t="str">
        <f>"PER BUDGET FY 2018-2019"</f>
        <v>PER BUDGET FY 2018-2019</v>
      </c>
      <c r="G1331" s="3">
        <v>7000</v>
      </c>
      <c r="H1331" t="str">
        <f>"PER BUDGET FY 2018-2019"</f>
        <v>PER BUDGET FY 2018-2019</v>
      </c>
    </row>
    <row r="1332" spans="1:8" x14ac:dyDescent="0.25">
      <c r="A1332" t="s">
        <v>464</v>
      </c>
      <c r="B1332">
        <v>79301</v>
      </c>
      <c r="C1332" s="2">
        <v>12.43</v>
      </c>
      <c r="D1332" s="1">
        <v>43395</v>
      </c>
      <c r="E1332" t="str">
        <f>"201810164526"</f>
        <v>201810164526</v>
      </c>
      <c r="F1332" t="str">
        <f>"ARREST FEES 07/01-09/30"</f>
        <v>ARREST FEES 07/01-09/30</v>
      </c>
      <c r="G1332" s="3">
        <v>12.43</v>
      </c>
      <c r="H1332" t="str">
        <f>"ARREST FEES 07/01-09/30"</f>
        <v>ARREST FEES 07/01-09/30</v>
      </c>
    </row>
    <row r="1333" spans="1:8" x14ac:dyDescent="0.25">
      <c r="A1333" t="s">
        <v>465</v>
      </c>
      <c r="B1333">
        <v>79103</v>
      </c>
      <c r="C1333" s="2">
        <v>6500</v>
      </c>
      <c r="D1333" s="1">
        <v>43382</v>
      </c>
      <c r="E1333" t="str">
        <f>"000464"</f>
        <v>000464</v>
      </c>
      <c r="F1333" t="str">
        <f>"SOTWARE/ELECTIONS"</f>
        <v>SOTWARE/ELECTIONS</v>
      </c>
      <c r="G1333" s="3">
        <v>6500</v>
      </c>
      <c r="H1333" t="str">
        <f>"SOTWARE/ELECTIONS"</f>
        <v>SOTWARE/ELECTIONS</v>
      </c>
    </row>
    <row r="1334" spans="1:8" x14ac:dyDescent="0.25">
      <c r="A1334" t="s">
        <v>466</v>
      </c>
      <c r="B1334">
        <v>79302</v>
      </c>
      <c r="C1334" s="2">
        <v>2218</v>
      </c>
      <c r="D1334" s="1">
        <v>43395</v>
      </c>
      <c r="E1334" t="str">
        <f>"IN398495"</f>
        <v>IN398495</v>
      </c>
      <c r="F1334" t="str">
        <f>"Engineer's Toolset"</f>
        <v>Engineer's Toolset</v>
      </c>
      <c r="G1334" s="3">
        <v>2218</v>
      </c>
      <c r="H1334" t="str">
        <f>"18182"</f>
        <v>18182</v>
      </c>
    </row>
    <row r="1335" spans="1:8" x14ac:dyDescent="0.25">
      <c r="E1335" t="str">
        <f>""</f>
        <v/>
      </c>
      <c r="F1335" t="str">
        <f>""</f>
        <v/>
      </c>
      <c r="H1335" t="str">
        <f>"18198"</f>
        <v>18198</v>
      </c>
    </row>
    <row r="1336" spans="1:8" x14ac:dyDescent="0.25">
      <c r="E1336" t="str">
        <f>""</f>
        <v/>
      </c>
      <c r="F1336" t="str">
        <f>""</f>
        <v/>
      </c>
      <c r="H1336" t="str">
        <f>"18263"</f>
        <v>18263</v>
      </c>
    </row>
    <row r="1337" spans="1:8" x14ac:dyDescent="0.25">
      <c r="E1337" t="str">
        <f>""</f>
        <v/>
      </c>
      <c r="F1337" t="str">
        <f>""</f>
        <v/>
      </c>
      <c r="H1337" t="str">
        <f>"18192"</f>
        <v>18192</v>
      </c>
    </row>
    <row r="1338" spans="1:8" x14ac:dyDescent="0.25">
      <c r="A1338" t="s">
        <v>467</v>
      </c>
      <c r="B1338">
        <v>79104</v>
      </c>
      <c r="C1338" s="2">
        <v>869.9</v>
      </c>
      <c r="D1338" s="1">
        <v>43382</v>
      </c>
      <c r="E1338" t="str">
        <f>"63261024"</f>
        <v>63261024</v>
      </c>
      <c r="F1338" t="str">
        <f>"CUST#52157/PCT#3"</f>
        <v>CUST#52157/PCT#3</v>
      </c>
      <c r="G1338" s="3">
        <v>869.9</v>
      </c>
      <c r="H1338" t="str">
        <f>"CUST#52157/PCT#3"</f>
        <v>CUST#52157/PCT#3</v>
      </c>
    </row>
    <row r="1339" spans="1:8" x14ac:dyDescent="0.25">
      <c r="A1339" t="s">
        <v>467</v>
      </c>
      <c r="B1339">
        <v>79303</v>
      </c>
      <c r="C1339" s="2">
        <v>2986.48</v>
      </c>
      <c r="D1339" s="1">
        <v>43395</v>
      </c>
      <c r="E1339" t="str">
        <f>"63263980"</f>
        <v>63263980</v>
      </c>
      <c r="F1339" t="str">
        <f>"CUST#52157/PCT#4"</f>
        <v>CUST#52157/PCT#4</v>
      </c>
      <c r="G1339" s="3">
        <v>279.8</v>
      </c>
      <c r="H1339" t="str">
        <f>"CUST#52157/PCT#4"</f>
        <v>CUST#52157/PCT#4</v>
      </c>
    </row>
    <row r="1340" spans="1:8" x14ac:dyDescent="0.25">
      <c r="E1340" t="str">
        <f>"63264355"</f>
        <v>63264355</v>
      </c>
      <c r="F1340" t="str">
        <f>"CUST#52157/PCT#4"</f>
        <v>CUST#52157/PCT#4</v>
      </c>
      <c r="G1340" s="3">
        <v>2586.7800000000002</v>
      </c>
      <c r="H1340" t="str">
        <f>"CUST#52157/PCT#4"</f>
        <v>CUST#52157/PCT#4</v>
      </c>
    </row>
    <row r="1341" spans="1:8" x14ac:dyDescent="0.25">
      <c r="E1341" t="str">
        <f>"63264490"</f>
        <v>63264490</v>
      </c>
      <c r="F1341" t="str">
        <f>"CUST#52157/PCT#4"</f>
        <v>CUST#52157/PCT#4</v>
      </c>
      <c r="G1341" s="3">
        <v>119.9</v>
      </c>
      <c r="H1341" t="str">
        <f>"CUST#52157/PCT#4"</f>
        <v>CUST#52157/PCT#4</v>
      </c>
    </row>
    <row r="1342" spans="1:8" x14ac:dyDescent="0.25">
      <c r="A1342" t="s">
        <v>468</v>
      </c>
      <c r="B1342">
        <v>79105</v>
      </c>
      <c r="C1342" s="2">
        <v>70.27</v>
      </c>
      <c r="D1342" s="1">
        <v>43382</v>
      </c>
      <c r="E1342" t="str">
        <f>"9604456 091318"</f>
        <v>9604456 091318</v>
      </c>
      <c r="F1342" t="str">
        <f>"ACCT#46668439604456/JP#2"</f>
        <v>ACCT#46668439604456/JP#2</v>
      </c>
      <c r="G1342" s="3">
        <v>70.27</v>
      </c>
      <c r="H1342" t="str">
        <f>"ACCT#46668439604456/JP#2"</f>
        <v>ACCT#46668439604456/JP#2</v>
      </c>
    </row>
    <row r="1343" spans="1:8" x14ac:dyDescent="0.25">
      <c r="A1343" t="s">
        <v>468</v>
      </c>
      <c r="B1343">
        <v>79304</v>
      </c>
      <c r="C1343" s="2">
        <v>86.64</v>
      </c>
      <c r="D1343" s="1">
        <v>43395</v>
      </c>
      <c r="E1343" t="str">
        <f>"11969495 092818"</f>
        <v>11969495 092818</v>
      </c>
      <c r="F1343" t="str">
        <f>"ACCT#556850411969495/DA'S OFF"</f>
        <v>ACCT#556850411969495/DA'S OFF</v>
      </c>
      <c r="G1343" s="3">
        <v>86.64</v>
      </c>
      <c r="H1343" t="str">
        <f>"ACCT#556850411969495/DA'S OFF"</f>
        <v>ACCT#556850411969495/DA'S OFF</v>
      </c>
    </row>
    <row r="1344" spans="1:8" x14ac:dyDescent="0.25">
      <c r="A1344" t="s">
        <v>469</v>
      </c>
      <c r="B1344">
        <v>79106</v>
      </c>
      <c r="C1344" s="2">
        <v>105.66</v>
      </c>
      <c r="D1344" s="1">
        <v>43382</v>
      </c>
      <c r="E1344" t="str">
        <f>"201810024147"</f>
        <v>201810024147</v>
      </c>
      <c r="F1344" t="str">
        <f>"INDIGENT HEALTH"</f>
        <v>INDIGENT HEALTH</v>
      </c>
      <c r="G1344" s="3">
        <v>105.66</v>
      </c>
      <c r="H1344" t="str">
        <f>"INDIGENT HEALTH"</f>
        <v>INDIGENT HEALTH</v>
      </c>
    </row>
    <row r="1345" spans="1:8" x14ac:dyDescent="0.25">
      <c r="A1345" t="s">
        <v>470</v>
      </c>
      <c r="B1345">
        <v>79107</v>
      </c>
      <c r="C1345" s="2">
        <v>3248.57</v>
      </c>
      <c r="D1345" s="1">
        <v>43382</v>
      </c>
      <c r="E1345" t="str">
        <f>"8051421761"</f>
        <v>8051421761</v>
      </c>
      <c r="F1345" t="str">
        <f>"Sum Inv# 8051421761"</f>
        <v>Sum Inv# 8051421761</v>
      </c>
      <c r="G1345" s="3">
        <v>3248.57</v>
      </c>
      <c r="H1345" t="str">
        <f>"Inv# 3390226637"</f>
        <v>Inv# 3390226637</v>
      </c>
    </row>
    <row r="1346" spans="1:8" x14ac:dyDescent="0.25">
      <c r="E1346" t="str">
        <f>""</f>
        <v/>
      </c>
      <c r="F1346" t="str">
        <f>""</f>
        <v/>
      </c>
      <c r="H1346" t="str">
        <f>"Inv# 3390226629"</f>
        <v>Inv# 3390226629</v>
      </c>
    </row>
    <row r="1347" spans="1:8" x14ac:dyDescent="0.25">
      <c r="E1347" t="str">
        <f>""</f>
        <v/>
      </c>
      <c r="F1347" t="str">
        <f>""</f>
        <v/>
      </c>
      <c r="H1347" t="str">
        <f>"Inv# 3390226633"</f>
        <v>Inv# 3390226633</v>
      </c>
    </row>
    <row r="1348" spans="1:8" x14ac:dyDescent="0.25">
      <c r="E1348" t="str">
        <f>""</f>
        <v/>
      </c>
      <c r="F1348" t="str">
        <f>""</f>
        <v/>
      </c>
      <c r="H1348" t="str">
        <f>"Inv# 3390226634"</f>
        <v>Inv# 3390226634</v>
      </c>
    </row>
    <row r="1349" spans="1:8" x14ac:dyDescent="0.25">
      <c r="E1349" t="str">
        <f>""</f>
        <v/>
      </c>
      <c r="F1349" t="str">
        <f>""</f>
        <v/>
      </c>
      <c r="H1349" t="str">
        <f>"Inv# 3390226636"</f>
        <v>Inv# 3390226636</v>
      </c>
    </row>
    <row r="1350" spans="1:8" x14ac:dyDescent="0.25">
      <c r="E1350" t="str">
        <f>""</f>
        <v/>
      </c>
      <c r="F1350" t="str">
        <f>""</f>
        <v/>
      </c>
      <c r="H1350" t="str">
        <f>"Inv# 3390226643"</f>
        <v>Inv# 3390226643</v>
      </c>
    </row>
    <row r="1351" spans="1:8" x14ac:dyDescent="0.25">
      <c r="E1351" t="str">
        <f>""</f>
        <v/>
      </c>
      <c r="F1351" t="str">
        <f>""</f>
        <v/>
      </c>
      <c r="H1351" t="str">
        <f>"Inv# 3390226638"</f>
        <v>Inv# 3390226638</v>
      </c>
    </row>
    <row r="1352" spans="1:8" x14ac:dyDescent="0.25">
      <c r="E1352" t="str">
        <f>""</f>
        <v/>
      </c>
      <c r="F1352" t="str">
        <f>""</f>
        <v/>
      </c>
      <c r="H1352" t="str">
        <f>"Inv# 3390226640"</f>
        <v>Inv# 3390226640</v>
      </c>
    </row>
    <row r="1353" spans="1:8" x14ac:dyDescent="0.25">
      <c r="E1353" t="str">
        <f>""</f>
        <v/>
      </c>
      <c r="F1353" t="str">
        <f>""</f>
        <v/>
      </c>
      <c r="H1353" t="str">
        <f>"Inv# 3390226642"</f>
        <v>Inv# 3390226642</v>
      </c>
    </row>
    <row r="1354" spans="1:8" x14ac:dyDescent="0.25">
      <c r="E1354" t="str">
        <f>""</f>
        <v/>
      </c>
      <c r="F1354" t="str">
        <f>""</f>
        <v/>
      </c>
      <c r="H1354" t="str">
        <f>"Inv# 3390226631"</f>
        <v>Inv# 3390226631</v>
      </c>
    </row>
    <row r="1355" spans="1:8" x14ac:dyDescent="0.25">
      <c r="A1355" t="s">
        <v>470</v>
      </c>
      <c r="B1355">
        <v>79305</v>
      </c>
      <c r="C1355" s="2">
        <v>4520.9399999999996</v>
      </c>
      <c r="D1355" s="1">
        <v>43395</v>
      </c>
      <c r="E1355" t="str">
        <f>"8051624037"</f>
        <v>8051624037</v>
      </c>
      <c r="F1355" t="str">
        <f>"Sum Inv# 8051624037"</f>
        <v>Sum Inv# 8051624037</v>
      </c>
      <c r="G1355" s="3">
        <v>4520.9399999999996</v>
      </c>
      <c r="H1355" t="str">
        <f>"Inv# 3391913544"</f>
        <v>Inv# 3391913544</v>
      </c>
    </row>
    <row r="1356" spans="1:8" x14ac:dyDescent="0.25">
      <c r="E1356" t="str">
        <f>""</f>
        <v/>
      </c>
      <c r="F1356" t="str">
        <f>""</f>
        <v/>
      </c>
      <c r="H1356" t="str">
        <f>"Inv# 3391913547"</f>
        <v>Inv# 3391913547</v>
      </c>
    </row>
    <row r="1357" spans="1:8" x14ac:dyDescent="0.25">
      <c r="E1357" t="str">
        <f>""</f>
        <v/>
      </c>
      <c r="F1357" t="str">
        <f>""</f>
        <v/>
      </c>
      <c r="H1357" t="str">
        <f>"Inv# 3391913542"</f>
        <v>Inv# 3391913542</v>
      </c>
    </row>
    <row r="1358" spans="1:8" x14ac:dyDescent="0.25">
      <c r="E1358" t="str">
        <f>""</f>
        <v/>
      </c>
      <c r="F1358" t="str">
        <f>""</f>
        <v/>
      </c>
      <c r="H1358" t="str">
        <f>"Inv# 3391913549"</f>
        <v>Inv# 3391913549</v>
      </c>
    </row>
    <row r="1359" spans="1:8" x14ac:dyDescent="0.25">
      <c r="E1359" t="str">
        <f>""</f>
        <v/>
      </c>
      <c r="F1359" t="str">
        <f>""</f>
        <v/>
      </c>
      <c r="H1359" t="str">
        <f>"Inv# 3391913551"</f>
        <v>Inv# 3391913551</v>
      </c>
    </row>
    <row r="1360" spans="1:8" x14ac:dyDescent="0.25">
      <c r="E1360" t="str">
        <f>""</f>
        <v/>
      </c>
      <c r="F1360" t="str">
        <f>""</f>
        <v/>
      </c>
      <c r="H1360" t="str">
        <f>"Inv# 3391913538"</f>
        <v>Inv# 3391913538</v>
      </c>
    </row>
    <row r="1361" spans="1:8" x14ac:dyDescent="0.25">
      <c r="E1361" t="str">
        <f>""</f>
        <v/>
      </c>
      <c r="F1361" t="str">
        <f>""</f>
        <v/>
      </c>
      <c r="H1361" t="str">
        <f>"Inv# 3391913539"</f>
        <v>Inv# 3391913539</v>
      </c>
    </row>
    <row r="1362" spans="1:8" x14ac:dyDescent="0.25">
      <c r="E1362" t="str">
        <f>""</f>
        <v/>
      </c>
      <c r="F1362" t="str">
        <f>""</f>
        <v/>
      </c>
      <c r="H1362" t="str">
        <f>"Inv# 3391913540"</f>
        <v>Inv# 3391913540</v>
      </c>
    </row>
    <row r="1363" spans="1:8" x14ac:dyDescent="0.25">
      <c r="E1363" t="str">
        <f>""</f>
        <v/>
      </c>
      <c r="F1363" t="str">
        <f>""</f>
        <v/>
      </c>
      <c r="H1363" t="str">
        <f>"Inv# 3391913541"</f>
        <v>Inv# 3391913541</v>
      </c>
    </row>
    <row r="1364" spans="1:8" x14ac:dyDescent="0.25">
      <c r="E1364" t="str">
        <f>""</f>
        <v/>
      </c>
      <c r="F1364" t="str">
        <f>""</f>
        <v/>
      </c>
      <c r="H1364" t="str">
        <f>"Inv# 3391913559"</f>
        <v>Inv# 3391913559</v>
      </c>
    </row>
    <row r="1365" spans="1:8" x14ac:dyDescent="0.25">
      <c r="E1365" t="str">
        <f>""</f>
        <v/>
      </c>
      <c r="F1365" t="str">
        <f>""</f>
        <v/>
      </c>
      <c r="H1365" t="str">
        <f>"Inv# 3391913561"</f>
        <v>Inv# 3391913561</v>
      </c>
    </row>
    <row r="1366" spans="1:8" x14ac:dyDescent="0.25">
      <c r="E1366" t="str">
        <f>""</f>
        <v/>
      </c>
      <c r="F1366" t="str">
        <f>""</f>
        <v/>
      </c>
      <c r="H1366" t="str">
        <f>"Inv# 3391913548"</f>
        <v>Inv# 3391913548</v>
      </c>
    </row>
    <row r="1367" spans="1:8" x14ac:dyDescent="0.25">
      <c r="E1367" t="str">
        <f>""</f>
        <v/>
      </c>
      <c r="F1367" t="str">
        <f>""</f>
        <v/>
      </c>
      <c r="H1367" t="str">
        <f>"Inv# 3391913558"</f>
        <v>Inv# 3391913558</v>
      </c>
    </row>
    <row r="1368" spans="1:8" x14ac:dyDescent="0.25">
      <c r="E1368" t="str">
        <f>""</f>
        <v/>
      </c>
      <c r="F1368" t="str">
        <f>""</f>
        <v/>
      </c>
      <c r="H1368" t="str">
        <f>"Inv# 3391913556"</f>
        <v>Inv# 3391913556</v>
      </c>
    </row>
    <row r="1369" spans="1:8" x14ac:dyDescent="0.25">
      <c r="E1369" t="str">
        <f>""</f>
        <v/>
      </c>
      <c r="F1369" t="str">
        <f>""</f>
        <v/>
      </c>
      <c r="H1369" t="str">
        <f>"Inv# 3391913557"</f>
        <v>Inv# 3391913557</v>
      </c>
    </row>
    <row r="1370" spans="1:8" x14ac:dyDescent="0.25">
      <c r="E1370" t="str">
        <f>""</f>
        <v/>
      </c>
      <c r="F1370" t="str">
        <f>""</f>
        <v/>
      </c>
      <c r="H1370" t="str">
        <f>"Inv# 3391913553"</f>
        <v>Inv# 3391913553</v>
      </c>
    </row>
    <row r="1371" spans="1:8" x14ac:dyDescent="0.25">
      <c r="E1371" t="str">
        <f>""</f>
        <v/>
      </c>
      <c r="F1371" t="str">
        <f>""</f>
        <v/>
      </c>
      <c r="H1371" t="str">
        <f>"Inv# 3391913554"</f>
        <v>Inv# 3391913554</v>
      </c>
    </row>
    <row r="1372" spans="1:8" x14ac:dyDescent="0.25">
      <c r="E1372" t="str">
        <f>""</f>
        <v/>
      </c>
      <c r="F1372" t="str">
        <f>""</f>
        <v/>
      </c>
      <c r="H1372" t="str">
        <f>"Inv# 3391913555"</f>
        <v>Inv# 3391913555</v>
      </c>
    </row>
    <row r="1373" spans="1:8" x14ac:dyDescent="0.25">
      <c r="A1373" t="s">
        <v>471</v>
      </c>
      <c r="B1373">
        <v>79362</v>
      </c>
      <c r="C1373" s="2">
        <v>25</v>
      </c>
      <c r="D1373" s="1">
        <v>43396</v>
      </c>
      <c r="E1373" t="str">
        <f>"201810234639"</f>
        <v>201810234639</v>
      </c>
      <c r="F1373" t="str">
        <f>"Tx Home Visiting Program Q3 18"</f>
        <v>Tx Home Visiting Program Q3 18</v>
      </c>
      <c r="G1373" s="3">
        <v>25</v>
      </c>
      <c r="H1373" t="str">
        <f>"Tx Home Visiting Program Q3 18"</f>
        <v>Tx Home Visiting Program Q3 18</v>
      </c>
    </row>
    <row r="1374" spans="1:8" x14ac:dyDescent="0.25">
      <c r="A1374" t="s">
        <v>472</v>
      </c>
      <c r="B1374">
        <v>79306</v>
      </c>
      <c r="C1374" s="2">
        <v>730</v>
      </c>
      <c r="D1374" s="1">
        <v>43395</v>
      </c>
      <c r="E1374" t="str">
        <f>"201810154511"</f>
        <v>201810154511</v>
      </c>
      <c r="F1374" t="str">
        <f>"SEPTEMBER 2018"</f>
        <v>SEPTEMBER 2018</v>
      </c>
      <c r="G1374" s="3">
        <v>730</v>
      </c>
      <c r="H1374" t="str">
        <f>"SEPTEMBER 2018"</f>
        <v>SEPTEMBER 2018</v>
      </c>
    </row>
    <row r="1375" spans="1:8" x14ac:dyDescent="0.25">
      <c r="A1375" t="s">
        <v>473</v>
      </c>
      <c r="B1375">
        <v>79108</v>
      </c>
      <c r="C1375" s="2">
        <v>758.72</v>
      </c>
      <c r="D1375" s="1">
        <v>43382</v>
      </c>
      <c r="E1375" t="str">
        <f>"4008105065"</f>
        <v>4008105065</v>
      </c>
      <c r="F1375" t="str">
        <f>"INV 4008105065"</f>
        <v>INV 4008105065</v>
      </c>
      <c r="G1375" s="3">
        <v>758.72</v>
      </c>
      <c r="H1375" t="str">
        <f>"INV 4008105065"</f>
        <v>INV 4008105065</v>
      </c>
    </row>
    <row r="1376" spans="1:8" x14ac:dyDescent="0.25">
      <c r="A1376" t="s">
        <v>474</v>
      </c>
      <c r="B1376">
        <v>79109</v>
      </c>
      <c r="C1376" s="2">
        <v>370.5</v>
      </c>
      <c r="D1376" s="1">
        <v>43382</v>
      </c>
      <c r="E1376" t="str">
        <f>"201810024133"</f>
        <v>201810024133</v>
      </c>
      <c r="F1376" t="str">
        <f>"TRASH REMOVAL 10/01-10/05/P4"</f>
        <v>TRASH REMOVAL 10/01-10/05/P4</v>
      </c>
      <c r="G1376" s="3">
        <v>143</v>
      </c>
      <c r="H1376" t="str">
        <f>"TRASH REMOVAL 10/01-10/05/P4"</f>
        <v>TRASH REMOVAL 10/01-10/05/P4</v>
      </c>
    </row>
    <row r="1377" spans="1:8" x14ac:dyDescent="0.25">
      <c r="E1377" t="str">
        <f>"201810024136"</f>
        <v>201810024136</v>
      </c>
      <c r="F1377" t="str">
        <f>"TRASH REMOVAL 09/24-09/28/P4"</f>
        <v>TRASH REMOVAL 09/24-09/28/P4</v>
      </c>
      <c r="G1377" s="3">
        <v>227.5</v>
      </c>
      <c r="H1377" t="str">
        <f>"TRASH REMOVAL 09/24-09/28/P4"</f>
        <v>TRASH REMOVAL 09/24-09/28/P4</v>
      </c>
    </row>
    <row r="1378" spans="1:8" x14ac:dyDescent="0.25">
      <c r="A1378" t="s">
        <v>474</v>
      </c>
      <c r="B1378">
        <v>79307</v>
      </c>
      <c r="C1378" s="2">
        <v>331.5</v>
      </c>
      <c r="D1378" s="1">
        <v>43395</v>
      </c>
      <c r="E1378" t="str">
        <f>"201810164570"</f>
        <v>201810164570</v>
      </c>
      <c r="F1378" t="str">
        <f>"TRASH REMOVAL 10/08-10/19/P4"</f>
        <v>TRASH REMOVAL 10/08-10/19/P4</v>
      </c>
      <c r="G1378" s="3">
        <v>331.5</v>
      </c>
      <c r="H1378" t="str">
        <f>"TRASH REMOVAL 10/08-10/19/P4"</f>
        <v>TRASH REMOVAL 10/08-10/19/P4</v>
      </c>
    </row>
    <row r="1379" spans="1:8" x14ac:dyDescent="0.25">
      <c r="A1379" t="s">
        <v>475</v>
      </c>
      <c r="B1379">
        <v>79110</v>
      </c>
      <c r="C1379" s="2">
        <v>392.87</v>
      </c>
      <c r="D1379" s="1">
        <v>43382</v>
      </c>
      <c r="E1379" t="str">
        <f>"201809273957"</f>
        <v>201809273957</v>
      </c>
      <c r="F1379" t="str">
        <f>"ALLISONHOUSE/SIMUAWIPS SUBSCRI"</f>
        <v>ALLISONHOUSE/SIMUAWIPS SUBSCRI</v>
      </c>
      <c r="G1379" s="3">
        <v>392.87</v>
      </c>
      <c r="H1379" t="str">
        <f>"ALLISONHOUSE/SIMUAWIPS SUBSCRI"</f>
        <v>ALLISONHOUSE/SIMUAWIPS SUBSCRI</v>
      </c>
    </row>
    <row r="1380" spans="1:8" x14ac:dyDescent="0.25">
      <c r="A1380" t="s">
        <v>476</v>
      </c>
      <c r="B1380">
        <v>999999</v>
      </c>
      <c r="C1380" s="2">
        <v>5200</v>
      </c>
      <c r="D1380" s="1">
        <v>43383</v>
      </c>
      <c r="E1380" t="str">
        <f>" 236"</f>
        <v xml:space="preserve"> 236</v>
      </c>
      <c r="F1380" t="str">
        <f>"SHREDDING MOWING/PCT#2"</f>
        <v>SHREDDING MOWING/PCT#2</v>
      </c>
      <c r="G1380" s="3">
        <v>3120</v>
      </c>
      <c r="H1380" t="str">
        <f>"SHREDDING MOWING/PCT#2"</f>
        <v>SHREDDING MOWING/PCT#2</v>
      </c>
    </row>
    <row r="1381" spans="1:8" x14ac:dyDescent="0.25">
      <c r="E1381" t="str">
        <f>"236"</f>
        <v>236</v>
      </c>
      <c r="F1381" t="str">
        <f>"SHREDDING MOWING/PCT#2"</f>
        <v>SHREDDING MOWING/PCT#2</v>
      </c>
      <c r="G1381" s="3">
        <v>2080</v>
      </c>
      <c r="H1381" t="str">
        <f>"SHREDDING MOWING/PCT#2"</f>
        <v>SHREDDING MOWING/PCT#2</v>
      </c>
    </row>
    <row r="1382" spans="1:8" x14ac:dyDescent="0.25">
      <c r="A1382" t="s">
        <v>476</v>
      </c>
      <c r="B1382">
        <v>999999</v>
      </c>
      <c r="C1382" s="2">
        <v>7930</v>
      </c>
      <c r="D1382" s="1">
        <v>43396</v>
      </c>
      <c r="E1382" t="str">
        <f>"238"</f>
        <v>238</v>
      </c>
      <c r="F1382" t="str">
        <f>"SHREDDING MOWING SVCS/PCT#2"</f>
        <v>SHREDDING MOWING SVCS/PCT#2</v>
      </c>
      <c r="G1382" s="3">
        <v>7930</v>
      </c>
      <c r="H1382" t="str">
        <f>"SHREDDING MOWING SVCS/PCT#2"</f>
        <v>SHREDDING MOWING SVCS/PCT#2</v>
      </c>
    </row>
    <row r="1383" spans="1:8" x14ac:dyDescent="0.25">
      <c r="A1383" t="s">
        <v>477</v>
      </c>
      <c r="B1383">
        <v>999999</v>
      </c>
      <c r="C1383" s="2">
        <v>4286.93</v>
      </c>
      <c r="D1383" s="1">
        <v>43383</v>
      </c>
      <c r="E1383" t="str">
        <f>"94986155"</f>
        <v>94986155</v>
      </c>
      <c r="F1383" t="str">
        <f>"ACCT#10187718/FUEL/PCT#2"</f>
        <v>ACCT#10187718/FUEL/PCT#2</v>
      </c>
      <c r="G1383" s="3">
        <v>4286.93</v>
      </c>
      <c r="H1383" t="str">
        <f>"ACCT#10187718/FUEL/PCT#2"</f>
        <v>ACCT#10187718/FUEL/PCT#2</v>
      </c>
    </row>
    <row r="1384" spans="1:8" x14ac:dyDescent="0.25">
      <c r="A1384" t="s">
        <v>477</v>
      </c>
      <c r="B1384">
        <v>999999</v>
      </c>
      <c r="C1384" s="2">
        <v>3555.89</v>
      </c>
      <c r="D1384" s="1">
        <v>43396</v>
      </c>
      <c r="E1384" t="str">
        <f>"95003803"</f>
        <v>95003803</v>
      </c>
      <c r="F1384" t="str">
        <f>"ACCT#10187718/PCT#2"</f>
        <v>ACCT#10187718/PCT#2</v>
      </c>
      <c r="G1384" s="3">
        <v>3555.89</v>
      </c>
      <c r="H1384" t="str">
        <f>"ACCT#10187718/PCT#2"</f>
        <v>ACCT#10187718/PCT#2</v>
      </c>
    </row>
    <row r="1385" spans="1:8" x14ac:dyDescent="0.25">
      <c r="A1385" t="s">
        <v>478</v>
      </c>
      <c r="B1385">
        <v>79308</v>
      </c>
      <c r="C1385" s="2">
        <v>1880</v>
      </c>
      <c r="D1385" s="1">
        <v>43395</v>
      </c>
      <c r="E1385" t="str">
        <f>"S004712"</f>
        <v>S004712</v>
      </c>
      <c r="F1385" t="str">
        <f>"SXSW PACKAGE"</f>
        <v>SXSW PACKAGE</v>
      </c>
      <c r="G1385" s="3">
        <v>1880</v>
      </c>
      <c r="H1385" t="str">
        <f>"SXSW PACKAGE"</f>
        <v>SXSW PACKAGE</v>
      </c>
    </row>
    <row r="1386" spans="1:8" x14ac:dyDescent="0.25">
      <c r="A1386" t="s">
        <v>479</v>
      </c>
      <c r="B1386">
        <v>79309</v>
      </c>
      <c r="C1386" s="2">
        <v>675</v>
      </c>
      <c r="D1386" s="1">
        <v>43395</v>
      </c>
      <c r="E1386" t="str">
        <f>"300001038"</f>
        <v>300001038</v>
      </c>
      <c r="F1386" t="str">
        <f>"DMO TEXAN MEMBERSHIP-A.LEWIS"</f>
        <v>DMO TEXAN MEMBERSHIP-A.LEWIS</v>
      </c>
      <c r="G1386" s="3">
        <v>675</v>
      </c>
      <c r="H1386" t="str">
        <f>"DMO TEXAN MEMBERSHIP-A.LEWIS"</f>
        <v>DMO TEXAN MEMBERSHIP-A.LEWIS</v>
      </c>
    </row>
    <row r="1387" spans="1:8" x14ac:dyDescent="0.25">
      <c r="A1387" t="s">
        <v>480</v>
      </c>
      <c r="B1387">
        <v>79310</v>
      </c>
      <c r="C1387" s="2">
        <v>175</v>
      </c>
      <c r="D1387" s="1">
        <v>43395</v>
      </c>
      <c r="E1387" t="str">
        <f>"300002292"</f>
        <v>300002292</v>
      </c>
      <c r="F1387" t="str">
        <f>"AGENCY/ORG MEMBERSHIP-K.UNGER"</f>
        <v>AGENCY/ORG MEMBERSHIP-K.UNGER</v>
      </c>
      <c r="G1387" s="3">
        <v>175</v>
      </c>
      <c r="H1387" t="str">
        <f>"AGENCY/ORG MEMBERSHIP-K.UNGER"</f>
        <v>AGENCY/ORG MEMBERSHIP-K.UNGER</v>
      </c>
    </row>
    <row r="1388" spans="1:8" x14ac:dyDescent="0.25">
      <c r="A1388" t="s">
        <v>481</v>
      </c>
      <c r="B1388">
        <v>79311</v>
      </c>
      <c r="C1388" s="2">
        <v>75</v>
      </c>
      <c r="D1388" s="1">
        <v>43395</v>
      </c>
      <c r="E1388" t="str">
        <f>"12465"</f>
        <v>12465</v>
      </c>
      <c r="F1388" t="str">
        <f>"SERVICE"</f>
        <v>SERVICE</v>
      </c>
      <c r="G1388" s="3">
        <v>75</v>
      </c>
      <c r="H1388" t="str">
        <f>"SERVICE"</f>
        <v>SERVICE</v>
      </c>
    </row>
    <row r="1389" spans="1:8" x14ac:dyDescent="0.25">
      <c r="A1389" t="s">
        <v>482</v>
      </c>
      <c r="B1389">
        <v>0</v>
      </c>
      <c r="C1389" s="2">
        <v>2400</v>
      </c>
      <c r="D1389" s="1">
        <v>43398</v>
      </c>
      <c r="E1389" t="str">
        <f>"IN1333936"</f>
        <v>IN1333936</v>
      </c>
      <c r="F1389" t="str">
        <f>"TESTING 2018-2019"</f>
        <v>TESTING 2018-2019</v>
      </c>
      <c r="G1389" s="3">
        <v>2400</v>
      </c>
      <c r="H1389" t="str">
        <f>"TESTING 2018-2019"</f>
        <v>TESTING 2018-2019</v>
      </c>
    </row>
    <row r="1390" spans="1:8" x14ac:dyDescent="0.25">
      <c r="A1390" t="s">
        <v>483</v>
      </c>
      <c r="B1390">
        <v>999999</v>
      </c>
      <c r="C1390" s="2">
        <v>43.04</v>
      </c>
      <c r="D1390" s="1">
        <v>43396</v>
      </c>
      <c r="E1390" t="str">
        <f>"18100505"</f>
        <v>18100505</v>
      </c>
      <c r="F1390" t="str">
        <f>"SVC CONTRACT USAGE"</f>
        <v>SVC CONTRACT USAGE</v>
      </c>
      <c r="G1390" s="3">
        <v>43.04</v>
      </c>
      <c r="H1390" t="str">
        <f>"SVC CONTRACT USAGE"</f>
        <v>SVC CONTRACT USAGE</v>
      </c>
    </row>
    <row r="1391" spans="1:8" x14ac:dyDescent="0.25">
      <c r="A1391" t="s">
        <v>484</v>
      </c>
      <c r="B1391">
        <v>79312</v>
      </c>
      <c r="C1391" s="2">
        <v>70</v>
      </c>
      <c r="D1391" s="1">
        <v>43395</v>
      </c>
      <c r="E1391" t="str">
        <f>"11314"</f>
        <v>11314</v>
      </c>
      <c r="F1391" t="str">
        <f>"SERVICE"</f>
        <v>SERVICE</v>
      </c>
      <c r="G1391" s="3">
        <v>70</v>
      </c>
      <c r="H1391" t="str">
        <f>"SERVICE"</f>
        <v>SERVICE</v>
      </c>
    </row>
    <row r="1392" spans="1:8" x14ac:dyDescent="0.25">
      <c r="A1392" t="s">
        <v>485</v>
      </c>
      <c r="B1392">
        <v>79313</v>
      </c>
      <c r="C1392" s="2">
        <v>10403.75</v>
      </c>
      <c r="D1392" s="1">
        <v>43395</v>
      </c>
      <c r="E1392" t="str">
        <f>"76485 76506 76508"</f>
        <v>76485 76506 76508</v>
      </c>
      <c r="F1392" t="str">
        <f>"Security System"</f>
        <v>Security System</v>
      </c>
      <c r="G1392" s="3">
        <v>1324.7</v>
      </c>
      <c r="H1392" t="str">
        <f>"Security System"</f>
        <v>Security System</v>
      </c>
    </row>
    <row r="1393" spans="1:8" x14ac:dyDescent="0.25">
      <c r="E1393" t="str">
        <f>"76486 76507 76509"</f>
        <v>76486 76507 76509</v>
      </c>
      <c r="F1393" t="str">
        <f>"Fire Alarm System"</f>
        <v>Fire Alarm System</v>
      </c>
      <c r="G1393" s="3">
        <v>8599.0499999999993</v>
      </c>
      <c r="H1393" t="str">
        <f>"Payment"</f>
        <v>Payment</v>
      </c>
    </row>
    <row r="1394" spans="1:8" x14ac:dyDescent="0.25">
      <c r="E1394" t="str">
        <f>"76494"</f>
        <v>76494</v>
      </c>
      <c r="F1394" t="str">
        <f>"ACCT#60-03-0903 F/SVC CALL"</f>
        <v>ACCT#60-03-0903 F/SVC CALL</v>
      </c>
      <c r="G1394" s="3">
        <v>480</v>
      </c>
      <c r="H1394" t="str">
        <f>"ACCT#60-03-0903 F/SVC CALL"</f>
        <v>ACCT#60-03-0903 F/SVC CALL</v>
      </c>
    </row>
    <row r="1395" spans="1:8" x14ac:dyDescent="0.25">
      <c r="A1395" t="s">
        <v>486</v>
      </c>
      <c r="B1395">
        <v>79314</v>
      </c>
      <c r="C1395" s="2">
        <v>150</v>
      </c>
      <c r="D1395" s="1">
        <v>43395</v>
      </c>
      <c r="E1395" t="str">
        <f>"201810164591"</f>
        <v>201810164591</v>
      </c>
      <c r="F1395" t="str">
        <f>"TX COMM ON LAW ENFORCEMENT"</f>
        <v>TX COMM ON LAW ENFORCEMENT</v>
      </c>
      <c r="G1395" s="3">
        <v>150</v>
      </c>
      <c r="H1395" t="str">
        <f>""</f>
        <v/>
      </c>
    </row>
    <row r="1396" spans="1:8" x14ac:dyDescent="0.25">
      <c r="A1396" t="s">
        <v>487</v>
      </c>
      <c r="B1396">
        <v>79111</v>
      </c>
      <c r="C1396" s="2">
        <v>5408.6</v>
      </c>
      <c r="D1396" s="1">
        <v>43382</v>
      </c>
      <c r="E1396" t="str">
        <f>"0788108-IN"</f>
        <v>0788108-IN</v>
      </c>
      <c r="F1396" t="str">
        <f>"ACCT#01-0112917/PCT#3"</f>
        <v>ACCT#01-0112917/PCT#3</v>
      </c>
      <c r="G1396" s="3">
        <v>4587.8100000000004</v>
      </c>
      <c r="H1396" t="str">
        <f>"ACCT#01-0112917/PCT#3"</f>
        <v>ACCT#01-0112917/PCT#3</v>
      </c>
    </row>
    <row r="1397" spans="1:8" x14ac:dyDescent="0.25">
      <c r="E1397" t="str">
        <f>"0788453-IN"</f>
        <v>0788453-IN</v>
      </c>
      <c r="F1397" t="str">
        <f>"ACCT#01-0112917/PCT#3"</f>
        <v>ACCT#01-0112917/PCT#3</v>
      </c>
      <c r="G1397" s="3">
        <v>820.79</v>
      </c>
      <c r="H1397" t="str">
        <f>"ACCT#01-0112917/PCT#3"</f>
        <v>ACCT#01-0112917/PCT#3</v>
      </c>
    </row>
    <row r="1398" spans="1:8" x14ac:dyDescent="0.25">
      <c r="A1398" t="s">
        <v>487</v>
      </c>
      <c r="B1398">
        <v>79315</v>
      </c>
      <c r="C1398" s="2">
        <v>5209.6000000000004</v>
      </c>
      <c r="D1398" s="1">
        <v>43395</v>
      </c>
      <c r="E1398" t="str">
        <f>"0791827-IN"</f>
        <v>0791827-IN</v>
      </c>
      <c r="F1398" t="str">
        <f>"ACCT#01-0112917/PCT#3"</f>
        <v>ACCT#01-0112917/PCT#3</v>
      </c>
      <c r="G1398" s="3">
        <v>5209.6000000000004</v>
      </c>
      <c r="H1398" t="str">
        <f>"ACCT#01-0112917/PCT#3"</f>
        <v>ACCT#01-0112917/PCT#3</v>
      </c>
    </row>
    <row r="1399" spans="1:8" x14ac:dyDescent="0.25">
      <c r="A1399" t="s">
        <v>488</v>
      </c>
      <c r="B1399">
        <v>79316</v>
      </c>
      <c r="C1399" s="2">
        <v>1550</v>
      </c>
      <c r="D1399" s="1">
        <v>43395</v>
      </c>
      <c r="E1399" t="str">
        <f>"E900379"</f>
        <v>E900379</v>
      </c>
      <c r="F1399" t="str">
        <f>"CUST#5000000000007/DESKTOP"</f>
        <v>CUST#5000000000007/DESKTOP</v>
      </c>
      <c r="G1399" s="3">
        <v>1550</v>
      </c>
      <c r="H1399" t="str">
        <f>"CUST#5000000000007/DESKTOP"</f>
        <v>CUST#5000000000007/DESKTOP</v>
      </c>
    </row>
    <row r="1400" spans="1:8" x14ac:dyDescent="0.25">
      <c r="A1400" t="s">
        <v>489</v>
      </c>
      <c r="B1400">
        <v>999999</v>
      </c>
      <c r="C1400" s="2">
        <v>221.35</v>
      </c>
      <c r="D1400" s="1">
        <v>43396</v>
      </c>
      <c r="E1400" t="str">
        <f>"1042149"</f>
        <v>1042149</v>
      </c>
      <c r="F1400" t="str">
        <f>"CUST#431/PCT#1"</f>
        <v>CUST#431/PCT#1</v>
      </c>
      <c r="G1400" s="3">
        <v>221.35</v>
      </c>
      <c r="H1400" t="str">
        <f>"CUST#431/PCT#1"</f>
        <v>CUST#431/PCT#1</v>
      </c>
    </row>
    <row r="1401" spans="1:8" x14ac:dyDescent="0.25">
      <c r="A1401" t="s">
        <v>490</v>
      </c>
      <c r="B1401">
        <v>79112</v>
      </c>
      <c r="C1401" s="2">
        <v>450</v>
      </c>
      <c r="D1401" s="1">
        <v>43382</v>
      </c>
      <c r="E1401" t="str">
        <f>"201810034172"</f>
        <v>201810034172</v>
      </c>
      <c r="F1401" t="str">
        <f>"INV FOR OCTOBER RENEW"</f>
        <v>INV FOR OCTOBER RENEW</v>
      </c>
      <c r="G1401" s="3">
        <v>450</v>
      </c>
      <c r="H1401" t="str">
        <f>"INV FOR OCTOBER RENEW"</f>
        <v>INV FOR OCTOBER RENEW</v>
      </c>
    </row>
    <row r="1402" spans="1:8" x14ac:dyDescent="0.25">
      <c r="A1402" t="s">
        <v>27</v>
      </c>
      <c r="B1402">
        <v>79113</v>
      </c>
      <c r="C1402" s="2">
        <v>125</v>
      </c>
      <c r="D1402" s="1">
        <v>43382</v>
      </c>
      <c r="E1402" t="str">
        <f>"51767"</f>
        <v>51767</v>
      </c>
      <c r="F1402" t="str">
        <f>"ACCT#231974/ANNUAL  DUES"</f>
        <v>ACCT#231974/ANNUAL  DUES</v>
      </c>
      <c r="G1402" s="3">
        <v>125</v>
      </c>
      <c r="H1402" t="str">
        <f>"ACCT#231974/ANNUAL  DUES"</f>
        <v>ACCT#231974/ANNUAL  DUES</v>
      </c>
    </row>
    <row r="1403" spans="1:8" x14ac:dyDescent="0.25">
      <c r="A1403" t="s">
        <v>491</v>
      </c>
      <c r="B1403">
        <v>79154</v>
      </c>
      <c r="C1403" s="2">
        <v>200</v>
      </c>
      <c r="D1403" s="1">
        <v>43383</v>
      </c>
      <c r="E1403" t="str">
        <f>"201810104454"</f>
        <v>201810104454</v>
      </c>
      <c r="F1403" t="str">
        <f>"REGIST FEE - LES FOEHR"</f>
        <v>REGIST FEE - LES FOEHR</v>
      </c>
      <c r="G1403" s="3">
        <v>200</v>
      </c>
      <c r="H1403" t="str">
        <f>"REGIST FEE - LES FOEHR"</f>
        <v>REGIST FEE - LES FOEHR</v>
      </c>
    </row>
    <row r="1404" spans="1:8" x14ac:dyDescent="0.25">
      <c r="A1404" t="s">
        <v>27</v>
      </c>
      <c r="B1404">
        <v>79156</v>
      </c>
      <c r="C1404" s="2">
        <v>3732.89</v>
      </c>
      <c r="D1404" s="1">
        <v>43383</v>
      </c>
      <c r="E1404" t="str">
        <f>"D-2018-4-0110"</f>
        <v>D-2018-4-0110</v>
      </c>
      <c r="F1404" t="str">
        <f>"UNEMPLOYMENT QTR END 09/30/18"</f>
        <v>UNEMPLOYMENT QTR END 09/30/18</v>
      </c>
      <c r="G1404" s="3">
        <v>3732.89</v>
      </c>
      <c r="H1404" t="str">
        <f t="shared" ref="H1404:H1443" si="13">"UNEMPLOYMENT QTR END 09/30/18"</f>
        <v>UNEMPLOYMENT QTR END 09/30/18</v>
      </c>
    </row>
    <row r="1405" spans="1:8" x14ac:dyDescent="0.25">
      <c r="E1405" t="str">
        <f>""</f>
        <v/>
      </c>
      <c r="F1405" t="str">
        <f>""</f>
        <v/>
      </c>
      <c r="H1405" t="str">
        <f t="shared" si="13"/>
        <v>UNEMPLOYMENT QTR END 09/30/18</v>
      </c>
    </row>
    <row r="1406" spans="1:8" x14ac:dyDescent="0.25">
      <c r="E1406" t="str">
        <f>""</f>
        <v/>
      </c>
      <c r="F1406" t="str">
        <f>""</f>
        <v/>
      </c>
      <c r="H1406" t="str">
        <f t="shared" si="13"/>
        <v>UNEMPLOYMENT QTR END 09/30/18</v>
      </c>
    </row>
    <row r="1407" spans="1:8" x14ac:dyDescent="0.25">
      <c r="E1407" t="str">
        <f>""</f>
        <v/>
      </c>
      <c r="F1407" t="str">
        <f>""</f>
        <v/>
      </c>
      <c r="H1407" t="str">
        <f t="shared" si="13"/>
        <v>UNEMPLOYMENT QTR END 09/30/18</v>
      </c>
    </row>
    <row r="1408" spans="1:8" x14ac:dyDescent="0.25">
      <c r="E1408" t="str">
        <f>""</f>
        <v/>
      </c>
      <c r="F1408" t="str">
        <f>""</f>
        <v/>
      </c>
      <c r="H1408" t="str">
        <f t="shared" si="13"/>
        <v>UNEMPLOYMENT QTR END 09/30/18</v>
      </c>
    </row>
    <row r="1409" spans="5:8" x14ac:dyDescent="0.25">
      <c r="E1409" t="str">
        <f>""</f>
        <v/>
      </c>
      <c r="F1409" t="str">
        <f>""</f>
        <v/>
      </c>
      <c r="H1409" t="str">
        <f t="shared" si="13"/>
        <v>UNEMPLOYMENT QTR END 09/30/18</v>
      </c>
    </row>
    <row r="1410" spans="5:8" x14ac:dyDescent="0.25">
      <c r="E1410" t="str">
        <f>""</f>
        <v/>
      </c>
      <c r="F1410" t="str">
        <f>""</f>
        <v/>
      </c>
      <c r="H1410" t="str">
        <f t="shared" si="13"/>
        <v>UNEMPLOYMENT QTR END 09/30/18</v>
      </c>
    </row>
    <row r="1411" spans="5:8" x14ac:dyDescent="0.25">
      <c r="E1411" t="str">
        <f>""</f>
        <v/>
      </c>
      <c r="F1411" t="str">
        <f>""</f>
        <v/>
      </c>
      <c r="H1411" t="str">
        <f t="shared" si="13"/>
        <v>UNEMPLOYMENT QTR END 09/30/18</v>
      </c>
    </row>
    <row r="1412" spans="5:8" x14ac:dyDescent="0.25">
      <c r="E1412" t="str">
        <f>""</f>
        <v/>
      </c>
      <c r="F1412" t="str">
        <f>""</f>
        <v/>
      </c>
      <c r="H1412" t="str">
        <f t="shared" si="13"/>
        <v>UNEMPLOYMENT QTR END 09/30/18</v>
      </c>
    </row>
    <row r="1413" spans="5:8" x14ac:dyDescent="0.25">
      <c r="E1413" t="str">
        <f>""</f>
        <v/>
      </c>
      <c r="F1413" t="str">
        <f>""</f>
        <v/>
      </c>
      <c r="H1413" t="str">
        <f t="shared" si="13"/>
        <v>UNEMPLOYMENT QTR END 09/30/18</v>
      </c>
    </row>
    <row r="1414" spans="5:8" x14ac:dyDescent="0.25">
      <c r="E1414" t="str">
        <f>""</f>
        <v/>
      </c>
      <c r="F1414" t="str">
        <f>""</f>
        <v/>
      </c>
      <c r="H1414" t="str">
        <f t="shared" si="13"/>
        <v>UNEMPLOYMENT QTR END 09/30/18</v>
      </c>
    </row>
    <row r="1415" spans="5:8" x14ac:dyDescent="0.25">
      <c r="E1415" t="str">
        <f>""</f>
        <v/>
      </c>
      <c r="F1415" t="str">
        <f>""</f>
        <v/>
      </c>
      <c r="H1415" t="str">
        <f t="shared" si="13"/>
        <v>UNEMPLOYMENT QTR END 09/30/18</v>
      </c>
    </row>
    <row r="1416" spans="5:8" x14ac:dyDescent="0.25">
      <c r="E1416" t="str">
        <f>""</f>
        <v/>
      </c>
      <c r="F1416" t="str">
        <f>""</f>
        <v/>
      </c>
      <c r="H1416" t="str">
        <f t="shared" si="13"/>
        <v>UNEMPLOYMENT QTR END 09/30/18</v>
      </c>
    </row>
    <row r="1417" spans="5:8" x14ac:dyDescent="0.25">
      <c r="E1417" t="str">
        <f>""</f>
        <v/>
      </c>
      <c r="F1417" t="str">
        <f>""</f>
        <v/>
      </c>
      <c r="H1417" t="str">
        <f t="shared" si="13"/>
        <v>UNEMPLOYMENT QTR END 09/30/18</v>
      </c>
    </row>
    <row r="1418" spans="5:8" x14ac:dyDescent="0.25">
      <c r="E1418" t="str">
        <f>""</f>
        <v/>
      </c>
      <c r="F1418" t="str">
        <f>""</f>
        <v/>
      </c>
      <c r="H1418" t="str">
        <f t="shared" si="13"/>
        <v>UNEMPLOYMENT QTR END 09/30/18</v>
      </c>
    </row>
    <row r="1419" spans="5:8" x14ac:dyDescent="0.25">
      <c r="E1419" t="str">
        <f>""</f>
        <v/>
      </c>
      <c r="F1419" t="str">
        <f>""</f>
        <v/>
      </c>
      <c r="H1419" t="str">
        <f t="shared" si="13"/>
        <v>UNEMPLOYMENT QTR END 09/30/18</v>
      </c>
    </row>
    <row r="1420" spans="5:8" x14ac:dyDescent="0.25">
      <c r="E1420" t="str">
        <f>""</f>
        <v/>
      </c>
      <c r="F1420" t="str">
        <f>""</f>
        <v/>
      </c>
      <c r="H1420" t="str">
        <f t="shared" si="13"/>
        <v>UNEMPLOYMENT QTR END 09/30/18</v>
      </c>
    </row>
    <row r="1421" spans="5:8" x14ac:dyDescent="0.25">
      <c r="E1421" t="str">
        <f>""</f>
        <v/>
      </c>
      <c r="F1421" t="str">
        <f>""</f>
        <v/>
      </c>
      <c r="H1421" t="str">
        <f t="shared" si="13"/>
        <v>UNEMPLOYMENT QTR END 09/30/18</v>
      </c>
    </row>
    <row r="1422" spans="5:8" x14ac:dyDescent="0.25">
      <c r="E1422" t="str">
        <f>""</f>
        <v/>
      </c>
      <c r="F1422" t="str">
        <f>""</f>
        <v/>
      </c>
      <c r="H1422" t="str">
        <f t="shared" si="13"/>
        <v>UNEMPLOYMENT QTR END 09/30/18</v>
      </c>
    </row>
    <row r="1423" spans="5:8" x14ac:dyDescent="0.25">
      <c r="E1423" t="str">
        <f>""</f>
        <v/>
      </c>
      <c r="F1423" t="str">
        <f>""</f>
        <v/>
      </c>
      <c r="H1423" t="str">
        <f t="shared" si="13"/>
        <v>UNEMPLOYMENT QTR END 09/30/18</v>
      </c>
    </row>
    <row r="1424" spans="5:8" x14ac:dyDescent="0.25">
      <c r="E1424" t="str">
        <f>""</f>
        <v/>
      </c>
      <c r="F1424" t="str">
        <f>""</f>
        <v/>
      </c>
      <c r="H1424" t="str">
        <f t="shared" si="13"/>
        <v>UNEMPLOYMENT QTR END 09/30/18</v>
      </c>
    </row>
    <row r="1425" spans="5:8" x14ac:dyDescent="0.25">
      <c r="E1425" t="str">
        <f>""</f>
        <v/>
      </c>
      <c r="F1425" t="str">
        <f>""</f>
        <v/>
      </c>
      <c r="H1425" t="str">
        <f t="shared" si="13"/>
        <v>UNEMPLOYMENT QTR END 09/30/18</v>
      </c>
    </row>
    <row r="1426" spans="5:8" x14ac:dyDescent="0.25">
      <c r="E1426" t="str">
        <f>""</f>
        <v/>
      </c>
      <c r="F1426" t="str">
        <f>""</f>
        <v/>
      </c>
      <c r="H1426" t="str">
        <f t="shared" si="13"/>
        <v>UNEMPLOYMENT QTR END 09/30/18</v>
      </c>
    </row>
    <row r="1427" spans="5:8" x14ac:dyDescent="0.25">
      <c r="E1427" t="str">
        <f>""</f>
        <v/>
      </c>
      <c r="F1427" t="str">
        <f>""</f>
        <v/>
      </c>
      <c r="H1427" t="str">
        <f t="shared" si="13"/>
        <v>UNEMPLOYMENT QTR END 09/30/18</v>
      </c>
    </row>
    <row r="1428" spans="5:8" x14ac:dyDescent="0.25">
      <c r="E1428" t="str">
        <f>""</f>
        <v/>
      </c>
      <c r="F1428" t="str">
        <f>""</f>
        <v/>
      </c>
      <c r="H1428" t="str">
        <f t="shared" si="13"/>
        <v>UNEMPLOYMENT QTR END 09/30/18</v>
      </c>
    </row>
    <row r="1429" spans="5:8" x14ac:dyDescent="0.25">
      <c r="E1429" t="str">
        <f>""</f>
        <v/>
      </c>
      <c r="F1429" t="str">
        <f>""</f>
        <v/>
      </c>
      <c r="H1429" t="str">
        <f t="shared" si="13"/>
        <v>UNEMPLOYMENT QTR END 09/30/18</v>
      </c>
    </row>
    <row r="1430" spans="5:8" x14ac:dyDescent="0.25">
      <c r="E1430" t="str">
        <f>""</f>
        <v/>
      </c>
      <c r="F1430" t="str">
        <f>""</f>
        <v/>
      </c>
      <c r="H1430" t="str">
        <f t="shared" si="13"/>
        <v>UNEMPLOYMENT QTR END 09/30/18</v>
      </c>
    </row>
    <row r="1431" spans="5:8" x14ac:dyDescent="0.25">
      <c r="E1431" t="str">
        <f>""</f>
        <v/>
      </c>
      <c r="F1431" t="str">
        <f>""</f>
        <v/>
      </c>
      <c r="H1431" t="str">
        <f t="shared" si="13"/>
        <v>UNEMPLOYMENT QTR END 09/30/18</v>
      </c>
    </row>
    <row r="1432" spans="5:8" x14ac:dyDescent="0.25">
      <c r="E1432" t="str">
        <f>""</f>
        <v/>
      </c>
      <c r="F1432" t="str">
        <f>""</f>
        <v/>
      </c>
      <c r="H1432" t="str">
        <f t="shared" si="13"/>
        <v>UNEMPLOYMENT QTR END 09/30/18</v>
      </c>
    </row>
    <row r="1433" spans="5:8" x14ac:dyDescent="0.25">
      <c r="E1433" t="str">
        <f>""</f>
        <v/>
      </c>
      <c r="F1433" t="str">
        <f>""</f>
        <v/>
      </c>
      <c r="H1433" t="str">
        <f t="shared" si="13"/>
        <v>UNEMPLOYMENT QTR END 09/30/18</v>
      </c>
    </row>
    <row r="1434" spans="5:8" x14ac:dyDescent="0.25">
      <c r="E1434" t="str">
        <f>""</f>
        <v/>
      </c>
      <c r="F1434" t="str">
        <f>""</f>
        <v/>
      </c>
      <c r="H1434" t="str">
        <f t="shared" si="13"/>
        <v>UNEMPLOYMENT QTR END 09/30/18</v>
      </c>
    </row>
    <row r="1435" spans="5:8" x14ac:dyDescent="0.25">
      <c r="E1435" t="str">
        <f>""</f>
        <v/>
      </c>
      <c r="F1435" t="str">
        <f>""</f>
        <v/>
      </c>
      <c r="H1435" t="str">
        <f t="shared" si="13"/>
        <v>UNEMPLOYMENT QTR END 09/30/18</v>
      </c>
    </row>
    <row r="1436" spans="5:8" x14ac:dyDescent="0.25">
      <c r="E1436" t="str">
        <f>""</f>
        <v/>
      </c>
      <c r="F1436" t="str">
        <f>""</f>
        <v/>
      </c>
      <c r="H1436" t="str">
        <f t="shared" si="13"/>
        <v>UNEMPLOYMENT QTR END 09/30/18</v>
      </c>
    </row>
    <row r="1437" spans="5:8" x14ac:dyDescent="0.25">
      <c r="E1437" t="str">
        <f>""</f>
        <v/>
      </c>
      <c r="F1437" t="str">
        <f>""</f>
        <v/>
      </c>
      <c r="H1437" t="str">
        <f t="shared" si="13"/>
        <v>UNEMPLOYMENT QTR END 09/30/18</v>
      </c>
    </row>
    <row r="1438" spans="5:8" x14ac:dyDescent="0.25">
      <c r="E1438" t="str">
        <f>""</f>
        <v/>
      </c>
      <c r="F1438" t="str">
        <f>""</f>
        <v/>
      </c>
      <c r="H1438" t="str">
        <f t="shared" si="13"/>
        <v>UNEMPLOYMENT QTR END 09/30/18</v>
      </c>
    </row>
    <row r="1439" spans="5:8" x14ac:dyDescent="0.25">
      <c r="E1439" t="str">
        <f>""</f>
        <v/>
      </c>
      <c r="F1439" t="str">
        <f>""</f>
        <v/>
      </c>
      <c r="H1439" t="str">
        <f t="shared" si="13"/>
        <v>UNEMPLOYMENT QTR END 09/30/18</v>
      </c>
    </row>
    <row r="1440" spans="5:8" x14ac:dyDescent="0.25">
      <c r="E1440" t="str">
        <f>""</f>
        <v/>
      </c>
      <c r="F1440" t="str">
        <f>""</f>
        <v/>
      </c>
      <c r="H1440" t="str">
        <f t="shared" si="13"/>
        <v>UNEMPLOYMENT QTR END 09/30/18</v>
      </c>
    </row>
    <row r="1441" spans="1:9" x14ac:dyDescent="0.25">
      <c r="E1441" t="str">
        <f>""</f>
        <v/>
      </c>
      <c r="F1441" t="str">
        <f>""</f>
        <v/>
      </c>
      <c r="H1441" t="str">
        <f t="shared" si="13"/>
        <v>UNEMPLOYMENT QTR END 09/30/18</v>
      </c>
    </row>
    <row r="1442" spans="1:9" x14ac:dyDescent="0.25">
      <c r="E1442" t="str">
        <f>""</f>
        <v/>
      </c>
      <c r="F1442" t="str">
        <f>""</f>
        <v/>
      </c>
      <c r="H1442" t="str">
        <f t="shared" si="13"/>
        <v>UNEMPLOYMENT QTR END 09/30/18</v>
      </c>
    </row>
    <row r="1443" spans="1:9" x14ac:dyDescent="0.25">
      <c r="E1443" t="str">
        <f>""</f>
        <v/>
      </c>
      <c r="F1443" t="str">
        <f>""</f>
        <v/>
      </c>
      <c r="H1443" t="str">
        <f t="shared" si="13"/>
        <v>UNEMPLOYMENT QTR END 09/30/18</v>
      </c>
    </row>
    <row r="1444" spans="1:9" x14ac:dyDescent="0.25">
      <c r="A1444" t="s">
        <v>27</v>
      </c>
      <c r="B1444">
        <v>79317</v>
      </c>
      <c r="C1444" s="2">
        <v>160</v>
      </c>
      <c r="D1444" s="1">
        <v>43395</v>
      </c>
      <c r="E1444" t="str">
        <f>"278043"</f>
        <v>278043</v>
      </c>
      <c r="F1444" t="str">
        <f>"MEMBER#232001/CONF-L. INGRAM"</f>
        <v>MEMBER#232001/CONF-L. INGRAM</v>
      </c>
      <c r="G1444" s="3">
        <v>160</v>
      </c>
      <c r="H1444" t="str">
        <f>"MEMBER#232001/CONF-L. INGRAM"</f>
        <v>MEMBER#232001/CONF-L. INGRAM</v>
      </c>
    </row>
    <row r="1445" spans="1:9" x14ac:dyDescent="0.25">
      <c r="A1445" t="s">
        <v>27</v>
      </c>
      <c r="B1445">
        <v>79318</v>
      </c>
      <c r="C1445" s="2">
        <v>180</v>
      </c>
      <c r="D1445" s="1">
        <v>43395</v>
      </c>
      <c r="E1445" t="str">
        <f>"278543"</f>
        <v>278543</v>
      </c>
      <c r="F1445" t="str">
        <f>"MEMBER#203162/CONF-R.PIETSCH"</f>
        <v>MEMBER#203162/CONF-R.PIETSCH</v>
      </c>
      <c r="G1445" s="3">
        <v>180</v>
      </c>
      <c r="H1445" t="str">
        <f>"MEMBER#203162/CONF-R.PIETSCH"</f>
        <v>MEMBER#203162/CONF-R.PIETSCH</v>
      </c>
    </row>
    <row r="1446" spans="1:9" x14ac:dyDescent="0.25">
      <c r="A1446" t="s">
        <v>27</v>
      </c>
      <c r="B1446">
        <v>79319</v>
      </c>
      <c r="C1446" s="2">
        <v>160</v>
      </c>
      <c r="D1446" s="1">
        <v>43395</v>
      </c>
      <c r="E1446" t="str">
        <f>"278889"</f>
        <v>278889</v>
      </c>
      <c r="F1446" t="str">
        <f>"MEMBER ID:203296/CONFERENCE"</f>
        <v>MEMBER ID:203296/CONFERENCE</v>
      </c>
      <c r="G1446" s="3">
        <v>160</v>
      </c>
      <c r="H1446" t="str">
        <f>"MEMBER ID:203296/CONFERENCE"</f>
        <v>MEMBER ID:203296/CONFERENCE</v>
      </c>
    </row>
    <row r="1447" spans="1:9" x14ac:dyDescent="0.25">
      <c r="A1447" t="s">
        <v>492</v>
      </c>
      <c r="B1447">
        <v>999999</v>
      </c>
      <c r="C1447" s="2">
        <v>170.9</v>
      </c>
      <c r="D1447" s="1">
        <v>43396</v>
      </c>
      <c r="E1447" t="str">
        <f>"201810114474"</f>
        <v>201810114474</v>
      </c>
      <c r="F1447" t="str">
        <f>"ACCT#0005/PCT#4"</f>
        <v>ACCT#0005/PCT#4</v>
      </c>
      <c r="G1447" s="3">
        <v>170.9</v>
      </c>
      <c r="H1447" t="str">
        <f>"ACCT#0005/PCT#4"</f>
        <v>ACCT#0005/PCT#4</v>
      </c>
    </row>
    <row r="1448" spans="1:9" x14ac:dyDescent="0.25">
      <c r="A1448" t="s">
        <v>493</v>
      </c>
      <c r="B1448">
        <v>79114</v>
      </c>
      <c r="C1448" s="2">
        <v>2472</v>
      </c>
      <c r="D1448" s="1">
        <v>43382</v>
      </c>
      <c r="E1448" t="str">
        <f>"UI 437275"</f>
        <v>UI 437275</v>
      </c>
      <c r="F1448" t="str">
        <f>"Desk DIW Series"</f>
        <v>Desk DIW Series</v>
      </c>
      <c r="G1448" s="3">
        <v>2472</v>
      </c>
      <c r="H1448" t="str">
        <f>"425-21-721003-1"</f>
        <v>425-21-721003-1</v>
      </c>
    </row>
    <row r="1449" spans="1:9" x14ac:dyDescent="0.25">
      <c r="E1449" t="str">
        <f>""</f>
        <v/>
      </c>
      <c r="F1449" t="str">
        <f>""</f>
        <v/>
      </c>
      <c r="H1449" t="str">
        <f>"425-21-721003-5A"</f>
        <v>425-21-721003-5A</v>
      </c>
    </row>
    <row r="1450" spans="1:9" x14ac:dyDescent="0.25">
      <c r="E1450" t="str">
        <f>""</f>
        <v/>
      </c>
      <c r="F1450" t="str">
        <f>""</f>
        <v/>
      </c>
      <c r="H1450" t="str">
        <f>"425-21-721003-5"</f>
        <v>425-21-721003-5</v>
      </c>
    </row>
    <row r="1451" spans="1:9" x14ac:dyDescent="0.25">
      <c r="E1451" t="str">
        <f>""</f>
        <v/>
      </c>
      <c r="F1451" t="str">
        <f>""</f>
        <v/>
      </c>
      <c r="H1451" t="str">
        <f>"425-21-721003-5A"</f>
        <v>425-21-721003-5A</v>
      </c>
    </row>
    <row r="1452" spans="1:9" x14ac:dyDescent="0.25">
      <c r="A1452" t="s">
        <v>494</v>
      </c>
      <c r="B1452">
        <v>79115</v>
      </c>
      <c r="C1452" s="2">
        <v>6016.25</v>
      </c>
      <c r="D1452" s="1">
        <v>43382</v>
      </c>
      <c r="E1452" t="str">
        <f>"UI 439047"</f>
        <v>UI 439047</v>
      </c>
      <c r="F1452" t="str">
        <f>"INV UI 439047"</f>
        <v>INV UI 439047</v>
      </c>
      <c r="G1452" s="3">
        <v>4815.25</v>
      </c>
      <c r="H1452" t="str">
        <f>"INV UI 439047"</f>
        <v>INV UI 439047</v>
      </c>
    </row>
    <row r="1453" spans="1:9" x14ac:dyDescent="0.25">
      <c r="E1453" t="str">
        <f>"UI438971"</f>
        <v>UI438971</v>
      </c>
      <c r="F1453" t="str">
        <f>"INV UI438971"</f>
        <v>INV UI438971</v>
      </c>
      <c r="G1453" s="3">
        <v>1201</v>
      </c>
      <c r="H1453" t="str">
        <f>"INV UI438971"</f>
        <v>INV UI438971</v>
      </c>
    </row>
    <row r="1454" spans="1:9" x14ac:dyDescent="0.25">
      <c r="A1454" t="s">
        <v>495</v>
      </c>
      <c r="B1454">
        <v>79116</v>
      </c>
      <c r="C1454" s="2">
        <v>12</v>
      </c>
      <c r="D1454" s="1">
        <v>43382</v>
      </c>
      <c r="E1454" t="str">
        <f>"CRS-201808-152760"</f>
        <v>CRS-201808-152760</v>
      </c>
      <c r="F1454" t="str">
        <f>"SECURE SITE CCH NAME SEARCH"</f>
        <v>SECURE SITE CCH NAME SEARCH</v>
      </c>
      <c r="G1454" s="3">
        <v>12</v>
      </c>
      <c r="H1454" t="str">
        <f>"SECURE SITE CCH NAME SEARCH"</f>
        <v>SECURE SITE CCH NAME SEARCH</v>
      </c>
    </row>
    <row r="1455" spans="1:9" x14ac:dyDescent="0.25">
      <c r="A1455" t="s">
        <v>495</v>
      </c>
      <c r="B1455">
        <v>79117</v>
      </c>
      <c r="C1455" s="2">
        <v>157</v>
      </c>
      <c r="D1455" s="1">
        <v>43382</v>
      </c>
      <c r="E1455" t="s">
        <v>260</v>
      </c>
      <c r="F1455" t="s">
        <v>496</v>
      </c>
      <c r="G1455" s="3" t="str">
        <f>"RESTITUTION-A. BERNAL"</f>
        <v>RESTITUTION-A. BERNAL</v>
      </c>
      <c r="H1455" t="str">
        <f>"210-0000"</f>
        <v>210-0000</v>
      </c>
      <c r="I1455" t="str">
        <f>""</f>
        <v/>
      </c>
    </row>
    <row r="1456" spans="1:9" x14ac:dyDescent="0.25">
      <c r="E1456" t="s">
        <v>274</v>
      </c>
      <c r="F1456" t="s">
        <v>497</v>
      </c>
      <c r="G1456" s="3" t="str">
        <f>"RESTITUTION-N. HARTMAN"</f>
        <v>RESTITUTION-N. HARTMAN</v>
      </c>
      <c r="H1456" t="str">
        <f>"210-0000"</f>
        <v>210-0000</v>
      </c>
      <c r="I1456" t="str">
        <f>""</f>
        <v/>
      </c>
    </row>
    <row r="1457" spans="1:8" x14ac:dyDescent="0.25">
      <c r="A1457" t="s">
        <v>498</v>
      </c>
      <c r="B1457">
        <v>79118</v>
      </c>
      <c r="C1457" s="2">
        <v>345</v>
      </c>
      <c r="D1457" s="1">
        <v>43382</v>
      </c>
      <c r="E1457" t="str">
        <f>"201810034157"</f>
        <v>201810034157</v>
      </c>
      <c r="F1457" t="str">
        <f>"TXFACT  LLC"</f>
        <v>TXFACT  LLC</v>
      </c>
      <c r="G1457" s="3">
        <v>345</v>
      </c>
      <c r="H1457" t="str">
        <f>"REGISTRATION"</f>
        <v>REGISTRATION</v>
      </c>
    </row>
    <row r="1458" spans="1:8" x14ac:dyDescent="0.25">
      <c r="A1458" t="s">
        <v>498</v>
      </c>
      <c r="B1458">
        <v>79320</v>
      </c>
      <c r="C1458" s="2">
        <v>690</v>
      </c>
      <c r="D1458" s="1">
        <v>43395</v>
      </c>
      <c r="E1458" t="str">
        <f>"3038"</f>
        <v>3038</v>
      </c>
      <c r="F1458" t="str">
        <f>"INV 3038"</f>
        <v>INV 3038</v>
      </c>
      <c r="G1458" s="3">
        <v>690</v>
      </c>
      <c r="H1458" t="str">
        <f>"INV 3038"</f>
        <v>INV 3038</v>
      </c>
    </row>
    <row r="1459" spans="1:8" x14ac:dyDescent="0.25">
      <c r="A1459" t="s">
        <v>499</v>
      </c>
      <c r="B1459">
        <v>79119</v>
      </c>
      <c r="C1459" s="2">
        <v>150</v>
      </c>
      <c r="D1459" s="1">
        <v>43382</v>
      </c>
      <c r="E1459" t="str">
        <f>"43289"</f>
        <v>43289</v>
      </c>
      <c r="F1459" t="str">
        <f>"FY_19 NEW COURT PERSONNEL SEMI"</f>
        <v>FY_19 NEW COURT PERSONNEL SEMI</v>
      </c>
      <c r="G1459" s="3">
        <v>150</v>
      </c>
      <c r="H1459" t="str">
        <f>"FY_19 NEW COURT PERSONNEL SEMI"</f>
        <v>FY_19 NEW COURT PERSONNEL SEMI</v>
      </c>
    </row>
    <row r="1460" spans="1:8" x14ac:dyDescent="0.25">
      <c r="A1460" t="s">
        <v>499</v>
      </c>
      <c r="B1460">
        <v>79321</v>
      </c>
      <c r="C1460" s="2">
        <v>150</v>
      </c>
      <c r="D1460" s="1">
        <v>43395</v>
      </c>
      <c r="E1460" t="str">
        <f>"44358"</f>
        <v>44358</v>
      </c>
      <c r="F1460" t="str">
        <f>"JUSTICE OF THE PEACE-R.DAVIS"</f>
        <v>JUSTICE OF THE PEACE-R.DAVIS</v>
      </c>
      <c r="G1460" s="3">
        <v>150</v>
      </c>
      <c r="H1460" t="str">
        <f>"JUSTICE OF THE PEACE-R.DAVIS"</f>
        <v>JUSTICE OF THE PEACE-R.DAVIS</v>
      </c>
    </row>
    <row r="1461" spans="1:8" x14ac:dyDescent="0.25">
      <c r="A1461" t="s">
        <v>501</v>
      </c>
      <c r="B1461">
        <v>79120</v>
      </c>
      <c r="C1461" s="2">
        <v>2732.75</v>
      </c>
      <c r="D1461" s="1">
        <v>43382</v>
      </c>
      <c r="E1461" t="str">
        <f>"1CO-0284-18"</f>
        <v>1CO-0284-18</v>
      </c>
      <c r="F1461" t="str">
        <f>"A-12097 - P. BELL"</f>
        <v>A-12097 - P. BELL</v>
      </c>
      <c r="G1461" s="3">
        <v>114.75</v>
      </c>
      <c r="H1461" t="str">
        <f>"A-12097 - P. BELL"</f>
        <v>A-12097 - P. BELL</v>
      </c>
    </row>
    <row r="1462" spans="1:8" x14ac:dyDescent="0.25">
      <c r="E1462" t="str">
        <f>"1CO-0303-18"</f>
        <v>1CO-0303-18</v>
      </c>
      <c r="F1462" t="str">
        <f>"A8243959-D. STAHL"</f>
        <v>A8243959-D. STAHL</v>
      </c>
      <c r="G1462" s="3">
        <v>157.25</v>
      </c>
      <c r="H1462" t="str">
        <f>"A8243959-D. STAHL"</f>
        <v>A8243959-D. STAHL</v>
      </c>
    </row>
    <row r="1463" spans="1:8" x14ac:dyDescent="0.25">
      <c r="E1463" t="str">
        <f>"1CO-0306-18"</f>
        <v>1CO-0306-18</v>
      </c>
      <c r="F1463" t="str">
        <f>"A8243970-C. BETAK"</f>
        <v>A8243970-C. BETAK</v>
      </c>
      <c r="G1463" s="3">
        <v>157.25</v>
      </c>
      <c r="H1463" t="str">
        <f>"A8243970-C. BETAK"</f>
        <v>A8243970-C. BETAK</v>
      </c>
    </row>
    <row r="1464" spans="1:8" x14ac:dyDescent="0.25">
      <c r="E1464" t="str">
        <f>"1CO-0354-18"</f>
        <v>1CO-0354-18</v>
      </c>
      <c r="F1464" t="str">
        <f>"A8243975-L. CAMPBELL"</f>
        <v>A8243975-L. CAMPBELL</v>
      </c>
      <c r="G1464" s="3">
        <v>157.25</v>
      </c>
      <c r="H1464" t="str">
        <f>"A8243975-L. CAMPBELL"</f>
        <v>A8243975-L. CAMPBELL</v>
      </c>
    </row>
    <row r="1465" spans="1:8" x14ac:dyDescent="0.25">
      <c r="E1465" t="str">
        <f>"1CO-0356-18"</f>
        <v>1CO-0356-18</v>
      </c>
      <c r="F1465" t="str">
        <f>"A-11859 - J. RODRIGUEZ"</f>
        <v>A-11859 - J. RODRIGUEZ</v>
      </c>
      <c r="G1465" s="3">
        <v>157.25</v>
      </c>
      <c r="H1465" t="str">
        <f>"A-11859 - J. RODRIGUEZ"</f>
        <v>A-11859 - J. RODRIGUEZ</v>
      </c>
    </row>
    <row r="1466" spans="1:8" x14ac:dyDescent="0.25">
      <c r="E1466" t="str">
        <f>"1CO-0403-18"</f>
        <v>1CO-0403-18</v>
      </c>
      <c r="F1466" t="str">
        <f>"A8245761-B. RYAN"</f>
        <v>A8245761-B. RYAN</v>
      </c>
      <c r="G1466" s="3">
        <v>114.75</v>
      </c>
      <c r="H1466" t="str">
        <f>"A8245761-G. ALANIZ"</f>
        <v>A8245761-G. ALANIZ</v>
      </c>
    </row>
    <row r="1467" spans="1:8" x14ac:dyDescent="0.25">
      <c r="E1467" t="str">
        <f>"1CO-0761-17"</f>
        <v>1CO-0761-17</v>
      </c>
      <c r="F1467" t="str">
        <f>"A8139440 - C. BRITT"</f>
        <v>A8139440 - C. BRITT</v>
      </c>
      <c r="G1467" s="3">
        <v>114.75</v>
      </c>
      <c r="H1467" t="str">
        <f>"A8139440 - C. BRITT"</f>
        <v>A8139440 - C. BRITT</v>
      </c>
    </row>
    <row r="1468" spans="1:8" x14ac:dyDescent="0.25">
      <c r="E1468" t="str">
        <f>"1CO-1028-17"</f>
        <v>1CO-1028-17</v>
      </c>
      <c r="F1468" t="str">
        <f>"A-11417 - D. LEOBARDO"</f>
        <v>A-11417 - D. LEOBARDO</v>
      </c>
      <c r="G1468" s="3">
        <v>114.75</v>
      </c>
      <c r="H1468" t="str">
        <f>"A-11417 - D. LEOBARDO"</f>
        <v>A-11417 - D. LEOBARDO</v>
      </c>
    </row>
    <row r="1469" spans="1:8" x14ac:dyDescent="0.25">
      <c r="E1469" t="str">
        <f>"1CO-1377-14"</f>
        <v>1CO-1377-14</v>
      </c>
      <c r="F1469" t="str">
        <f>"A8048881-T. MILLER"</f>
        <v>A8048881-T. MILLER</v>
      </c>
      <c r="G1469" s="3">
        <v>114.75</v>
      </c>
      <c r="H1469" t="str">
        <f>"A8048881-T. MILLER"</f>
        <v>A8048881-T. MILLER</v>
      </c>
    </row>
    <row r="1470" spans="1:8" x14ac:dyDescent="0.25">
      <c r="E1470" t="str">
        <f>"J2-47935"</f>
        <v>J2-47935</v>
      </c>
      <c r="F1470" t="str">
        <f>"A-13085 - W. HARDISON"</f>
        <v>A-13085 - W. HARDISON</v>
      </c>
      <c r="G1470" s="3">
        <v>114.75</v>
      </c>
      <c r="H1470" t="str">
        <f>"A-13085 - W. HARDISON"</f>
        <v>A-13085 - W. HARDISON</v>
      </c>
    </row>
    <row r="1471" spans="1:8" x14ac:dyDescent="0.25">
      <c r="E1471" t="str">
        <f>"J2-49075"</f>
        <v>J2-49075</v>
      </c>
      <c r="F1471" t="str">
        <f>"A10629 - D. RODRIGUEZ"</f>
        <v>A10629 - D. RODRIGUEZ</v>
      </c>
      <c r="G1471" s="3">
        <v>157.25</v>
      </c>
      <c r="H1471" t="str">
        <f>"A10629 - D. RODRIGUEZ"</f>
        <v>A10629 - D. RODRIGUEZ</v>
      </c>
    </row>
    <row r="1472" spans="1:8" x14ac:dyDescent="0.25">
      <c r="E1472" t="str">
        <f>"J2-54179"</f>
        <v>J2-54179</v>
      </c>
      <c r="F1472" t="str">
        <f>"A8210586 - J. TIJERINA"</f>
        <v>A8210586 - J. TIJERINA</v>
      </c>
      <c r="G1472" s="3">
        <v>114.75</v>
      </c>
      <c r="H1472" t="str">
        <f>"A8210586 - J. TIJERINA"</f>
        <v>A8210586 - J. TIJERINA</v>
      </c>
    </row>
    <row r="1473" spans="1:8" x14ac:dyDescent="0.25">
      <c r="E1473" t="str">
        <f>"J2-54313"</f>
        <v>J2-54313</v>
      </c>
      <c r="F1473" t="str">
        <f>"A-13380 - O. AVILES-SOTO"</f>
        <v>A-13380 - O. AVILES-SOTO</v>
      </c>
      <c r="G1473" s="3">
        <v>170</v>
      </c>
      <c r="H1473" t="str">
        <f>"A-13380 - O. AVILES-SOTO"</f>
        <v>A-13380 - O. AVILES-SOTO</v>
      </c>
    </row>
    <row r="1474" spans="1:8" x14ac:dyDescent="0.25">
      <c r="E1474" t="str">
        <f>"J2-55664"</f>
        <v>J2-55664</v>
      </c>
      <c r="F1474" t="str">
        <f>"A8210972 - P. HEIGH"</f>
        <v>A8210972 - P. HEIGH</v>
      </c>
      <c r="G1474" s="3">
        <v>114.75</v>
      </c>
      <c r="H1474" t="str">
        <f>"A8210972 - P. HEIGH"</f>
        <v>A8210972 - P. HEIGH</v>
      </c>
    </row>
    <row r="1475" spans="1:8" x14ac:dyDescent="0.25">
      <c r="E1475" t="str">
        <f>"J2-55941"</f>
        <v>J2-55941</v>
      </c>
      <c r="F1475" t="str">
        <f>"A13276 - M.D. SORTOR"</f>
        <v>A13276 - M.D. SORTOR</v>
      </c>
      <c r="G1475" s="3">
        <v>170</v>
      </c>
      <c r="H1475" t="str">
        <f>"A13276 - M.D. SORTOR"</f>
        <v>A13276 - M.D. SORTOR</v>
      </c>
    </row>
    <row r="1476" spans="1:8" x14ac:dyDescent="0.25">
      <c r="E1476" t="str">
        <f>"J2-56166"</f>
        <v>J2-56166</v>
      </c>
      <c r="F1476" t="str">
        <f>"A8258518 - R. CONNER"</f>
        <v>A8258518 - R. CONNER</v>
      </c>
      <c r="G1476" s="3">
        <v>114.75</v>
      </c>
      <c r="H1476" t="str">
        <f>"A8258518 - R. CONNER"</f>
        <v>A8258518 - R. CONNER</v>
      </c>
    </row>
    <row r="1477" spans="1:8" x14ac:dyDescent="0.25">
      <c r="E1477" t="str">
        <f>"J2-56621"</f>
        <v>J2-56621</v>
      </c>
      <c r="F1477" t="str">
        <f>"A-13300 - S. GARCIA-SALAS"</f>
        <v>A-13300 - S. GARCIA-SALAS</v>
      </c>
      <c r="G1477" s="3">
        <v>114.75</v>
      </c>
      <c r="H1477" t="str">
        <f>"A-13300 - S. GARCIA-SALAS"</f>
        <v>A-13300 - S. GARCIA-SALAS</v>
      </c>
    </row>
    <row r="1478" spans="1:8" x14ac:dyDescent="0.25">
      <c r="E1478" t="str">
        <f>"J2-56624"</f>
        <v>J2-56624</v>
      </c>
      <c r="F1478" t="str">
        <f>"A13298 - A. MELENDEZ"</f>
        <v>A13298 - A. MELENDEZ</v>
      </c>
      <c r="G1478" s="3">
        <v>114.75</v>
      </c>
      <c r="H1478" t="str">
        <f>"A13298 - A. MELENDEZ"</f>
        <v>A13298 - A. MELENDEZ</v>
      </c>
    </row>
    <row r="1479" spans="1:8" x14ac:dyDescent="0.25">
      <c r="E1479" t="str">
        <f>"J2-58148"</f>
        <v>J2-58148</v>
      </c>
      <c r="F1479" t="str">
        <f>"A8245826 - B. ELLISON"</f>
        <v>A8245826 - B. ELLISON</v>
      </c>
      <c r="G1479" s="3">
        <v>114.75</v>
      </c>
      <c r="H1479" t="str">
        <f>"A8245826 - B. ELLISON"</f>
        <v>A8245826 - B. ELLISON</v>
      </c>
    </row>
    <row r="1480" spans="1:8" x14ac:dyDescent="0.25">
      <c r="E1480" t="str">
        <f>"J2-59904"</f>
        <v>J2-59904</v>
      </c>
      <c r="F1480" t="str">
        <f>"A8271085 - J. CASTELLANOS"</f>
        <v>A8271085 - J. CASTELLANOS</v>
      </c>
      <c r="G1480" s="3">
        <v>114.75</v>
      </c>
      <c r="H1480" t="str">
        <f>"A8271085 - J. CASTELLANOS"</f>
        <v>A8271085 - J. CASTELLANOS</v>
      </c>
    </row>
    <row r="1481" spans="1:8" x14ac:dyDescent="0.25">
      <c r="E1481" t="str">
        <f>"J2-59908"</f>
        <v>J2-59908</v>
      </c>
      <c r="F1481" t="str">
        <f>"A8271086 - J. ROST"</f>
        <v>A8271086 - J. ROST</v>
      </c>
      <c r="G1481" s="3">
        <v>114.75</v>
      </c>
      <c r="H1481" t="str">
        <f>"A8271086 - J. ROST"</f>
        <v>A8271086 - J. ROST</v>
      </c>
    </row>
    <row r="1482" spans="1:8" x14ac:dyDescent="0.25">
      <c r="A1482" t="s">
        <v>502</v>
      </c>
      <c r="B1482">
        <v>79322</v>
      </c>
      <c r="C1482" s="2">
        <v>322.02</v>
      </c>
      <c r="D1482" s="1">
        <v>43395</v>
      </c>
      <c r="E1482" t="str">
        <f>"181013"</f>
        <v>181013</v>
      </c>
      <c r="F1482" t="str">
        <f>"SPRAY NOZZLE/PCT#2"</f>
        <v>SPRAY NOZZLE/PCT#2</v>
      </c>
      <c r="G1482" s="3">
        <v>322.02</v>
      </c>
      <c r="H1482" t="str">
        <f>"SPRAY NOZZLE/PCT#2"</f>
        <v>SPRAY NOZZLE/PCT#2</v>
      </c>
    </row>
    <row r="1483" spans="1:8" x14ac:dyDescent="0.25">
      <c r="A1483" t="s">
        <v>500</v>
      </c>
      <c r="B1483">
        <v>79323</v>
      </c>
      <c r="C1483" s="2">
        <v>250</v>
      </c>
      <c r="D1483" s="1">
        <v>43395</v>
      </c>
      <c r="E1483" t="str">
        <f>"6641"</f>
        <v>6641</v>
      </c>
      <c r="F1483" t="str">
        <f>"INV 6641"</f>
        <v>INV 6641</v>
      </c>
      <c r="G1483" s="3">
        <v>250</v>
      </c>
      <c r="H1483" t="str">
        <f>"INV 6641 MARK WHITE"</f>
        <v>INV 6641 MARK WHITE</v>
      </c>
    </row>
    <row r="1484" spans="1:8" x14ac:dyDescent="0.25">
      <c r="A1484" t="s">
        <v>503</v>
      </c>
      <c r="B1484">
        <v>79121</v>
      </c>
      <c r="C1484" s="2">
        <v>1273.5</v>
      </c>
      <c r="D1484" s="1">
        <v>43382</v>
      </c>
      <c r="E1484" t="str">
        <f>"75194"</f>
        <v>75194</v>
      </c>
      <c r="F1484" t="str">
        <f>"ACCT#188757/ROAD &amp; BRIDGE"</f>
        <v>ACCT#188757/ROAD &amp; BRIDGE</v>
      </c>
      <c r="G1484" s="3">
        <v>95</v>
      </c>
      <c r="H1484" t="str">
        <f>"ACCT#188757/ROAD &amp; BRIDGE"</f>
        <v>ACCT#188757/ROAD &amp; BRIDGE</v>
      </c>
    </row>
    <row r="1485" spans="1:8" x14ac:dyDescent="0.25">
      <c r="E1485" t="str">
        <f>"75364"</f>
        <v>75364</v>
      </c>
      <c r="F1485" t="str">
        <f>"ACCT#188757/MIKE FISHER BLDG"</f>
        <v>ACCT#188757/MIKE FISHER BLDG</v>
      </c>
      <c r="G1485" s="3">
        <v>112</v>
      </c>
      <c r="H1485" t="str">
        <f>"ACCT#188757/MIKE FISHER BLDG"</f>
        <v>ACCT#188757/MIKE FISHER BLDG</v>
      </c>
    </row>
    <row r="1486" spans="1:8" x14ac:dyDescent="0.25">
      <c r="E1486" t="str">
        <f>"76009"</f>
        <v>76009</v>
      </c>
      <c r="F1486" t="str">
        <f>"ACCT#188757/JUVENILE PROBATION"</f>
        <v>ACCT#188757/JUVENILE PROBATION</v>
      </c>
      <c r="G1486" s="3">
        <v>132</v>
      </c>
      <c r="H1486" t="str">
        <f>"ACCT#188757/JUVENILE PROBATION"</f>
        <v>ACCT#188757/JUVENILE PROBATION</v>
      </c>
    </row>
    <row r="1487" spans="1:8" x14ac:dyDescent="0.25">
      <c r="E1487" t="str">
        <f>"76014"</f>
        <v>76014</v>
      </c>
      <c r="F1487" t="str">
        <f>"ACCT#188757/DPS/TDL"</f>
        <v>ACCT#188757/DPS/TDL</v>
      </c>
      <c r="G1487" s="3">
        <v>76</v>
      </c>
      <c r="H1487" t="str">
        <f>"ACCT#188757/DPS/TDL"</f>
        <v>ACCT#188757/DPS/TDL</v>
      </c>
    </row>
    <row r="1488" spans="1:8" x14ac:dyDescent="0.25">
      <c r="E1488" t="str">
        <f>"76026"</f>
        <v>76026</v>
      </c>
      <c r="F1488" t="str">
        <f>"ACCT#188757/HISTORIC JAIL"</f>
        <v>ACCT#188757/HISTORIC JAIL</v>
      </c>
      <c r="G1488" s="3">
        <v>76</v>
      </c>
      <c r="H1488" t="str">
        <f>"ACCT#188757/HISTORIC JAIL"</f>
        <v>ACCT#188757/HISTORIC JAIL</v>
      </c>
    </row>
    <row r="1489" spans="1:8" x14ac:dyDescent="0.25">
      <c r="E1489" t="str">
        <f>"76028"</f>
        <v>76028</v>
      </c>
      <c r="F1489" t="str">
        <f>"ACCT#188757/CT HSE MAIN/ANNEX"</f>
        <v>ACCT#188757/CT HSE MAIN/ANNEX</v>
      </c>
      <c r="G1489" s="3">
        <v>137</v>
      </c>
      <c r="H1489" t="str">
        <f>"ACCT#188757/CT HSE MAIN/ANNEX"</f>
        <v>ACCT#188757/CT HSE MAIN/ANNEX</v>
      </c>
    </row>
    <row r="1490" spans="1:8" x14ac:dyDescent="0.25">
      <c r="E1490" t="str">
        <f>"76046"</f>
        <v>76046</v>
      </c>
      <c r="F1490" t="str">
        <f>"ACCT#188757/EXT HAB OFF BLDG"</f>
        <v>ACCT#188757/EXT HAB OFF BLDG</v>
      </c>
      <c r="G1490" s="3">
        <v>89</v>
      </c>
      <c r="H1490" t="str">
        <f>"ACCT#188757/EXT HAB OFF BLDG"</f>
        <v>ACCT#188757/EXT HAB OFF BLDG</v>
      </c>
    </row>
    <row r="1491" spans="1:8" x14ac:dyDescent="0.25">
      <c r="E1491" t="str">
        <f>"76307"</f>
        <v>76307</v>
      </c>
      <c r="F1491" t="str">
        <f>"ACCT#188757/TAX OFFICE"</f>
        <v>ACCT#188757/TAX OFFICE</v>
      </c>
      <c r="G1491" s="3">
        <v>102</v>
      </c>
      <c r="H1491" t="str">
        <f>"ACCT#188757/TAX OFFICE"</f>
        <v>ACCT#188757/TAX OFFICE</v>
      </c>
    </row>
    <row r="1492" spans="1:8" x14ac:dyDescent="0.25">
      <c r="E1492" t="str">
        <f>"76355"</f>
        <v>76355</v>
      </c>
      <c r="F1492" t="str">
        <f>"ACCT#188757/PCT4 ROAD &amp; BRIDGE"</f>
        <v>ACCT#188757/PCT4 ROAD &amp; BRIDGE</v>
      </c>
      <c r="G1492" s="3">
        <v>95.5</v>
      </c>
      <c r="H1492" t="str">
        <f>"ACCT#188757/PCT4 ROAD &amp; BRIDGE"</f>
        <v>ACCT#188757/PCT4 ROAD &amp; BRIDGE</v>
      </c>
    </row>
    <row r="1493" spans="1:8" x14ac:dyDescent="0.25">
      <c r="E1493" t="str">
        <f>"76436"</f>
        <v>76436</v>
      </c>
      <c r="F1493" t="str">
        <f>"ACCT#188757/ANIMAL SHELTER"</f>
        <v>ACCT#188757/ANIMAL SHELTER</v>
      </c>
      <c r="G1493" s="3">
        <v>290</v>
      </c>
      <c r="H1493" t="str">
        <f>"ACCT#188757/ANIMAL SHELTER"</f>
        <v>ACCT#188757/ANIMAL SHELTER</v>
      </c>
    </row>
    <row r="1494" spans="1:8" x14ac:dyDescent="0.25">
      <c r="E1494" t="str">
        <f>"76440"</f>
        <v>76440</v>
      </c>
      <c r="F1494" t="str">
        <f>"ACCT#188757/LBJ BLDG/HLTH DPT"</f>
        <v>ACCT#188757/LBJ BLDG/HLTH DPT</v>
      </c>
      <c r="G1494" s="3">
        <v>69</v>
      </c>
      <c r="H1494" t="str">
        <f>"ACCT#188757/LBJ BLDG/HLTH DPT"</f>
        <v>ACCT#188757/LBJ BLDG/HLTH DPT</v>
      </c>
    </row>
    <row r="1495" spans="1:8" x14ac:dyDescent="0.25">
      <c r="A1495" t="s">
        <v>503</v>
      </c>
      <c r="B1495">
        <v>79324</v>
      </c>
      <c r="C1495" s="2">
        <v>243.5</v>
      </c>
      <c r="D1495" s="1">
        <v>43395</v>
      </c>
      <c r="E1495" t="str">
        <f>"75207"</f>
        <v>75207</v>
      </c>
      <c r="F1495" t="str">
        <f>"ACCT#188757/JUVENILE BOOT CAMP"</f>
        <v>ACCT#188757/JUVENILE BOOT CAMP</v>
      </c>
      <c r="G1495" s="3">
        <v>118.5</v>
      </c>
      <c r="H1495" t="str">
        <f>"ACCT#188757/JUVENILE BOOT CAMP"</f>
        <v>ACCT#188757/JUVENILE BOOT CAMP</v>
      </c>
    </row>
    <row r="1496" spans="1:8" x14ac:dyDescent="0.25">
      <c r="E1496" t="str">
        <f>"77770"</f>
        <v>77770</v>
      </c>
      <c r="F1496" t="str">
        <f>"ACCT#188757/CEDAR CREEK PARK"</f>
        <v>ACCT#188757/CEDAR CREEK PARK</v>
      </c>
      <c r="G1496" s="3">
        <v>125</v>
      </c>
      <c r="H1496" t="str">
        <f>"ACCT#188757/CEDAR CREEK PARK"</f>
        <v>ACCT#188757/CEDAR CREEK PARK</v>
      </c>
    </row>
    <row r="1497" spans="1:8" x14ac:dyDescent="0.25">
      <c r="A1497" t="s">
        <v>504</v>
      </c>
      <c r="B1497">
        <v>79122</v>
      </c>
      <c r="C1497" s="2">
        <v>875</v>
      </c>
      <c r="D1497" s="1">
        <v>43382</v>
      </c>
      <c r="E1497" t="str">
        <f>"201810024050"</f>
        <v>201810024050</v>
      </c>
      <c r="F1497" t="str">
        <f>"56 055"</f>
        <v>56 055</v>
      </c>
      <c r="G1497" s="3">
        <v>250</v>
      </c>
      <c r="H1497" t="str">
        <f>"56 055"</f>
        <v>56 055</v>
      </c>
    </row>
    <row r="1498" spans="1:8" x14ac:dyDescent="0.25">
      <c r="E1498" t="str">
        <f>"201810024051"</f>
        <v>201810024051</v>
      </c>
      <c r="F1498" t="str">
        <f>"56387"</f>
        <v>56387</v>
      </c>
      <c r="G1498" s="3">
        <v>250</v>
      </c>
      <c r="H1498" t="str">
        <f>"56387"</f>
        <v>56387</v>
      </c>
    </row>
    <row r="1499" spans="1:8" x14ac:dyDescent="0.25">
      <c r="E1499" t="str">
        <f>"201810024052"</f>
        <v>201810024052</v>
      </c>
      <c r="F1499" t="str">
        <f>"55505  55785"</f>
        <v>55505  55785</v>
      </c>
      <c r="G1499" s="3">
        <v>375</v>
      </c>
      <c r="H1499" t="str">
        <f>"55505  55785"</f>
        <v>55505  55785</v>
      </c>
    </row>
    <row r="1500" spans="1:8" x14ac:dyDescent="0.25">
      <c r="A1500" t="s">
        <v>504</v>
      </c>
      <c r="B1500">
        <v>79325</v>
      </c>
      <c r="C1500" s="2">
        <v>625</v>
      </c>
      <c r="D1500" s="1">
        <v>43395</v>
      </c>
      <c r="E1500" t="str">
        <f>"201810164545"</f>
        <v>201810164545</v>
      </c>
      <c r="F1500" t="str">
        <f>"56 131"</f>
        <v>56 131</v>
      </c>
      <c r="G1500" s="3">
        <v>250</v>
      </c>
      <c r="H1500" t="str">
        <f>"56 131"</f>
        <v>56 131</v>
      </c>
    </row>
    <row r="1501" spans="1:8" x14ac:dyDescent="0.25">
      <c r="E1501" t="str">
        <f>"201810164551"</f>
        <v>201810164551</v>
      </c>
      <c r="F1501" t="str">
        <f>"55450  56389"</f>
        <v>55450  56389</v>
      </c>
      <c r="G1501" s="3">
        <v>375</v>
      </c>
      <c r="H1501" t="str">
        <f>"55450  56389"</f>
        <v>55450  56389</v>
      </c>
    </row>
    <row r="1502" spans="1:8" x14ac:dyDescent="0.25">
      <c r="A1502" t="s">
        <v>505</v>
      </c>
      <c r="B1502">
        <v>999999</v>
      </c>
      <c r="C1502" s="2">
        <v>4987.5</v>
      </c>
      <c r="D1502" s="1">
        <v>43383</v>
      </c>
      <c r="E1502" t="str">
        <f>"201809253887"</f>
        <v>201809253887</v>
      </c>
      <c r="F1502" t="str">
        <f>"55 607"</f>
        <v>55 607</v>
      </c>
      <c r="G1502" s="3">
        <v>250</v>
      </c>
      <c r="H1502" t="str">
        <f>"55 607"</f>
        <v>55 607</v>
      </c>
    </row>
    <row r="1503" spans="1:8" x14ac:dyDescent="0.25">
      <c r="E1503" t="str">
        <f>"201809253904"</f>
        <v>201809253904</v>
      </c>
      <c r="F1503" t="str">
        <f>"407145-1"</f>
        <v>407145-1</v>
      </c>
      <c r="G1503" s="3">
        <v>400</v>
      </c>
      <c r="H1503" t="str">
        <f>"407145-1"</f>
        <v>407145-1</v>
      </c>
    </row>
    <row r="1504" spans="1:8" x14ac:dyDescent="0.25">
      <c r="E1504" t="str">
        <f>"201809253905"</f>
        <v>201809253905</v>
      </c>
      <c r="F1504" t="str">
        <f>"18-19013"</f>
        <v>18-19013</v>
      </c>
      <c r="G1504" s="3">
        <v>300</v>
      </c>
      <c r="H1504" t="str">
        <f>"18-19013"</f>
        <v>18-19013</v>
      </c>
    </row>
    <row r="1505" spans="1:8" x14ac:dyDescent="0.25">
      <c r="E1505" t="str">
        <f>"201809273953"</f>
        <v>201809273953</v>
      </c>
      <c r="F1505" t="str">
        <f>"16 382  1JP32186"</f>
        <v>16 382  1JP32186</v>
      </c>
      <c r="G1505" s="3">
        <v>600</v>
      </c>
      <c r="H1505" t="str">
        <f>"16 382  1JP32186"</f>
        <v>16 382  1JP32186</v>
      </c>
    </row>
    <row r="1506" spans="1:8" x14ac:dyDescent="0.25">
      <c r="E1506" t="str">
        <f>"201809273954"</f>
        <v>201809273954</v>
      </c>
      <c r="F1506" t="str">
        <f>"16 517"</f>
        <v>16 517</v>
      </c>
      <c r="G1506" s="3">
        <v>600</v>
      </c>
      <c r="H1506" t="str">
        <f>"16 517"</f>
        <v>16 517</v>
      </c>
    </row>
    <row r="1507" spans="1:8" x14ac:dyDescent="0.25">
      <c r="E1507" t="str">
        <f>"201809273955"</f>
        <v>201809273955</v>
      </c>
      <c r="F1507" t="str">
        <f>"16 660  JP3 30 3112018-B"</f>
        <v>16 660  JP3 30 3112018-B</v>
      </c>
      <c r="G1507" s="3">
        <v>600</v>
      </c>
      <c r="H1507" t="str">
        <f>"16 660  JP3 30 3112018-B"</f>
        <v>16 660  JP3 30 3112018-B</v>
      </c>
    </row>
    <row r="1508" spans="1:8" x14ac:dyDescent="0.25">
      <c r="E1508" t="str">
        <f>"201809283972"</f>
        <v>201809283972</v>
      </c>
      <c r="F1508" t="str">
        <f>"933-21  (C180555)"</f>
        <v>933-21  (C180555)</v>
      </c>
      <c r="G1508" s="3">
        <v>100</v>
      </c>
      <c r="H1508" t="str">
        <f>"933-21  (C180555)"</f>
        <v>933-21  (C180555)</v>
      </c>
    </row>
    <row r="1509" spans="1:8" x14ac:dyDescent="0.25">
      <c r="E1509" t="str">
        <f>"201809283973"</f>
        <v>201809283973</v>
      </c>
      <c r="F1509" t="str">
        <f>"DCPC18-129"</f>
        <v>DCPC18-129</v>
      </c>
      <c r="G1509" s="3">
        <v>100</v>
      </c>
      <c r="H1509" t="str">
        <f>"DCPC18-129"</f>
        <v>DCPC18-129</v>
      </c>
    </row>
    <row r="1510" spans="1:8" x14ac:dyDescent="0.25">
      <c r="E1510" t="str">
        <f>"201810024043"</f>
        <v>201810024043</v>
      </c>
      <c r="F1510" t="str">
        <f>"17-18738"</f>
        <v>17-18738</v>
      </c>
      <c r="G1510" s="3">
        <v>175</v>
      </c>
      <c r="H1510" t="str">
        <f>"17-18738"</f>
        <v>17-18738</v>
      </c>
    </row>
    <row r="1511" spans="1:8" x14ac:dyDescent="0.25">
      <c r="E1511" t="str">
        <f>"201810024060"</f>
        <v>201810024060</v>
      </c>
      <c r="F1511" t="str">
        <f>"56 271"</f>
        <v>56 271</v>
      </c>
      <c r="G1511" s="3">
        <v>250</v>
      </c>
      <c r="H1511" t="str">
        <f>"56 271"</f>
        <v>56 271</v>
      </c>
    </row>
    <row r="1512" spans="1:8" x14ac:dyDescent="0.25">
      <c r="E1512" t="str">
        <f>"201810024064"</f>
        <v>201810024064</v>
      </c>
      <c r="F1512" t="str">
        <f>"JP3303112018-A"</f>
        <v>JP3303112018-A</v>
      </c>
      <c r="G1512" s="3">
        <v>250</v>
      </c>
      <c r="H1512" t="str">
        <f>"JP3303112018-A"</f>
        <v>JP3303112018-A</v>
      </c>
    </row>
    <row r="1513" spans="1:8" x14ac:dyDescent="0.25">
      <c r="E1513" t="str">
        <f>"201810024065"</f>
        <v>201810024065</v>
      </c>
      <c r="F1513" t="str">
        <f>"402128-2"</f>
        <v>402128-2</v>
      </c>
      <c r="G1513" s="3">
        <v>250</v>
      </c>
      <c r="H1513" t="str">
        <f>"402128-2"</f>
        <v>402128-2</v>
      </c>
    </row>
    <row r="1514" spans="1:8" x14ac:dyDescent="0.25">
      <c r="E1514" t="str">
        <f>"201810024092"</f>
        <v>201810024092</v>
      </c>
      <c r="F1514" t="str">
        <f>"17-18269"</f>
        <v>17-18269</v>
      </c>
      <c r="G1514" s="3">
        <v>312.5</v>
      </c>
      <c r="H1514" t="str">
        <f>"17-18269"</f>
        <v>17-18269</v>
      </c>
    </row>
    <row r="1515" spans="1:8" x14ac:dyDescent="0.25">
      <c r="E1515" t="str">
        <f>"201810024093"</f>
        <v>201810024093</v>
      </c>
      <c r="F1515" t="str">
        <f>"18-18961"</f>
        <v>18-18961</v>
      </c>
      <c r="G1515" s="3">
        <v>175</v>
      </c>
      <c r="H1515" t="str">
        <f>"18-18961"</f>
        <v>18-18961</v>
      </c>
    </row>
    <row r="1516" spans="1:8" x14ac:dyDescent="0.25">
      <c r="E1516" t="str">
        <f>"201810024101"</f>
        <v>201810024101</v>
      </c>
      <c r="F1516" t="str">
        <f>"1JP3218H"</f>
        <v>1JP3218H</v>
      </c>
      <c r="G1516" s="3">
        <v>375</v>
      </c>
      <c r="H1516" t="str">
        <f>"1JP3218H"</f>
        <v>1JP3218H</v>
      </c>
    </row>
    <row r="1517" spans="1:8" x14ac:dyDescent="0.25">
      <c r="E1517" t="str">
        <f>"201810024102"</f>
        <v>201810024102</v>
      </c>
      <c r="F1517" t="str">
        <f>"16-17977"</f>
        <v>16-17977</v>
      </c>
      <c r="G1517" s="3">
        <v>250</v>
      </c>
      <c r="H1517" t="str">
        <f>"16-17977"</f>
        <v>16-17977</v>
      </c>
    </row>
    <row r="1518" spans="1:8" x14ac:dyDescent="0.25">
      <c r="A1518" t="s">
        <v>505</v>
      </c>
      <c r="B1518">
        <v>999999</v>
      </c>
      <c r="C1518" s="2">
        <v>5125</v>
      </c>
      <c r="D1518" s="1">
        <v>43396</v>
      </c>
      <c r="E1518" t="str">
        <f>"201810104447"</f>
        <v>201810104447</v>
      </c>
      <c r="F1518" t="str">
        <f>"411225-2M"</f>
        <v>411225-2M</v>
      </c>
      <c r="G1518" s="3">
        <v>250</v>
      </c>
      <c r="H1518" t="str">
        <f>"411225-2M"</f>
        <v>411225-2M</v>
      </c>
    </row>
    <row r="1519" spans="1:8" x14ac:dyDescent="0.25">
      <c r="E1519" t="str">
        <f>"201810124490"</f>
        <v>201810124490</v>
      </c>
      <c r="F1519" t="str">
        <f>"16 574"</f>
        <v>16 574</v>
      </c>
      <c r="G1519" s="3">
        <v>400</v>
      </c>
      <c r="H1519" t="str">
        <f>"16 574"</f>
        <v>16 574</v>
      </c>
    </row>
    <row r="1520" spans="1:8" x14ac:dyDescent="0.25">
      <c r="E1520" t="str">
        <f>"201810124491"</f>
        <v>201810124491</v>
      </c>
      <c r="F1520" t="str">
        <f>"16518 16636 18-01676 DCPC18-12"</f>
        <v>16518 16636 18-01676 DCPC18-12</v>
      </c>
      <c r="G1520" s="3">
        <v>1000</v>
      </c>
      <c r="H1520" t="str">
        <f>"16518 16636 18-01676 DCPC18-12"</f>
        <v>16518 16636 18-01676 DCPC18-12</v>
      </c>
    </row>
    <row r="1521" spans="1:8" x14ac:dyDescent="0.25">
      <c r="E1521" t="str">
        <f>"201810124492"</f>
        <v>201810124492</v>
      </c>
      <c r="F1521" t="str">
        <f>"15 989"</f>
        <v>15 989</v>
      </c>
      <c r="G1521" s="3">
        <v>2000</v>
      </c>
      <c r="H1521" t="str">
        <f>"15 989"</f>
        <v>15 989</v>
      </c>
    </row>
    <row r="1522" spans="1:8" x14ac:dyDescent="0.25">
      <c r="E1522" t="str">
        <f>"201810124493"</f>
        <v>201810124493</v>
      </c>
      <c r="F1522" t="str">
        <f>"18-19013"</f>
        <v>18-19013</v>
      </c>
      <c r="G1522" s="3">
        <v>400</v>
      </c>
      <c r="H1522" t="str">
        <f>"18-19013"</f>
        <v>18-19013</v>
      </c>
    </row>
    <row r="1523" spans="1:8" x14ac:dyDescent="0.25">
      <c r="E1523" t="str">
        <f>"201810164538"</f>
        <v>201810164538</v>
      </c>
      <c r="F1523" t="str">
        <f>"18-S-02667  02-0524-4"</f>
        <v>18-S-02667  02-0524-4</v>
      </c>
      <c r="G1523" s="3">
        <v>250</v>
      </c>
      <c r="H1523" t="str">
        <f>"18-S-02667  02-0524-4"</f>
        <v>18-S-02667  02-0524-4</v>
      </c>
    </row>
    <row r="1524" spans="1:8" x14ac:dyDescent="0.25">
      <c r="E1524" t="str">
        <f>"201810164559"</f>
        <v>201810164559</v>
      </c>
      <c r="F1524" t="str">
        <f>"15-17030"</f>
        <v>15-17030</v>
      </c>
      <c r="G1524" s="3">
        <v>175</v>
      </c>
      <c r="H1524" t="str">
        <f>"15-17030"</f>
        <v>15-17030</v>
      </c>
    </row>
    <row r="1525" spans="1:8" x14ac:dyDescent="0.25">
      <c r="E1525" t="str">
        <f>"201810164560"</f>
        <v>201810164560</v>
      </c>
      <c r="F1525" t="str">
        <f>"11-14521"</f>
        <v>11-14521</v>
      </c>
      <c r="G1525" s="3">
        <v>250</v>
      </c>
      <c r="H1525" t="str">
        <f>"11-14521"</f>
        <v>11-14521</v>
      </c>
    </row>
    <row r="1526" spans="1:8" x14ac:dyDescent="0.25">
      <c r="E1526" t="str">
        <f>"201810164585"</f>
        <v>201810164585</v>
      </c>
      <c r="F1526" t="str">
        <f>"15 899"</f>
        <v>15 899</v>
      </c>
      <c r="G1526" s="3">
        <v>400</v>
      </c>
      <c r="H1526" t="str">
        <f>"15 899"</f>
        <v>15 899</v>
      </c>
    </row>
    <row r="1527" spans="1:8" x14ac:dyDescent="0.25">
      <c r="A1527" t="s">
        <v>506</v>
      </c>
      <c r="B1527">
        <v>999999</v>
      </c>
      <c r="C1527" s="2">
        <v>134</v>
      </c>
      <c r="D1527" s="1">
        <v>43396</v>
      </c>
      <c r="E1527" t="str">
        <f>"231799"</f>
        <v>231799</v>
      </c>
      <c r="F1527" t="str">
        <f>"CLIENT:BASTRCOU/ORD#1*171753"</f>
        <v>CLIENT:BASTRCOU/ORD#1*171753</v>
      </c>
      <c r="G1527" s="3">
        <v>83</v>
      </c>
      <c r="H1527" t="str">
        <f>"CLIENT:BASTRCOU/ORD#1*171753"</f>
        <v>CLIENT:BASTRCOU/ORD#1*171753</v>
      </c>
    </row>
    <row r="1528" spans="1:8" x14ac:dyDescent="0.25">
      <c r="E1528" t="str">
        <f>"231802"</f>
        <v>231802</v>
      </c>
      <c r="F1528" t="str">
        <f>"CLIENT:BASTRCOU/ORD#1-171754"</f>
        <v>CLIENT:BASTRCOU/ORD#1-171754</v>
      </c>
      <c r="G1528" s="3">
        <v>51</v>
      </c>
      <c r="H1528" t="str">
        <f>"CLIENT:BASTRCOU/ORD#1-171754"</f>
        <v>CLIENT:BASTRCOU/ORD#1-171754</v>
      </c>
    </row>
    <row r="1529" spans="1:8" x14ac:dyDescent="0.25">
      <c r="A1529" t="s">
        <v>507</v>
      </c>
      <c r="B1529">
        <v>79326</v>
      </c>
      <c r="C1529" s="2">
        <v>890.3</v>
      </c>
      <c r="D1529" s="1">
        <v>43395</v>
      </c>
      <c r="E1529" t="str">
        <f>"000545560"</f>
        <v>000545560</v>
      </c>
      <c r="F1529" t="str">
        <f>"ACCT#4812W1083/POL#15R29980-ZA"</f>
        <v>ACCT#4812W1083/POL#15R29980-ZA</v>
      </c>
      <c r="G1529" s="3">
        <v>890.3</v>
      </c>
      <c r="H1529" t="str">
        <f>"ACCT#4812W1083/POL#15R29980-ZA"</f>
        <v>ACCT#4812W1083/POL#15R29980-ZA</v>
      </c>
    </row>
    <row r="1530" spans="1:8" x14ac:dyDescent="0.25">
      <c r="A1530" t="s">
        <v>508</v>
      </c>
      <c r="B1530">
        <v>79327</v>
      </c>
      <c r="C1530" s="2">
        <v>1398</v>
      </c>
      <c r="D1530" s="1">
        <v>43395</v>
      </c>
      <c r="E1530" t="str">
        <f>"838980487"</f>
        <v>838980487</v>
      </c>
      <c r="F1530" t="str">
        <f>"ACCT#1000648597/WEST INFO CHGS"</f>
        <v>ACCT#1000648597/WEST INFO CHGS</v>
      </c>
      <c r="G1530" s="3">
        <v>548</v>
      </c>
      <c r="H1530" t="str">
        <f>"ACCT#1000648597/WEST INFO CHGS"</f>
        <v>ACCT#1000648597/WEST INFO CHGS</v>
      </c>
    </row>
    <row r="1531" spans="1:8" x14ac:dyDescent="0.25">
      <c r="E1531" t="str">
        <f>"838998110"</f>
        <v>838998110</v>
      </c>
      <c r="F1531" t="str">
        <f>"ACCT#1005022937/WEST INFO CHGS"</f>
        <v>ACCT#1005022937/WEST INFO CHGS</v>
      </c>
      <c r="G1531" s="3">
        <v>850</v>
      </c>
      <c r="H1531" t="str">
        <f>"ACCT#1005022937/WEST INFO CHGS"</f>
        <v>ACCT#1005022937/WEST INFO CHGS</v>
      </c>
    </row>
    <row r="1532" spans="1:8" x14ac:dyDescent="0.25">
      <c r="A1532" t="s">
        <v>509</v>
      </c>
      <c r="B1532">
        <v>79328</v>
      </c>
      <c r="C1532" s="2">
        <v>2500</v>
      </c>
      <c r="D1532" s="1">
        <v>43395</v>
      </c>
      <c r="E1532" t="str">
        <f>"2018-205246"</f>
        <v>2018-205246</v>
      </c>
      <c r="F1532" t="str">
        <f>"CUST#165386/"</f>
        <v>CUST#165386/</v>
      </c>
      <c r="G1532" s="3">
        <v>2500</v>
      </c>
      <c r="H1532" t="str">
        <f>"CUST#165386/"</f>
        <v>CUST#165386/</v>
      </c>
    </row>
    <row r="1533" spans="1:8" x14ac:dyDescent="0.25">
      <c r="A1533" t="s">
        <v>510</v>
      </c>
      <c r="B1533">
        <v>79329</v>
      </c>
      <c r="C1533" s="2">
        <v>2586.6999999999998</v>
      </c>
      <c r="D1533" s="1">
        <v>43395</v>
      </c>
      <c r="E1533" t="str">
        <f>"201810104448"</f>
        <v>201810104448</v>
      </c>
      <c r="F1533" t="str">
        <f>"423-2327  09/05/18 - 10/02/18"</f>
        <v>423-2327  09/05/18 - 10/02/18</v>
      </c>
      <c r="G1533" s="3">
        <v>2586.6999999999998</v>
      </c>
      <c r="H1533" t="str">
        <f>"423-2327  09/05/18 - 10/02/18"</f>
        <v>423-2327  09/05/18 - 10/02/18</v>
      </c>
    </row>
    <row r="1534" spans="1:8" x14ac:dyDescent="0.25">
      <c r="A1534" t="s">
        <v>511</v>
      </c>
      <c r="B1534">
        <v>79330</v>
      </c>
      <c r="C1534" s="2">
        <v>11400.31</v>
      </c>
      <c r="D1534" s="1">
        <v>43395</v>
      </c>
      <c r="E1534" t="str">
        <f>"0003669092818"</f>
        <v>0003669092818</v>
      </c>
      <c r="F1534" t="str">
        <f>"ACCT#8260163000003669"</f>
        <v>ACCT#8260163000003669</v>
      </c>
      <c r="G1534" s="3">
        <v>11400.31</v>
      </c>
      <c r="H1534" t="str">
        <f>"ACCT#8260163000003669"</f>
        <v>ACCT#8260163000003669</v>
      </c>
    </row>
    <row r="1535" spans="1:8" x14ac:dyDescent="0.25">
      <c r="E1535" t="str">
        <f>""</f>
        <v/>
      </c>
      <c r="F1535" t="str">
        <f>""</f>
        <v/>
      </c>
      <c r="H1535" t="str">
        <f>"ACCT#8260163000003669"</f>
        <v>ACCT#8260163000003669</v>
      </c>
    </row>
    <row r="1536" spans="1:8" x14ac:dyDescent="0.25">
      <c r="E1536" t="str">
        <f>""</f>
        <v/>
      </c>
      <c r="F1536" t="str">
        <f>""</f>
        <v/>
      </c>
      <c r="H1536" t="str">
        <f>"ACCT#8260163000003669"</f>
        <v>ACCT#8260163000003669</v>
      </c>
    </row>
    <row r="1537" spans="1:8" x14ac:dyDescent="0.25">
      <c r="A1537" t="s">
        <v>512</v>
      </c>
      <c r="B1537">
        <v>79123</v>
      </c>
      <c r="C1537" s="2">
        <v>547.52</v>
      </c>
      <c r="D1537" s="1">
        <v>43382</v>
      </c>
      <c r="E1537" t="str">
        <f>"201810034181"</f>
        <v>201810034181</v>
      </c>
      <c r="F1537" t="str">
        <f>"Acct# 6032301200160982"</f>
        <v>Acct# 6032301200160982</v>
      </c>
      <c r="G1537" s="3">
        <v>547.52</v>
      </c>
      <c r="H1537" t="str">
        <f>"INV# 100562643"</f>
        <v>INV# 100562643</v>
      </c>
    </row>
    <row r="1538" spans="1:8" x14ac:dyDescent="0.25">
      <c r="E1538" t="str">
        <f>""</f>
        <v/>
      </c>
      <c r="F1538" t="str">
        <f>""</f>
        <v/>
      </c>
      <c r="H1538" t="str">
        <f>"INV# 200515184"</f>
        <v>INV# 200515184</v>
      </c>
    </row>
    <row r="1539" spans="1:8" x14ac:dyDescent="0.25">
      <c r="E1539" t="str">
        <f>""</f>
        <v/>
      </c>
      <c r="F1539" t="str">
        <f>""</f>
        <v/>
      </c>
      <c r="H1539" t="str">
        <f>"INV# 200516236"</f>
        <v>INV# 200516236</v>
      </c>
    </row>
    <row r="1540" spans="1:8" x14ac:dyDescent="0.25">
      <c r="E1540" t="str">
        <f>""</f>
        <v/>
      </c>
      <c r="F1540" t="str">
        <f>""</f>
        <v/>
      </c>
      <c r="H1540" t="str">
        <f>"INV# 100049046"</f>
        <v>INV# 100049046</v>
      </c>
    </row>
    <row r="1541" spans="1:8" x14ac:dyDescent="0.25">
      <c r="E1541" t="str">
        <f>""</f>
        <v/>
      </c>
      <c r="F1541" t="str">
        <f>""</f>
        <v/>
      </c>
      <c r="H1541" t="str">
        <f>"INV# 300491700"</f>
        <v>INV# 300491700</v>
      </c>
    </row>
    <row r="1542" spans="1:8" x14ac:dyDescent="0.25">
      <c r="E1542" t="str">
        <f>""</f>
        <v/>
      </c>
      <c r="F1542" t="str">
        <f>""</f>
        <v/>
      </c>
      <c r="H1542" t="str">
        <f>"INV# 100564148"</f>
        <v>INV# 100564148</v>
      </c>
    </row>
    <row r="1543" spans="1:8" x14ac:dyDescent="0.25">
      <c r="E1543" t="str">
        <f>""</f>
        <v/>
      </c>
      <c r="F1543" t="str">
        <f>""</f>
        <v/>
      </c>
      <c r="H1543" t="str">
        <f>"INV# 100051318"</f>
        <v>INV# 100051318</v>
      </c>
    </row>
    <row r="1544" spans="1:8" x14ac:dyDescent="0.25">
      <c r="A1544" t="s">
        <v>513</v>
      </c>
      <c r="B1544">
        <v>79124</v>
      </c>
      <c r="C1544" s="2">
        <v>675</v>
      </c>
      <c r="D1544" s="1">
        <v>43382</v>
      </c>
      <c r="E1544" t="str">
        <f>"11948"</f>
        <v>11948</v>
      </c>
      <c r="F1544" t="str">
        <f t="shared" ref="F1544:F1550" si="14">"SERVICE"</f>
        <v>SERVICE</v>
      </c>
      <c r="G1544" s="3">
        <v>75</v>
      </c>
      <c r="H1544" t="str">
        <f t="shared" ref="H1544:H1550" si="15">"SERVICE"</f>
        <v>SERVICE</v>
      </c>
    </row>
    <row r="1545" spans="1:8" x14ac:dyDescent="0.25">
      <c r="E1545" t="str">
        <f>"12430"</f>
        <v>12430</v>
      </c>
      <c r="F1545" t="str">
        <f t="shared" si="14"/>
        <v>SERVICE</v>
      </c>
      <c r="G1545" s="3">
        <v>75</v>
      </c>
      <c r="H1545" t="str">
        <f t="shared" si="15"/>
        <v>SERVICE</v>
      </c>
    </row>
    <row r="1546" spans="1:8" x14ac:dyDescent="0.25">
      <c r="E1546" t="str">
        <f>"12875  08/23"</f>
        <v>12875  08/23</v>
      </c>
      <c r="F1546" t="str">
        <f t="shared" si="14"/>
        <v>SERVICE</v>
      </c>
      <c r="G1546" s="3">
        <v>75</v>
      </c>
      <c r="H1546" t="str">
        <f t="shared" si="15"/>
        <v>SERVICE</v>
      </c>
    </row>
    <row r="1547" spans="1:8" x14ac:dyDescent="0.25">
      <c r="E1547" t="str">
        <f>"12944"</f>
        <v>12944</v>
      </c>
      <c r="F1547" t="str">
        <f t="shared" si="14"/>
        <v>SERVICE</v>
      </c>
      <c r="G1547" s="3">
        <v>225</v>
      </c>
      <c r="H1547" t="str">
        <f t="shared" si="15"/>
        <v>SERVICE</v>
      </c>
    </row>
    <row r="1548" spans="1:8" x14ac:dyDescent="0.25">
      <c r="E1548" t="str">
        <f>"13001"</f>
        <v>13001</v>
      </c>
      <c r="F1548" t="str">
        <f t="shared" si="14"/>
        <v>SERVICE</v>
      </c>
      <c r="G1548" s="3">
        <v>75</v>
      </c>
      <c r="H1548" t="str">
        <f t="shared" si="15"/>
        <v>SERVICE</v>
      </c>
    </row>
    <row r="1549" spans="1:8" x14ac:dyDescent="0.25">
      <c r="E1549" t="str">
        <f>"13005"</f>
        <v>13005</v>
      </c>
      <c r="F1549" t="str">
        <f t="shared" si="14"/>
        <v>SERVICE</v>
      </c>
      <c r="G1549" s="3">
        <v>75</v>
      </c>
      <c r="H1549" t="str">
        <f t="shared" si="15"/>
        <v>SERVICE</v>
      </c>
    </row>
    <row r="1550" spans="1:8" x14ac:dyDescent="0.25">
      <c r="E1550" t="str">
        <f>"13023  08/13/18"</f>
        <v>13023  08/13/18</v>
      </c>
      <c r="F1550" t="str">
        <f t="shared" si="14"/>
        <v>SERVICE</v>
      </c>
      <c r="G1550" s="3">
        <v>75</v>
      </c>
      <c r="H1550" t="str">
        <f t="shared" si="15"/>
        <v>SERVICE</v>
      </c>
    </row>
    <row r="1551" spans="1:8" x14ac:dyDescent="0.25">
      <c r="A1551" t="s">
        <v>514</v>
      </c>
      <c r="B1551">
        <v>79125</v>
      </c>
      <c r="C1551" s="2">
        <v>858</v>
      </c>
      <c r="D1551" s="1">
        <v>43382</v>
      </c>
      <c r="E1551" t="str">
        <f>"18-001687"</f>
        <v>18-001687</v>
      </c>
      <c r="F1551" t="str">
        <f>"CAUSE#C-1-MH-18-001687"</f>
        <v>CAUSE#C-1-MH-18-001687</v>
      </c>
      <c r="G1551" s="3">
        <v>429</v>
      </c>
      <c r="H1551" t="str">
        <f>"CAUSE#C-1-MH-18-001687"</f>
        <v>CAUSE#C-1-MH-18-001687</v>
      </c>
    </row>
    <row r="1552" spans="1:8" x14ac:dyDescent="0.25">
      <c r="E1552" t="str">
        <f>"18-001719"</f>
        <v>18-001719</v>
      </c>
      <c r="F1552" t="str">
        <f>"CAUSE#C-1-MH-18-001719"</f>
        <v>CAUSE#C-1-MH-18-001719</v>
      </c>
      <c r="G1552" s="3">
        <v>429</v>
      </c>
      <c r="H1552" t="str">
        <f>"CAUSE#C-1-MH-18-001719"</f>
        <v>CAUSE#C-1-MH-18-001719</v>
      </c>
    </row>
    <row r="1553" spans="1:8" x14ac:dyDescent="0.25">
      <c r="A1553" t="s">
        <v>513</v>
      </c>
      <c r="B1553">
        <v>79331</v>
      </c>
      <c r="C1553" s="2">
        <v>1565</v>
      </c>
      <c r="D1553" s="1">
        <v>43395</v>
      </c>
      <c r="E1553" t="str">
        <f>"10383  08/29/18"</f>
        <v>10383  08/29/18</v>
      </c>
      <c r="F1553" t="str">
        <f>"SERVICE"</f>
        <v>SERVICE</v>
      </c>
      <c r="G1553" s="3">
        <v>145</v>
      </c>
      <c r="H1553" t="str">
        <f>"SERVICE"</f>
        <v>SERVICE</v>
      </c>
    </row>
    <row r="1554" spans="1:8" x14ac:dyDescent="0.25">
      <c r="E1554" t="str">
        <f>"11314"</f>
        <v>11314</v>
      </c>
      <c r="F1554" t="str">
        <f>"SERVICE"</f>
        <v>SERVICE</v>
      </c>
      <c r="G1554" s="3">
        <v>70</v>
      </c>
      <c r="H1554" t="str">
        <f>"SERVICE"</f>
        <v>SERVICE</v>
      </c>
    </row>
    <row r="1555" spans="1:8" x14ac:dyDescent="0.25">
      <c r="E1555" t="str">
        <f>"12465"</f>
        <v>12465</v>
      </c>
      <c r="F1555" t="str">
        <f>"SERVICE"</f>
        <v>SERVICE</v>
      </c>
      <c r="G1555" s="3">
        <v>600</v>
      </c>
      <c r="H1555" t="str">
        <f>"SERVICE"</f>
        <v>SERVICE</v>
      </c>
    </row>
    <row r="1556" spans="1:8" x14ac:dyDescent="0.25">
      <c r="E1556" t="str">
        <f>"12529"</f>
        <v>12529</v>
      </c>
      <c r="F1556" t="str">
        <f>"SERVICE"</f>
        <v>SERVICE</v>
      </c>
      <c r="G1556" s="3">
        <v>600</v>
      </c>
      <c r="H1556" t="str">
        <f>"SERVICE"</f>
        <v>SERVICE</v>
      </c>
    </row>
    <row r="1557" spans="1:8" x14ac:dyDescent="0.25">
      <c r="E1557" t="str">
        <f>"12948"</f>
        <v>12948</v>
      </c>
      <c r="F1557" t="str">
        <f>"SERVICE  08/29/18"</f>
        <v>SERVICE  08/29/18</v>
      </c>
      <c r="G1557" s="3">
        <v>150</v>
      </c>
      <c r="H1557" t="str">
        <f>"SERVICE  08/29/18"</f>
        <v>SERVICE  08/29/18</v>
      </c>
    </row>
    <row r="1558" spans="1:8" x14ac:dyDescent="0.25">
      <c r="A1558" t="s">
        <v>514</v>
      </c>
      <c r="B1558">
        <v>79332</v>
      </c>
      <c r="C1558" s="2">
        <v>429</v>
      </c>
      <c r="D1558" s="1">
        <v>43395</v>
      </c>
      <c r="E1558" t="str">
        <f>"18-001776"</f>
        <v>18-001776</v>
      </c>
      <c r="F1558" t="str">
        <f>"C-1-MH-18-001776"</f>
        <v>C-1-MH-18-001776</v>
      </c>
      <c r="G1558" s="3">
        <v>429</v>
      </c>
      <c r="H1558" t="str">
        <f>"C-1-MH-18-001776"</f>
        <v>C-1-MH-18-001776</v>
      </c>
    </row>
    <row r="1559" spans="1:8" x14ac:dyDescent="0.25">
      <c r="A1559" t="s">
        <v>515</v>
      </c>
      <c r="B1559">
        <v>79126</v>
      </c>
      <c r="C1559" s="2">
        <v>11600</v>
      </c>
      <c r="D1559" s="1">
        <v>43382</v>
      </c>
      <c r="E1559" t="str">
        <f>"3300001568"</f>
        <v>3300001568</v>
      </c>
      <c r="F1559" t="str">
        <f>"CUST#100010/INV#3300001568"</f>
        <v>CUST#100010/INV#3300001568</v>
      </c>
      <c r="G1559" s="3">
        <v>5800</v>
      </c>
      <c r="H1559" t="str">
        <f>"CUST#100010/INV#3300001568"</f>
        <v>CUST#100010/INV#3300001568</v>
      </c>
    </row>
    <row r="1560" spans="1:8" x14ac:dyDescent="0.25">
      <c r="E1560" t="str">
        <f>"3300001648"</f>
        <v>3300001648</v>
      </c>
      <c r="F1560" t="str">
        <f>"CUST#100010/INV#3300001648"</f>
        <v>CUST#100010/INV#3300001648</v>
      </c>
      <c r="G1560" s="3">
        <v>5800</v>
      </c>
      <c r="H1560" t="str">
        <f>"CUST#100010/INV#3300001648"</f>
        <v>CUST#100010/INV#3300001648</v>
      </c>
    </row>
    <row r="1561" spans="1:8" x14ac:dyDescent="0.25">
      <c r="A1561" t="s">
        <v>516</v>
      </c>
      <c r="B1561">
        <v>999999</v>
      </c>
      <c r="C1561" s="2">
        <v>653.08000000000004</v>
      </c>
      <c r="D1561" s="1">
        <v>43383</v>
      </c>
      <c r="E1561" t="str">
        <f>"730308"</f>
        <v>730308</v>
      </c>
      <c r="F1561" t="str">
        <f>"INV 730308"</f>
        <v>INV 730308</v>
      </c>
      <c r="G1561" s="3">
        <v>119</v>
      </c>
      <c r="H1561" t="str">
        <f>"INV 730308"</f>
        <v>INV 730308</v>
      </c>
    </row>
    <row r="1562" spans="1:8" x14ac:dyDescent="0.25">
      <c r="E1562" t="str">
        <f>"730528"</f>
        <v>730528</v>
      </c>
      <c r="F1562" t="str">
        <f>"INV 730528"</f>
        <v>INV 730528</v>
      </c>
      <c r="G1562" s="3">
        <v>119</v>
      </c>
      <c r="H1562" t="str">
        <f>"INV 730528"</f>
        <v>INV 730528</v>
      </c>
    </row>
    <row r="1563" spans="1:8" x14ac:dyDescent="0.25">
      <c r="E1563" t="str">
        <f>"731177"</f>
        <v>731177</v>
      </c>
      <c r="F1563" t="str">
        <f>"INV 731177 / UNIT 4716"</f>
        <v>INV 731177 / UNIT 4716</v>
      </c>
      <c r="G1563" s="3">
        <v>138.24</v>
      </c>
      <c r="H1563" t="str">
        <f>"INV 731177 / UNIT 4716"</f>
        <v>INV 731177 / UNIT 4716</v>
      </c>
    </row>
    <row r="1564" spans="1:8" x14ac:dyDescent="0.25">
      <c r="E1564" t="str">
        <f>"73160"</f>
        <v>73160</v>
      </c>
      <c r="F1564" t="str">
        <f>"INV 73160 / UNIT 6520"</f>
        <v>INV 73160 / UNIT 6520</v>
      </c>
      <c r="G1564" s="3">
        <v>276.83999999999997</v>
      </c>
      <c r="H1564" t="str">
        <f>"INV 73160 / UNIT 6520"</f>
        <v>INV 73160 / UNIT 6520</v>
      </c>
    </row>
    <row r="1565" spans="1:8" x14ac:dyDescent="0.25">
      <c r="A1565" t="s">
        <v>516</v>
      </c>
      <c r="B1565">
        <v>999999</v>
      </c>
      <c r="C1565" s="2">
        <v>276.48</v>
      </c>
      <c r="D1565" s="1">
        <v>43396</v>
      </c>
      <c r="E1565" t="str">
        <f>"731177/UNIT 0125"</f>
        <v>731177/UNIT 0125</v>
      </c>
      <c r="F1565" t="str">
        <f>"UNIT  0125 /INV 731177"</f>
        <v>UNIT  0125 /INV 731177</v>
      </c>
      <c r="G1565" s="3">
        <v>276.48</v>
      </c>
      <c r="H1565" t="str">
        <f>"UNIT  0125 /INV 731177"</f>
        <v>UNIT  0125 /INV 731177</v>
      </c>
    </row>
    <row r="1566" spans="1:8" x14ac:dyDescent="0.25">
      <c r="A1566" t="s">
        <v>517</v>
      </c>
      <c r="B1566">
        <v>79127</v>
      </c>
      <c r="C1566" s="2">
        <v>80</v>
      </c>
      <c r="D1566" s="1">
        <v>43382</v>
      </c>
      <c r="E1566" t="str">
        <f>"201810024145"</f>
        <v>201810024145</v>
      </c>
      <c r="F1566" t="str">
        <f>"INDIGENT HEALTH"</f>
        <v>INDIGENT HEALTH</v>
      </c>
      <c r="G1566" s="3">
        <v>80</v>
      </c>
      <c r="H1566" t="str">
        <f>"INDIGENT HEALTH"</f>
        <v>INDIGENT HEALTH</v>
      </c>
    </row>
    <row r="1567" spans="1:8" x14ac:dyDescent="0.25">
      <c r="A1567" t="s">
        <v>518</v>
      </c>
      <c r="B1567">
        <v>79128</v>
      </c>
      <c r="C1567" s="2">
        <v>84.31</v>
      </c>
      <c r="D1567" s="1">
        <v>43382</v>
      </c>
      <c r="E1567" t="str">
        <f>"43T003884"</f>
        <v>43T003884</v>
      </c>
      <c r="F1567" t="str">
        <f>"INV 43T003884"</f>
        <v>INV 43T003884</v>
      </c>
      <c r="G1567" s="3">
        <v>84.31</v>
      </c>
    </row>
    <row r="1568" spans="1:8" x14ac:dyDescent="0.25">
      <c r="A1568" t="s">
        <v>519</v>
      </c>
      <c r="B1568">
        <v>79333</v>
      </c>
      <c r="C1568" s="2">
        <v>790</v>
      </c>
      <c r="D1568" s="1">
        <v>43395</v>
      </c>
      <c r="E1568" t="str">
        <f>"TXNOV18COMAL8"</f>
        <v>TXNOV18COMAL8</v>
      </c>
      <c r="F1568" t="str">
        <f>"INV TXNOV18COMAL8"</f>
        <v>INV TXNOV18COMAL8</v>
      </c>
      <c r="G1568" s="3">
        <v>790</v>
      </c>
      <c r="H1568" t="str">
        <f>"INV TXNOV18COMAL8"</f>
        <v>INV TXNOV18COMAL8</v>
      </c>
    </row>
    <row r="1569" spans="1:8" x14ac:dyDescent="0.25">
      <c r="A1569" t="s">
        <v>520</v>
      </c>
      <c r="B1569">
        <v>79129</v>
      </c>
      <c r="C1569" s="2">
        <v>500</v>
      </c>
      <c r="D1569" s="1">
        <v>43382</v>
      </c>
      <c r="E1569" t="str">
        <f>"201810014012"</f>
        <v>201810014012</v>
      </c>
      <c r="F1569" t="str">
        <f>"REIMBURSE-REGIST-TEEX OSSF"</f>
        <v>REIMBURSE-REGIST-TEEX OSSF</v>
      </c>
      <c r="G1569" s="3">
        <v>500</v>
      </c>
      <c r="H1569" t="str">
        <f>"REIMBURSE-REGIST-TEEX OSSF"</f>
        <v>REIMBURSE-REGIST-TEEX OSSF</v>
      </c>
    </row>
    <row r="1570" spans="1:8" x14ac:dyDescent="0.25">
      <c r="A1570" t="s">
        <v>521</v>
      </c>
      <c r="B1570">
        <v>999999</v>
      </c>
      <c r="C1570" s="2">
        <v>650</v>
      </c>
      <c r="D1570" s="1">
        <v>43396</v>
      </c>
      <c r="E1570" t="str">
        <f>"201810124482"</f>
        <v>201810124482</v>
      </c>
      <c r="F1570" t="str">
        <f>"16 637"</f>
        <v>16 637</v>
      </c>
      <c r="G1570" s="3">
        <v>400</v>
      </c>
      <c r="H1570" t="str">
        <f>"16 637"</f>
        <v>16 637</v>
      </c>
    </row>
    <row r="1571" spans="1:8" x14ac:dyDescent="0.25">
      <c r="E1571" t="str">
        <f>"201810164550"</f>
        <v>201810164550</v>
      </c>
      <c r="F1571" t="str">
        <f>"55967"</f>
        <v>55967</v>
      </c>
      <c r="G1571" s="3">
        <v>250</v>
      </c>
      <c r="H1571" t="str">
        <f>"55967"</f>
        <v>55967</v>
      </c>
    </row>
    <row r="1572" spans="1:8" x14ac:dyDescent="0.25">
      <c r="A1572" t="s">
        <v>522</v>
      </c>
      <c r="B1572">
        <v>79130</v>
      </c>
      <c r="C1572" s="2">
        <v>156</v>
      </c>
      <c r="D1572" s="1">
        <v>43382</v>
      </c>
      <c r="E1572" t="str">
        <f>"IR190007"</f>
        <v>IR190007</v>
      </c>
      <c r="F1572" t="str">
        <f>"2017 LiDAR data"</f>
        <v>2017 LiDAR data</v>
      </c>
      <c r="G1572" s="3">
        <v>156</v>
      </c>
      <c r="H1572" t="str">
        <f>"2017 LiDAR Data"</f>
        <v>2017 LiDAR Data</v>
      </c>
    </row>
    <row r="1573" spans="1:8" x14ac:dyDescent="0.25">
      <c r="A1573" t="s">
        <v>523</v>
      </c>
      <c r="B1573">
        <v>79131</v>
      </c>
      <c r="C1573" s="2">
        <v>2380</v>
      </c>
      <c r="D1573" s="1">
        <v>43382</v>
      </c>
      <c r="E1573" t="str">
        <f>"201810013989"</f>
        <v>201810013989</v>
      </c>
      <c r="F1573" t="str">
        <f>"ACCT#0620010/WTR0050956/7/8"</f>
        <v>ACCT#0620010/WTR0050956/7/8</v>
      </c>
      <c r="G1573" s="3">
        <v>2380</v>
      </c>
      <c r="H1573" t="str">
        <f>"ACCT#0620010/WTR0050956/7/8"</f>
        <v>ACCT#0620010/WTR0050956/7/8</v>
      </c>
    </row>
    <row r="1574" spans="1:8" x14ac:dyDescent="0.25">
      <c r="A1574" t="s">
        <v>524</v>
      </c>
      <c r="B1574">
        <v>79132</v>
      </c>
      <c r="C1574" s="2">
        <v>21296</v>
      </c>
      <c r="D1574" s="1">
        <v>43382</v>
      </c>
      <c r="E1574" t="str">
        <f>"130-3041"</f>
        <v>130-3041</v>
      </c>
      <c r="F1574" t="str">
        <f>"CUST#42161/ORD#2170"</f>
        <v>CUST#42161/ORD#2170</v>
      </c>
      <c r="G1574" s="3">
        <v>21296</v>
      </c>
      <c r="H1574" t="str">
        <f>"CUST#42161/ORD#2170"</f>
        <v>CUST#42161/ORD#2170</v>
      </c>
    </row>
    <row r="1575" spans="1:8" x14ac:dyDescent="0.25">
      <c r="A1575" t="s">
        <v>525</v>
      </c>
      <c r="B1575">
        <v>79133</v>
      </c>
      <c r="C1575" s="2">
        <v>90.85</v>
      </c>
      <c r="D1575" s="1">
        <v>43382</v>
      </c>
      <c r="E1575" t="str">
        <f>"10168448"</f>
        <v>10168448</v>
      </c>
      <c r="F1575" t="str">
        <f>"ACCT#38049/PARTS/PCT#4"</f>
        <v>ACCT#38049/PARTS/PCT#4</v>
      </c>
      <c r="G1575" s="3">
        <v>-39.21</v>
      </c>
      <c r="H1575" t="str">
        <f>"ACCT#38049/PARTS/PCT#4"</f>
        <v>ACCT#38049/PARTS/PCT#4</v>
      </c>
    </row>
    <row r="1576" spans="1:8" x14ac:dyDescent="0.25">
      <c r="E1576" t="str">
        <f>"10166187"</f>
        <v>10166187</v>
      </c>
      <c r="F1576" t="str">
        <f>"ACCT#38049/PARTS/PCT#4"</f>
        <v>ACCT#38049/PARTS/PCT#4</v>
      </c>
      <c r="G1576" s="3">
        <v>130.06</v>
      </c>
      <c r="H1576" t="str">
        <f>"ACCT#38049/PARTS/PCT#4"</f>
        <v>ACCT#38049/PARTS/PCT#4</v>
      </c>
    </row>
    <row r="1577" spans="1:8" x14ac:dyDescent="0.25">
      <c r="A1577" t="s">
        <v>526</v>
      </c>
      <c r="B1577">
        <v>79334</v>
      </c>
      <c r="C1577" s="2">
        <v>260.45999999999998</v>
      </c>
      <c r="D1577" s="1">
        <v>43395</v>
      </c>
      <c r="E1577" t="str">
        <f>"9539315-00"</f>
        <v>9539315-00</v>
      </c>
      <c r="F1577" t="str">
        <f>"CUST#706810"</f>
        <v>CUST#706810</v>
      </c>
      <c r="G1577" s="3">
        <v>260.45999999999998</v>
      </c>
      <c r="H1577" t="str">
        <f>"CUST#706810"</f>
        <v>CUST#706810</v>
      </c>
    </row>
    <row r="1578" spans="1:8" x14ac:dyDescent="0.25">
      <c r="A1578" t="s">
        <v>527</v>
      </c>
      <c r="B1578">
        <v>79134</v>
      </c>
      <c r="C1578" s="2">
        <v>510.02</v>
      </c>
      <c r="D1578" s="1">
        <v>43382</v>
      </c>
      <c r="E1578" t="str">
        <f>"201810034185"</f>
        <v>201810034185</v>
      </c>
      <c r="F1578" t="str">
        <f>"REIMBURSEMENT HOTEL &amp; MILEAGE"</f>
        <v>REIMBURSEMENT HOTEL &amp; MILEAGE</v>
      </c>
      <c r="G1578" s="3">
        <v>510.02</v>
      </c>
      <c r="H1578" t="str">
        <f>"REIMBURSEMENT HOTEL &amp; MILEAGE"</f>
        <v>REIMBURSEMENT HOTEL &amp; MILEAGE</v>
      </c>
    </row>
    <row r="1579" spans="1:8" x14ac:dyDescent="0.25">
      <c r="E1579" t="str">
        <f>""</f>
        <v/>
      </c>
      <c r="F1579" t="str">
        <f>""</f>
        <v/>
      </c>
      <c r="H1579" t="str">
        <f>"REIMBURSEMENT HOTEL &amp; MILEAGE"</f>
        <v>REIMBURSEMENT HOTEL &amp; MILEAGE</v>
      </c>
    </row>
    <row r="1580" spans="1:8" x14ac:dyDescent="0.25">
      <c r="A1580" t="s">
        <v>528</v>
      </c>
      <c r="B1580">
        <v>79335</v>
      </c>
      <c r="C1580" s="2">
        <v>86.01</v>
      </c>
      <c r="D1580" s="1">
        <v>43395</v>
      </c>
      <c r="E1580" t="str">
        <f>"2006717"</f>
        <v>2006717</v>
      </c>
      <c r="F1580" t="str">
        <f>"ACCT#174600002268 003"</f>
        <v>ACCT#174600002268 003</v>
      </c>
      <c r="G1580" s="3">
        <v>86.01</v>
      </c>
      <c r="H1580" t="str">
        <f>"ACCT#174600002268 003"</f>
        <v>ACCT#174600002268 003</v>
      </c>
    </row>
    <row r="1581" spans="1:8" x14ac:dyDescent="0.25">
      <c r="A1581" t="s">
        <v>529</v>
      </c>
      <c r="B1581">
        <v>79135</v>
      </c>
      <c r="C1581" s="2">
        <v>29351.57</v>
      </c>
      <c r="D1581" s="1">
        <v>43382</v>
      </c>
      <c r="E1581" t="str">
        <f>"12758"</f>
        <v>12758</v>
      </c>
      <c r="F1581" t="str">
        <f>"VOTE SAFE SUPPORT"</f>
        <v>VOTE SAFE SUPPORT</v>
      </c>
      <c r="G1581" s="3">
        <v>3780</v>
      </c>
      <c r="H1581" t="str">
        <f>"VOTE SAFE SUPPORT"</f>
        <v>VOTE SAFE SUPPORT</v>
      </c>
    </row>
    <row r="1582" spans="1:8" x14ac:dyDescent="0.25">
      <c r="E1582" t="str">
        <f>"12759"</f>
        <v>12759</v>
      </c>
      <c r="F1582" t="str">
        <f>"VEMACS SUPP 10/1/18-09/1/30/19"</f>
        <v>VEMACS SUPP 10/1/18-09/1/30/19</v>
      </c>
      <c r="G1582" s="3">
        <v>25571.57</v>
      </c>
      <c r="H1582" t="str">
        <f>"VEMACS SUPP 10/1/18-09/1/30/19"</f>
        <v>VEMACS SUPP 10/1/18-09/1/30/19</v>
      </c>
    </row>
    <row r="1583" spans="1:8" x14ac:dyDescent="0.25">
      <c r="A1583" t="s">
        <v>530</v>
      </c>
      <c r="B1583">
        <v>79136</v>
      </c>
      <c r="C1583" s="2">
        <v>31686.68</v>
      </c>
      <c r="D1583" s="1">
        <v>43382</v>
      </c>
      <c r="E1583" t="str">
        <f>"869395921839"</f>
        <v>869395921839</v>
      </c>
      <c r="F1583" t="str">
        <f>"Inv #869395921839"</f>
        <v>Inv #869395921839</v>
      </c>
      <c r="G1583" s="3">
        <v>31686.68</v>
      </c>
      <c r="H1583" t="str">
        <f>"Fuel Payment"</f>
        <v>Fuel Payment</v>
      </c>
    </row>
    <row r="1584" spans="1:8" x14ac:dyDescent="0.25">
      <c r="E1584" t="str">
        <f>""</f>
        <v/>
      </c>
      <c r="F1584" t="str">
        <f>""</f>
        <v/>
      </c>
      <c r="H1584" t="str">
        <f>"Fuel Payment"</f>
        <v>Fuel Payment</v>
      </c>
    </row>
    <row r="1585" spans="5:8" x14ac:dyDescent="0.25">
      <c r="E1585" t="str">
        <f>""</f>
        <v/>
      </c>
      <c r="F1585" t="str">
        <f>""</f>
        <v/>
      </c>
      <c r="H1585" t="str">
        <f>"Maintenance"</f>
        <v>Maintenance</v>
      </c>
    </row>
    <row r="1586" spans="5:8" x14ac:dyDescent="0.25">
      <c r="E1586" t="str">
        <f>""</f>
        <v/>
      </c>
      <c r="F1586" t="str">
        <f>""</f>
        <v/>
      </c>
      <c r="H1586" t="str">
        <f>"Less Tax"</f>
        <v>Less Tax</v>
      </c>
    </row>
    <row r="1587" spans="5:8" x14ac:dyDescent="0.25">
      <c r="E1587" t="str">
        <f>""</f>
        <v/>
      </c>
      <c r="F1587" t="str">
        <f>""</f>
        <v/>
      </c>
      <c r="H1587" t="str">
        <f>"Less Tax"</f>
        <v>Less Tax</v>
      </c>
    </row>
    <row r="1588" spans="5:8" x14ac:dyDescent="0.25">
      <c r="E1588" t="str">
        <f>""</f>
        <v/>
      </c>
      <c r="F1588" t="str">
        <f>""</f>
        <v/>
      </c>
      <c r="H1588" t="str">
        <f>"Fuel Payment"</f>
        <v>Fuel Payment</v>
      </c>
    </row>
    <row r="1589" spans="5:8" x14ac:dyDescent="0.25">
      <c r="E1589" t="str">
        <f>""</f>
        <v/>
      </c>
      <c r="F1589" t="str">
        <f>""</f>
        <v/>
      </c>
      <c r="H1589" t="str">
        <f>"Less Tax"</f>
        <v>Less Tax</v>
      </c>
    </row>
    <row r="1590" spans="5:8" x14ac:dyDescent="0.25">
      <c r="E1590" t="str">
        <f>""</f>
        <v/>
      </c>
      <c r="F1590" t="str">
        <f>""</f>
        <v/>
      </c>
      <c r="H1590" t="str">
        <f>"Fuel Payment"</f>
        <v>Fuel Payment</v>
      </c>
    </row>
    <row r="1591" spans="5:8" x14ac:dyDescent="0.25">
      <c r="E1591" t="str">
        <f>""</f>
        <v/>
      </c>
      <c r="F1591" t="str">
        <f>""</f>
        <v/>
      </c>
      <c r="H1591" t="str">
        <f>"Less Tax"</f>
        <v>Less Tax</v>
      </c>
    </row>
    <row r="1592" spans="5:8" x14ac:dyDescent="0.25">
      <c r="E1592" t="str">
        <f>""</f>
        <v/>
      </c>
      <c r="F1592" t="str">
        <f>""</f>
        <v/>
      </c>
      <c r="H1592" t="str">
        <f>"Maintenance"</f>
        <v>Maintenance</v>
      </c>
    </row>
    <row r="1593" spans="5:8" x14ac:dyDescent="0.25">
      <c r="E1593" t="str">
        <f>""</f>
        <v/>
      </c>
      <c r="F1593" t="str">
        <f>""</f>
        <v/>
      </c>
      <c r="H1593" t="str">
        <f>"Fuel Payment"</f>
        <v>Fuel Payment</v>
      </c>
    </row>
    <row r="1594" spans="5:8" x14ac:dyDescent="0.25">
      <c r="E1594" t="str">
        <f>""</f>
        <v/>
      </c>
      <c r="F1594" t="str">
        <f>""</f>
        <v/>
      </c>
      <c r="H1594" t="str">
        <f>"Less Tax"</f>
        <v>Less Tax</v>
      </c>
    </row>
    <row r="1595" spans="5:8" x14ac:dyDescent="0.25">
      <c r="E1595" t="str">
        <f>""</f>
        <v/>
      </c>
      <c r="F1595" t="str">
        <f>""</f>
        <v/>
      </c>
      <c r="H1595" t="str">
        <f>"Fuel Payment"</f>
        <v>Fuel Payment</v>
      </c>
    </row>
    <row r="1596" spans="5:8" x14ac:dyDescent="0.25">
      <c r="E1596" t="str">
        <f>""</f>
        <v/>
      </c>
      <c r="F1596" t="str">
        <f>""</f>
        <v/>
      </c>
      <c r="H1596" t="str">
        <f>"Maintenance"</f>
        <v>Maintenance</v>
      </c>
    </row>
    <row r="1597" spans="5:8" x14ac:dyDescent="0.25">
      <c r="E1597" t="str">
        <f>""</f>
        <v/>
      </c>
      <c r="F1597" t="str">
        <f>""</f>
        <v/>
      </c>
      <c r="H1597" t="str">
        <f>"Less Tax"</f>
        <v>Less Tax</v>
      </c>
    </row>
    <row r="1598" spans="5:8" x14ac:dyDescent="0.25">
      <c r="E1598" t="str">
        <f>""</f>
        <v/>
      </c>
      <c r="F1598" t="str">
        <f>""</f>
        <v/>
      </c>
      <c r="H1598" t="str">
        <f>"Fuel Payment"</f>
        <v>Fuel Payment</v>
      </c>
    </row>
    <row r="1599" spans="5:8" x14ac:dyDescent="0.25">
      <c r="E1599" t="str">
        <f>""</f>
        <v/>
      </c>
      <c r="F1599" t="str">
        <f>""</f>
        <v/>
      </c>
      <c r="H1599" t="str">
        <f>"Less Tax"</f>
        <v>Less Tax</v>
      </c>
    </row>
    <row r="1600" spans="5:8" x14ac:dyDescent="0.25">
      <c r="E1600" t="str">
        <f>""</f>
        <v/>
      </c>
      <c r="F1600" t="str">
        <f>""</f>
        <v/>
      </c>
      <c r="H1600" t="str">
        <f>"Fuel Payment"</f>
        <v>Fuel Payment</v>
      </c>
    </row>
    <row r="1601" spans="1:8" x14ac:dyDescent="0.25">
      <c r="E1601" t="str">
        <f>""</f>
        <v/>
      </c>
      <c r="F1601" t="str">
        <f>""</f>
        <v/>
      </c>
      <c r="H1601" t="str">
        <f>"Less Tax"</f>
        <v>Less Tax</v>
      </c>
    </row>
    <row r="1602" spans="1:8" x14ac:dyDescent="0.25">
      <c r="E1602" t="str">
        <f>""</f>
        <v/>
      </c>
      <c r="F1602" t="str">
        <f>""</f>
        <v/>
      </c>
      <c r="H1602" t="str">
        <f>"Fuel Payment"</f>
        <v>Fuel Payment</v>
      </c>
    </row>
    <row r="1603" spans="1:8" x14ac:dyDescent="0.25">
      <c r="E1603" t="str">
        <f>""</f>
        <v/>
      </c>
      <c r="F1603" t="str">
        <f>""</f>
        <v/>
      </c>
      <c r="H1603" t="str">
        <f>"Less Tax"</f>
        <v>Less Tax</v>
      </c>
    </row>
    <row r="1604" spans="1:8" x14ac:dyDescent="0.25">
      <c r="A1604" t="s">
        <v>531</v>
      </c>
      <c r="B1604">
        <v>999999</v>
      </c>
      <c r="C1604" s="2">
        <v>2802.56</v>
      </c>
      <c r="D1604" s="1">
        <v>43396</v>
      </c>
      <c r="E1604" t="str">
        <f>"330646 331001 3309"</f>
        <v>330646 331001 3309</v>
      </c>
      <c r="F1604" t="str">
        <f>"Materials"</f>
        <v>Materials</v>
      </c>
      <c r="G1604" s="3">
        <v>2802.56</v>
      </c>
      <c r="H1604" t="str">
        <f>"24 x50yds Green"</f>
        <v>24 x50yds Green</v>
      </c>
    </row>
    <row r="1605" spans="1:8" x14ac:dyDescent="0.25">
      <c r="E1605" t="str">
        <f>""</f>
        <v/>
      </c>
      <c r="F1605" t="str">
        <f>""</f>
        <v/>
      </c>
      <c r="H1605" t="str">
        <f>"12 x36  Reflective Y"</f>
        <v>12 x36  Reflective Y</v>
      </c>
    </row>
    <row r="1606" spans="1:8" x14ac:dyDescent="0.25">
      <c r="E1606" t="str">
        <f>""</f>
        <v/>
      </c>
      <c r="F1606" t="str">
        <f>""</f>
        <v/>
      </c>
      <c r="H1606" t="str">
        <f>"12 x6  Reflective Wh"</f>
        <v>12 x6  Reflective Wh</v>
      </c>
    </row>
    <row r="1607" spans="1:8" x14ac:dyDescent="0.25">
      <c r="E1607" t="str">
        <f>""</f>
        <v/>
      </c>
      <c r="F1607" t="str">
        <f>""</f>
        <v/>
      </c>
      <c r="H1607" t="str">
        <f>"18 x18  Reflective Y"</f>
        <v>18 x18  Reflective Y</v>
      </c>
    </row>
    <row r="1608" spans="1:8" x14ac:dyDescent="0.25">
      <c r="E1608" t="str">
        <f>""</f>
        <v/>
      </c>
      <c r="F1608" t="str">
        <f>""</f>
        <v/>
      </c>
      <c r="H1608" t="str">
        <f>"6'x1.12#"</f>
        <v>6'x1.12#</v>
      </c>
    </row>
    <row r="1609" spans="1:8" x14ac:dyDescent="0.25">
      <c r="E1609" t="str">
        <f>""</f>
        <v/>
      </c>
      <c r="F1609" t="str">
        <f>""</f>
        <v/>
      </c>
      <c r="H1609" t="str">
        <f>"10'x2#"</f>
        <v>10'x2#</v>
      </c>
    </row>
    <row r="1610" spans="1:8" x14ac:dyDescent="0.25">
      <c r="E1610" t="str">
        <f>""</f>
        <v/>
      </c>
      <c r="F1610" t="str">
        <f>""</f>
        <v/>
      </c>
      <c r="H1610" t="str">
        <f>" 2 3/8  O.D."</f>
        <v xml:space="preserve"> 2 3/8  O.D.</v>
      </c>
    </row>
    <row r="1611" spans="1:8" x14ac:dyDescent="0.25">
      <c r="E1611" t="str">
        <f>""</f>
        <v/>
      </c>
      <c r="F1611" t="str">
        <f>""</f>
        <v/>
      </c>
      <c r="H1611" t="str">
        <f>"l 90 Degree"</f>
        <v>l 90 Degree</v>
      </c>
    </row>
    <row r="1612" spans="1:8" x14ac:dyDescent="0.25">
      <c r="E1612" t="str">
        <f>""</f>
        <v/>
      </c>
      <c r="F1612" t="str">
        <f>""</f>
        <v/>
      </c>
      <c r="H1612" t="str">
        <f>"Flat Blade Cross"</f>
        <v>Flat Blade Cross</v>
      </c>
    </row>
    <row r="1613" spans="1:8" x14ac:dyDescent="0.25">
      <c r="E1613" t="str">
        <f>""</f>
        <v/>
      </c>
      <c r="F1613" t="str">
        <f>""</f>
        <v/>
      </c>
      <c r="H1613" t="str">
        <f>"6 x100yds Transfer T"</f>
        <v>6 x100yds Transfer T</v>
      </c>
    </row>
    <row r="1614" spans="1:8" x14ac:dyDescent="0.25">
      <c r="A1614" t="s">
        <v>532</v>
      </c>
      <c r="B1614">
        <v>79137</v>
      </c>
      <c r="C1614" s="2">
        <v>37155</v>
      </c>
      <c r="D1614" s="1">
        <v>43382</v>
      </c>
      <c r="E1614" t="str">
        <f>"309"</f>
        <v>309</v>
      </c>
      <c r="F1614" t="str">
        <f>"WADE CUSTOM STEEL BUILDINGS  I"</f>
        <v>WADE CUSTOM STEEL BUILDINGS  I</v>
      </c>
      <c r="G1614" s="3">
        <v>37155</v>
      </c>
      <c r="H1614" t="str">
        <f>"Foundationd and Bldg"</f>
        <v>Foundationd and Bldg</v>
      </c>
    </row>
    <row r="1615" spans="1:8" x14ac:dyDescent="0.25">
      <c r="A1615" t="s">
        <v>533</v>
      </c>
      <c r="B1615">
        <v>79336</v>
      </c>
      <c r="C1615" s="2">
        <v>115.6</v>
      </c>
      <c r="D1615" s="1">
        <v>43395</v>
      </c>
      <c r="E1615" t="str">
        <f>"0918-DR14926"</f>
        <v>0918-DR14926</v>
      </c>
      <c r="F1615" t="str">
        <f>"CLIENT ID:CXD 14926"</f>
        <v>CLIENT ID:CXD 14926</v>
      </c>
      <c r="G1615" s="3">
        <v>115.6</v>
      </c>
      <c r="H1615" t="str">
        <f>"CLIENT ID:CXD 14926"</f>
        <v>CLIENT ID:CXD 14926</v>
      </c>
    </row>
    <row r="1616" spans="1:8" x14ac:dyDescent="0.25">
      <c r="A1616" t="s">
        <v>534</v>
      </c>
      <c r="B1616">
        <v>79337</v>
      </c>
      <c r="C1616" s="2">
        <v>100</v>
      </c>
      <c r="D1616" s="1">
        <v>43395</v>
      </c>
      <c r="E1616" t="str">
        <f>"12465"</f>
        <v>12465</v>
      </c>
      <c r="F1616" t="str">
        <f>"SERVICE"</f>
        <v>SERVICE</v>
      </c>
      <c r="G1616" s="3">
        <v>100</v>
      </c>
      <c r="H1616" t="str">
        <f>"SERVICE"</f>
        <v>SERVICE</v>
      </c>
    </row>
    <row r="1617" spans="1:8" x14ac:dyDescent="0.25">
      <c r="A1617" t="s">
        <v>535</v>
      </c>
      <c r="B1617">
        <v>999999</v>
      </c>
      <c r="C1617" s="2">
        <v>2573.7800000000002</v>
      </c>
      <c r="D1617" s="1">
        <v>43383</v>
      </c>
      <c r="E1617" t="str">
        <f>"15457"</f>
        <v>15457</v>
      </c>
      <c r="F1617" t="str">
        <f>"COLD MIX/FREIGHT/PCT#4"</f>
        <v>COLD MIX/FREIGHT/PCT#4</v>
      </c>
      <c r="G1617" s="3">
        <v>2573.7800000000002</v>
      </c>
      <c r="H1617" t="str">
        <f>"COLD MIX/FREIGHT/PCT#4"</f>
        <v>COLD MIX/FREIGHT/PCT#4</v>
      </c>
    </row>
    <row r="1618" spans="1:8" x14ac:dyDescent="0.25">
      <c r="A1618" t="s">
        <v>535</v>
      </c>
      <c r="B1618">
        <v>999999</v>
      </c>
      <c r="C1618" s="2">
        <v>8038.11</v>
      </c>
      <c r="D1618" s="1">
        <v>43396</v>
      </c>
      <c r="E1618" t="str">
        <f>"15544"</f>
        <v>15544</v>
      </c>
      <c r="F1618" t="str">
        <f>"COLD MIX/FREIGHT/PCT#3"</f>
        <v>COLD MIX/FREIGHT/PCT#3</v>
      </c>
      <c r="G1618" s="3">
        <v>2697.18</v>
      </c>
      <c r="H1618" t="str">
        <f>"COLD MIX/FREIGHT/PCT#3"</f>
        <v>COLD MIX/FREIGHT/PCT#3</v>
      </c>
    </row>
    <row r="1619" spans="1:8" x14ac:dyDescent="0.25">
      <c r="E1619" t="str">
        <f>"15567"</f>
        <v>15567</v>
      </c>
      <c r="F1619" t="str">
        <f>"COLD MIX/FREIGHT/PCT#4"</f>
        <v>COLD MIX/FREIGHT/PCT#4</v>
      </c>
      <c r="G1619" s="3">
        <v>2734.7</v>
      </c>
      <c r="H1619" t="str">
        <f>"COLD MIX/FREIGHT/PCT#4"</f>
        <v>COLD MIX/FREIGHT/PCT#4</v>
      </c>
    </row>
    <row r="1620" spans="1:8" x14ac:dyDescent="0.25">
      <c r="E1620" t="str">
        <f>"15573"</f>
        <v>15573</v>
      </c>
      <c r="F1620" t="str">
        <f>"COLD MIX/FREIGHT/PCT#1"</f>
        <v>COLD MIX/FREIGHT/PCT#1</v>
      </c>
      <c r="G1620" s="3">
        <v>2606.23</v>
      </c>
      <c r="H1620" t="str">
        <f>"COLD MIX/FREIGHT/PCT#1"</f>
        <v>COLD MIX/FREIGHT/PCT#1</v>
      </c>
    </row>
    <row r="1621" spans="1:8" x14ac:dyDescent="0.25">
      <c r="A1621" t="s">
        <v>536</v>
      </c>
      <c r="B1621">
        <v>79138</v>
      </c>
      <c r="C1621" s="2">
        <v>263.35000000000002</v>
      </c>
      <c r="D1621" s="1">
        <v>43382</v>
      </c>
      <c r="E1621" t="str">
        <f>"201810034180"</f>
        <v>201810034180</v>
      </c>
      <c r="F1621" t="str">
        <f>"acct# 6032202005312476"</f>
        <v>acct# 6032202005312476</v>
      </c>
      <c r="G1621" s="3">
        <v>263.35000000000002</v>
      </c>
      <c r="H1621" t="str">
        <f>"Inv# 001075"</f>
        <v>Inv# 001075</v>
      </c>
    </row>
    <row r="1622" spans="1:8" x14ac:dyDescent="0.25">
      <c r="E1622" t="str">
        <f>""</f>
        <v/>
      </c>
      <c r="F1622" t="str">
        <f>""</f>
        <v/>
      </c>
      <c r="H1622" t="str">
        <f>"Inv# 002348"</f>
        <v>Inv# 002348</v>
      </c>
    </row>
    <row r="1623" spans="1:8" x14ac:dyDescent="0.25">
      <c r="E1623" t="str">
        <f>""</f>
        <v/>
      </c>
      <c r="F1623" t="str">
        <f>""</f>
        <v/>
      </c>
      <c r="H1623" t="str">
        <f>"Inv# 006937"</f>
        <v>Inv# 006937</v>
      </c>
    </row>
    <row r="1624" spans="1:8" x14ac:dyDescent="0.25">
      <c r="E1624" t="str">
        <f>""</f>
        <v/>
      </c>
      <c r="F1624" t="str">
        <f>""</f>
        <v/>
      </c>
      <c r="H1624" t="str">
        <f>"Inv# 000006"</f>
        <v>Inv# 000006</v>
      </c>
    </row>
    <row r="1625" spans="1:8" x14ac:dyDescent="0.25">
      <c r="E1625" t="str">
        <f>""</f>
        <v/>
      </c>
      <c r="F1625" t="str">
        <f>""</f>
        <v/>
      </c>
      <c r="H1625" t="str">
        <f>"Inv# 005417"</f>
        <v>Inv# 005417</v>
      </c>
    </row>
    <row r="1626" spans="1:8" x14ac:dyDescent="0.25">
      <c r="E1626" t="str">
        <f>""</f>
        <v/>
      </c>
      <c r="F1626" t="str">
        <f>""</f>
        <v/>
      </c>
      <c r="H1626" t="str">
        <f>"Inv# 002780"</f>
        <v>Inv# 002780</v>
      </c>
    </row>
    <row r="1627" spans="1:8" x14ac:dyDescent="0.25">
      <c r="E1627" t="str">
        <f>""</f>
        <v/>
      </c>
      <c r="F1627" t="str">
        <f>""</f>
        <v/>
      </c>
      <c r="H1627" t="str">
        <f>"Inv# 001097"</f>
        <v>Inv# 001097</v>
      </c>
    </row>
    <row r="1628" spans="1:8" x14ac:dyDescent="0.25">
      <c r="E1628" t="str">
        <f>""</f>
        <v/>
      </c>
      <c r="F1628" t="str">
        <f>""</f>
        <v/>
      </c>
      <c r="H1628" t="str">
        <f>"Inv# 002415"</f>
        <v>Inv# 002415</v>
      </c>
    </row>
    <row r="1629" spans="1:8" x14ac:dyDescent="0.25">
      <c r="E1629" t="str">
        <f>""</f>
        <v/>
      </c>
      <c r="F1629" t="str">
        <f>""</f>
        <v/>
      </c>
      <c r="H1629" t="str">
        <f>"Inv# 004060"</f>
        <v>Inv# 004060</v>
      </c>
    </row>
    <row r="1630" spans="1:8" x14ac:dyDescent="0.25">
      <c r="A1630" t="s">
        <v>537</v>
      </c>
      <c r="B1630">
        <v>79338</v>
      </c>
      <c r="C1630" s="2">
        <v>227.68</v>
      </c>
      <c r="D1630" s="1">
        <v>43395</v>
      </c>
      <c r="E1630" t="str">
        <f>"0037166-2162-2"</f>
        <v>0037166-2162-2</v>
      </c>
      <c r="F1630" t="str">
        <f>"CUST ID:16-27603-83003"</f>
        <v>CUST ID:16-27603-83003</v>
      </c>
      <c r="G1630" s="3">
        <v>227.68</v>
      </c>
      <c r="H1630" t="str">
        <f>"CUST ID:16-27603-83003"</f>
        <v>CUST ID:16-27603-83003</v>
      </c>
    </row>
    <row r="1631" spans="1:8" x14ac:dyDescent="0.25">
      <c r="A1631" t="s">
        <v>538</v>
      </c>
      <c r="B1631">
        <v>79339</v>
      </c>
      <c r="C1631" s="2">
        <v>569.70000000000005</v>
      </c>
      <c r="D1631" s="1">
        <v>43395</v>
      </c>
      <c r="E1631" t="str">
        <f>"CNIV514397 ARIN170"</f>
        <v>CNIV514397 ARIN170</v>
      </c>
      <c r="F1631" t="str">
        <f>"INV CNIV514397/ARIN170302"</f>
        <v>INV CNIV514397/ARIN170302</v>
      </c>
      <c r="G1631" s="3">
        <v>569.70000000000005</v>
      </c>
      <c r="H1631" t="str">
        <f>"INV CNIV514397"</f>
        <v>INV CNIV514397</v>
      </c>
    </row>
    <row r="1632" spans="1:8" x14ac:dyDescent="0.25">
      <c r="E1632" t="str">
        <f>""</f>
        <v/>
      </c>
      <c r="F1632" t="str">
        <f>""</f>
        <v/>
      </c>
      <c r="H1632" t="str">
        <f>"INV ARIN170302"</f>
        <v>INV ARIN170302</v>
      </c>
    </row>
    <row r="1633" spans="1:8" x14ac:dyDescent="0.25">
      <c r="E1633" t="str">
        <f>""</f>
        <v/>
      </c>
      <c r="F1633" t="str">
        <f>""</f>
        <v/>
      </c>
      <c r="H1633" t="str">
        <f>"INV ARIN170190"</f>
        <v>INV ARIN170190</v>
      </c>
    </row>
    <row r="1634" spans="1:8" x14ac:dyDescent="0.25">
      <c r="A1634" t="s">
        <v>539</v>
      </c>
      <c r="B1634">
        <v>79164</v>
      </c>
      <c r="C1634" s="2">
        <v>17222.560000000001</v>
      </c>
      <c r="D1634" s="1">
        <v>43383</v>
      </c>
      <c r="E1634" t="str">
        <f>"1702036768"</f>
        <v>1702036768</v>
      </c>
      <c r="F1634" t="str">
        <f>"ACCT#5150-005117630 / 09302018"</f>
        <v>ACCT#5150-005117630 / 09302018</v>
      </c>
      <c r="G1634" s="3">
        <v>238.37</v>
      </c>
      <c r="H1634" t="str">
        <f>"ACCT#5150-005117630 / 09302018"</f>
        <v>ACCT#5150-005117630 / 09302018</v>
      </c>
    </row>
    <row r="1635" spans="1:8" x14ac:dyDescent="0.25">
      <c r="E1635" t="str">
        <f>"1702036769"</f>
        <v>1702036769</v>
      </c>
      <c r="F1635" t="str">
        <f>"ACCT#5150-005117766 / 09302018"</f>
        <v>ACCT#5150-005117766 / 09302018</v>
      </c>
      <c r="G1635" s="3">
        <v>104.64</v>
      </c>
      <c r="H1635" t="str">
        <f>"ACCT#5150-005117766 / 09302018"</f>
        <v>ACCT#5150-005117766 / 09302018</v>
      </c>
    </row>
    <row r="1636" spans="1:8" x14ac:dyDescent="0.25">
      <c r="E1636" t="str">
        <f>"1702036770"</f>
        <v>1702036770</v>
      </c>
      <c r="F1636" t="str">
        <f>"ACCT#5150-005117838 / 09302018"</f>
        <v>ACCT#5150-005117838 / 09302018</v>
      </c>
      <c r="G1636" s="3">
        <v>96.85</v>
      </c>
      <c r="H1636" t="str">
        <f>"ACCT#5150-005117838 / 09302018"</f>
        <v>ACCT#5150-005117838 / 09302018</v>
      </c>
    </row>
    <row r="1637" spans="1:8" x14ac:dyDescent="0.25">
      <c r="E1637" t="str">
        <f>"1702036772"</f>
        <v>1702036772</v>
      </c>
      <c r="F1637" t="str">
        <f>"ACCT#5150-005117882 / 09302018"</f>
        <v>ACCT#5150-005117882 / 09302018</v>
      </c>
      <c r="G1637" s="3">
        <v>130.78</v>
      </c>
      <c r="H1637" t="str">
        <f>"ACCT#5150-005117882 / 09302018"</f>
        <v>ACCT#5150-005117882 / 09302018</v>
      </c>
    </row>
    <row r="1638" spans="1:8" x14ac:dyDescent="0.25">
      <c r="E1638" t="str">
        <f>"1702036774"</f>
        <v>1702036774</v>
      </c>
      <c r="F1638" t="str">
        <f>"ACCT#5150-005118183 / 09302018"</f>
        <v>ACCT#5150-005118183 / 09302018</v>
      </c>
      <c r="G1638" s="3">
        <v>561.41999999999996</v>
      </c>
      <c r="H1638" t="str">
        <f>"ACCT#5150-005118183 / 09302018"</f>
        <v>ACCT#5150-005118183 / 09302018</v>
      </c>
    </row>
    <row r="1639" spans="1:8" x14ac:dyDescent="0.25">
      <c r="E1639" t="str">
        <f>"1702036786"</f>
        <v>1702036786</v>
      </c>
      <c r="F1639" t="str">
        <f>"ACCT#5150-005129483 / 09302018"</f>
        <v>ACCT#5150-005129483 / 09302018</v>
      </c>
      <c r="G1639" s="3">
        <v>16090.5</v>
      </c>
      <c r="H1639" t="str">
        <f>"ACCT#5150-005129483 / 09302018"</f>
        <v>ACCT#5150-005129483 / 09302018</v>
      </c>
    </row>
    <row r="1640" spans="1:8" x14ac:dyDescent="0.25">
      <c r="A1640" t="s">
        <v>540</v>
      </c>
      <c r="B1640">
        <v>79340</v>
      </c>
      <c r="C1640" s="2">
        <v>500.95</v>
      </c>
      <c r="D1640" s="1">
        <v>43395</v>
      </c>
      <c r="E1640" t="str">
        <f>"5912"</f>
        <v>5912</v>
      </c>
      <c r="F1640" t="str">
        <f>"WEBB SUPPLY COMPANY  INC."</f>
        <v>WEBB SUPPLY COMPANY  INC.</v>
      </c>
      <c r="G1640" s="3">
        <v>500.95</v>
      </c>
      <c r="H1640" t="str">
        <f>"Klorman Compact"</f>
        <v>Klorman Compact</v>
      </c>
    </row>
    <row r="1641" spans="1:8" x14ac:dyDescent="0.25">
      <c r="E1641" t="str">
        <f>""</f>
        <v/>
      </c>
      <c r="F1641" t="str">
        <f>""</f>
        <v/>
      </c>
      <c r="H1641" t="str">
        <f>"Hypochlor"</f>
        <v>Hypochlor</v>
      </c>
    </row>
    <row r="1642" spans="1:8" x14ac:dyDescent="0.25">
      <c r="E1642" t="str">
        <f>""</f>
        <v/>
      </c>
      <c r="F1642" t="str">
        <f>""</f>
        <v/>
      </c>
      <c r="H1642" t="str">
        <f>"Shipping"</f>
        <v>Shipping</v>
      </c>
    </row>
    <row r="1643" spans="1:8" x14ac:dyDescent="0.25">
      <c r="A1643" t="s">
        <v>541</v>
      </c>
      <c r="B1643">
        <v>79341</v>
      </c>
      <c r="C1643" s="2">
        <v>804.85</v>
      </c>
      <c r="D1643" s="1">
        <v>43395</v>
      </c>
      <c r="E1643" t="str">
        <f>"201810174598"</f>
        <v>201810174598</v>
      </c>
      <c r="F1643" t="str">
        <f>"WEI-ANN LIN (REIMBURSEMENTS ON"</f>
        <v>WEI-ANN LIN (REIMBURSEMENTS ON</v>
      </c>
      <c r="G1643" s="3">
        <v>804.85</v>
      </c>
      <c r="H1643" t="str">
        <f>"REGISTRATION"</f>
        <v>REGISTRATION</v>
      </c>
    </row>
    <row r="1644" spans="1:8" x14ac:dyDescent="0.25">
      <c r="E1644" t="str">
        <f>""</f>
        <v/>
      </c>
      <c r="F1644" t="str">
        <f>""</f>
        <v/>
      </c>
      <c r="H1644" t="str">
        <f>"HOTEL"</f>
        <v>HOTEL</v>
      </c>
    </row>
    <row r="1645" spans="1:8" x14ac:dyDescent="0.25">
      <c r="E1645" t="str">
        <f>""</f>
        <v/>
      </c>
      <c r="F1645" t="str">
        <f>""</f>
        <v/>
      </c>
      <c r="H1645" t="str">
        <f>"AIRFARE"</f>
        <v>AIRFARE</v>
      </c>
    </row>
    <row r="1646" spans="1:8" x14ac:dyDescent="0.25">
      <c r="A1646" t="s">
        <v>542</v>
      </c>
      <c r="B1646">
        <v>79139</v>
      </c>
      <c r="C1646" s="2">
        <v>86900</v>
      </c>
      <c r="D1646" s="1">
        <v>43382</v>
      </c>
      <c r="E1646" t="str">
        <f>"201810014011"</f>
        <v>201810014011</v>
      </c>
      <c r="F1646" t="str">
        <f>"WCI JOB NAME:BAST CO OMR"</f>
        <v>WCI JOB NAME:BAST CO OMR</v>
      </c>
      <c r="G1646" s="3">
        <v>86900</v>
      </c>
      <c r="H1646" t="str">
        <f>"WCI JOB NAME:BAST CO OMR"</f>
        <v>WCI JOB NAME:BAST CO OMR</v>
      </c>
    </row>
    <row r="1647" spans="1:8" x14ac:dyDescent="0.25">
      <c r="E1647" t="str">
        <f>""</f>
        <v/>
      </c>
      <c r="F1647" t="str">
        <f>""</f>
        <v/>
      </c>
      <c r="H1647" t="str">
        <f>"WCI JOB NAME:BAST CO OMR"</f>
        <v>WCI JOB NAME:BAST CO OMR</v>
      </c>
    </row>
    <row r="1648" spans="1:8" x14ac:dyDescent="0.25">
      <c r="A1648" t="s">
        <v>543</v>
      </c>
      <c r="B1648">
        <v>999999</v>
      </c>
      <c r="C1648" s="2">
        <v>30008.3</v>
      </c>
      <c r="D1648" s="1">
        <v>43396</v>
      </c>
      <c r="E1648" t="str">
        <f>"21109"</f>
        <v>21109</v>
      </c>
      <c r="F1648" t="str">
        <f>"INV 21109"</f>
        <v>INV 21109</v>
      </c>
      <c r="G1648" s="3">
        <v>30008.3</v>
      </c>
      <c r="H1648" t="str">
        <f>"INV 21109"</f>
        <v>INV 21109</v>
      </c>
    </row>
    <row r="1649" spans="1:8" x14ac:dyDescent="0.25">
      <c r="A1649" t="s">
        <v>544</v>
      </c>
      <c r="B1649">
        <v>79342</v>
      </c>
      <c r="C1649" s="2">
        <v>70</v>
      </c>
      <c r="D1649" s="1">
        <v>43395</v>
      </c>
      <c r="E1649" t="str">
        <f>"12529"</f>
        <v>12529</v>
      </c>
      <c r="F1649" t="str">
        <f>"SERVICE"</f>
        <v>SERVICE</v>
      </c>
      <c r="G1649" s="3">
        <v>70</v>
      </c>
      <c r="H1649" t="str">
        <f>"SERVICE"</f>
        <v>SERVICE</v>
      </c>
    </row>
    <row r="1650" spans="1:8" x14ac:dyDescent="0.25">
      <c r="A1650" t="s">
        <v>545</v>
      </c>
      <c r="B1650">
        <v>79343</v>
      </c>
      <c r="C1650" s="2">
        <v>20</v>
      </c>
      <c r="D1650" s="1">
        <v>43395</v>
      </c>
      <c r="E1650" t="str">
        <f>"11314"</f>
        <v>11314</v>
      </c>
      <c r="F1650" t="str">
        <f>"SERVICE"</f>
        <v>SERVICE</v>
      </c>
      <c r="G1650" s="3">
        <v>20</v>
      </c>
      <c r="H1650" t="str">
        <f>"SERVICE"</f>
        <v>SERVICE</v>
      </c>
    </row>
    <row r="1651" spans="1:8" x14ac:dyDescent="0.25">
      <c r="A1651" t="s">
        <v>546</v>
      </c>
      <c r="B1651">
        <v>79344</v>
      </c>
      <c r="C1651" s="2">
        <v>140</v>
      </c>
      <c r="D1651" s="1">
        <v>43395</v>
      </c>
      <c r="E1651" t="str">
        <f>"12465"</f>
        <v>12465</v>
      </c>
      <c r="F1651" t="str">
        <f>"SERVICE"</f>
        <v>SERVICE</v>
      </c>
      <c r="G1651" s="3">
        <v>140</v>
      </c>
      <c r="H1651" t="str">
        <f>"SERVICE"</f>
        <v>SERVICE</v>
      </c>
    </row>
    <row r="1652" spans="1:8" x14ac:dyDescent="0.25">
      <c r="A1652" t="s">
        <v>547</v>
      </c>
      <c r="B1652">
        <v>79345</v>
      </c>
      <c r="C1652" s="2">
        <v>184.43</v>
      </c>
      <c r="D1652" s="1">
        <v>43395</v>
      </c>
      <c r="E1652" t="str">
        <f>"094682813"</f>
        <v>094682813</v>
      </c>
      <c r="F1652" t="str">
        <f>"CUST#662445931/REF#VTX00000X"</f>
        <v>CUST#662445931/REF#VTX00000X</v>
      </c>
      <c r="G1652" s="3">
        <v>106.45</v>
      </c>
    </row>
    <row r="1653" spans="1:8" x14ac:dyDescent="0.25">
      <c r="E1653" t="str">
        <f>"094682814"</f>
        <v>094682814</v>
      </c>
      <c r="F1653" t="str">
        <f>"CUST#662445931/REF#VTX00000X"</f>
        <v>CUST#662445931/REF#VTX00000X</v>
      </c>
      <c r="G1653" s="3">
        <v>38.99</v>
      </c>
    </row>
    <row r="1654" spans="1:8" x14ac:dyDescent="0.25">
      <c r="E1654" t="str">
        <f>"094682826"</f>
        <v>094682826</v>
      </c>
      <c r="F1654" t="str">
        <f>"CUST#723230843/REF#VTX00000X"</f>
        <v>CUST#723230843/REF#VTX00000X</v>
      </c>
      <c r="G1654" s="3">
        <v>38.99</v>
      </c>
    </row>
    <row r="1655" spans="1:8" x14ac:dyDescent="0.25">
      <c r="A1655" t="s">
        <v>547</v>
      </c>
      <c r="B1655">
        <v>79140</v>
      </c>
      <c r="C1655" s="2">
        <v>403.28</v>
      </c>
      <c r="D1655" s="1">
        <v>43382</v>
      </c>
      <c r="E1655" t="str">
        <f>"1301632"</f>
        <v>1301632</v>
      </c>
      <c r="F1655" t="str">
        <f>"CONTRACT#010-0095885-001"</f>
        <v>CONTRACT#010-0095885-001</v>
      </c>
      <c r="G1655" s="3">
        <v>403.28</v>
      </c>
      <c r="H1655" t="str">
        <f>"CONTRACT#010-0095885-001"</f>
        <v>CONTRACT#010-0095885-001</v>
      </c>
    </row>
    <row r="1656" spans="1:8" x14ac:dyDescent="0.25">
      <c r="A1656" t="s">
        <v>547</v>
      </c>
      <c r="B1656">
        <v>79346</v>
      </c>
      <c r="C1656" s="2">
        <v>201.64</v>
      </c>
      <c r="D1656" s="1">
        <v>43395</v>
      </c>
      <c r="E1656" t="str">
        <f>"1338412"</f>
        <v>1338412</v>
      </c>
      <c r="F1656" t="str">
        <f>"CONTRACT#010-0095885-001 - OCT"</f>
        <v>CONTRACT#010-0095885-001 - OCT</v>
      </c>
      <c r="G1656" s="3">
        <v>201.64</v>
      </c>
      <c r="H1656" t="str">
        <f>"CONTRACT#010-0095885-001 - OCT"</f>
        <v>CONTRACT#010-0095885-001 - OCT</v>
      </c>
    </row>
    <row r="1657" spans="1:8" x14ac:dyDescent="0.25">
      <c r="A1657" t="s">
        <v>548</v>
      </c>
      <c r="B1657">
        <v>79347</v>
      </c>
      <c r="C1657" s="2">
        <v>11919.8</v>
      </c>
      <c r="D1657" s="1">
        <v>43395</v>
      </c>
      <c r="E1657" t="str">
        <f>"8744-093018"</f>
        <v>8744-093018</v>
      </c>
      <c r="F1657" t="str">
        <f>"UPS Server"</f>
        <v>UPS Server</v>
      </c>
      <c r="G1657" s="3">
        <v>1180</v>
      </c>
      <c r="H1657" t="str">
        <f>"9330-10-20"</f>
        <v>9330-10-20</v>
      </c>
    </row>
    <row r="1658" spans="1:8" x14ac:dyDescent="0.25">
      <c r="E1658" t="str">
        <f>"8745-080118"</f>
        <v>8745-080118</v>
      </c>
      <c r="F1658" t="str">
        <f>"UPS replacement batteries"</f>
        <v>UPS replacement batteries</v>
      </c>
      <c r="G1658" s="3">
        <v>10739.8</v>
      </c>
      <c r="H1658" t="str">
        <f>"Corrective Labor Cov"</f>
        <v>Corrective Labor Cov</v>
      </c>
    </row>
    <row r="1659" spans="1:8" x14ac:dyDescent="0.25">
      <c r="E1659" t="str">
        <f>""</f>
        <v/>
      </c>
      <c r="F1659" t="str">
        <f>""</f>
        <v/>
      </c>
      <c r="H1659" t="str">
        <f>"64Batt 8Tray"</f>
        <v>64Batt 8Tray</v>
      </c>
    </row>
    <row r="1660" spans="1:8" x14ac:dyDescent="0.25">
      <c r="E1660" t="str">
        <f>""</f>
        <v/>
      </c>
      <c r="F1660" t="str">
        <f>""</f>
        <v/>
      </c>
      <c r="H1660" t="str">
        <f>"Add'l Costs"</f>
        <v>Add'l Costs</v>
      </c>
    </row>
    <row r="1661" spans="1:8" x14ac:dyDescent="0.25">
      <c r="E1661" t="str">
        <f>""</f>
        <v/>
      </c>
      <c r="F1661" t="str">
        <f>""</f>
        <v/>
      </c>
      <c r="H1661" t="str">
        <f>"UPS Preventive Maint"</f>
        <v>UPS Preventive Maint</v>
      </c>
    </row>
    <row r="1662" spans="1:8" x14ac:dyDescent="0.25">
      <c r="A1662" t="s">
        <v>549</v>
      </c>
      <c r="B1662">
        <v>79348</v>
      </c>
      <c r="C1662" s="2">
        <v>292.5</v>
      </c>
      <c r="D1662" s="1">
        <v>43395</v>
      </c>
      <c r="E1662" t="str">
        <f>"9006775029"</f>
        <v>9006775029</v>
      </c>
      <c r="F1662" t="str">
        <f>"PAYER#1000113183/ANIMAL SVCS"</f>
        <v>PAYER#1000113183/ANIMAL SVCS</v>
      </c>
      <c r="G1662" s="3">
        <v>292.5</v>
      </c>
      <c r="H1662" t="str">
        <f>"PAYER#1000113183/ANIMAL SVCS"</f>
        <v>PAYER#1000113183/ANIMAL SVCS</v>
      </c>
    </row>
    <row r="1663" spans="1:8" x14ac:dyDescent="0.25">
      <c r="A1663" t="s">
        <v>550</v>
      </c>
      <c r="B1663">
        <v>79141</v>
      </c>
      <c r="C1663" s="2">
        <v>287.88</v>
      </c>
      <c r="D1663" s="1">
        <v>43382</v>
      </c>
      <c r="E1663" t="str">
        <f>"9725-004-102969"</f>
        <v>9725-004-102969</v>
      </c>
      <c r="F1663" t="str">
        <f>"ACCT#9725-004/REC BASE/PCT#1"</f>
        <v>ACCT#9725-004/REC BASE/PCT#1</v>
      </c>
      <c r="G1663" s="3">
        <v>287.88</v>
      </c>
      <c r="H1663" t="str">
        <f>"ACCT#9725-004/REC BASE/PCT#1"</f>
        <v>ACCT#9725-004/REC BASE/PCT#1</v>
      </c>
    </row>
    <row r="1664" spans="1:8" x14ac:dyDescent="0.25">
      <c r="A1664" t="s">
        <v>50</v>
      </c>
      <c r="B1664">
        <v>79349</v>
      </c>
      <c r="C1664" s="2">
        <v>45.54</v>
      </c>
      <c r="D1664" s="1">
        <v>43395</v>
      </c>
      <c r="E1664" t="str">
        <f>"1P1Q-DGH6-GDR6"</f>
        <v>1P1Q-DGH6-GDR6</v>
      </c>
      <c r="F1664" t="str">
        <f>"Gloves"</f>
        <v>Gloves</v>
      </c>
      <c r="G1664" s="3">
        <v>45.54</v>
      </c>
      <c r="H1664" t="str">
        <f>"M gloves"</f>
        <v>M gloves</v>
      </c>
    </row>
    <row r="1665" spans="1:8" x14ac:dyDescent="0.25">
      <c r="E1665" t="str">
        <f>""</f>
        <v/>
      </c>
      <c r="F1665" t="str">
        <f>""</f>
        <v/>
      </c>
      <c r="H1665" t="str">
        <f>"XL GLoves"</f>
        <v>XL GLoves</v>
      </c>
    </row>
    <row r="1666" spans="1:8" x14ac:dyDescent="0.25">
      <c r="A1666" t="s">
        <v>551</v>
      </c>
      <c r="B1666">
        <v>79142</v>
      </c>
      <c r="C1666" s="2">
        <v>425</v>
      </c>
      <c r="D1666" s="1">
        <v>43382</v>
      </c>
      <c r="E1666" t="str">
        <f>"3790"</f>
        <v>3790</v>
      </c>
      <c r="F1666" t="str">
        <f>"FLUSH OUT AND STEAM RADIATOR"</f>
        <v>FLUSH OUT AND STEAM RADIATOR</v>
      </c>
      <c r="G1666" s="3">
        <v>425</v>
      </c>
      <c r="H1666" t="str">
        <f>"FLUSH OUT AND STEAM RADIATOR"</f>
        <v>FLUSH OUT AND STEAM RADIATOR</v>
      </c>
    </row>
    <row r="1667" spans="1:8" x14ac:dyDescent="0.25">
      <c r="A1667" t="s">
        <v>108</v>
      </c>
      <c r="B1667">
        <v>79162</v>
      </c>
      <c r="C1667" s="2">
        <v>375.26</v>
      </c>
      <c r="D1667" s="1">
        <v>43383</v>
      </c>
      <c r="E1667" t="str">
        <f>"201810104415"</f>
        <v>201810104415</v>
      </c>
      <c r="F1667" t="str">
        <f>"ACCT#5000057374 / 10022018"</f>
        <v>ACCT#5000057374 / 10022018</v>
      </c>
      <c r="G1667" s="3">
        <v>375.26</v>
      </c>
      <c r="H1667" t="str">
        <f>"ACCT#5000057374 / 10022018"</f>
        <v>ACCT#5000057374 / 10022018</v>
      </c>
    </row>
    <row r="1668" spans="1:8" x14ac:dyDescent="0.25">
      <c r="A1668" t="s">
        <v>124</v>
      </c>
      <c r="B1668">
        <v>0</v>
      </c>
      <c r="C1668" s="2">
        <v>177.98</v>
      </c>
      <c r="D1668" s="1">
        <v>43382</v>
      </c>
      <c r="E1668" t="str">
        <f>"201810013990"</f>
        <v>201810013990</v>
      </c>
      <c r="F1668" t="str">
        <f>"Acct# 0058"</f>
        <v>Acct# 0058</v>
      </c>
      <c r="G1668" s="3">
        <v>177.98</v>
      </c>
      <c r="H1668" t="str">
        <f>"Vista Print"</f>
        <v>Vista Print</v>
      </c>
    </row>
    <row r="1669" spans="1:8" x14ac:dyDescent="0.25">
      <c r="A1669" t="s">
        <v>131</v>
      </c>
      <c r="B1669">
        <v>79143</v>
      </c>
      <c r="C1669" s="2">
        <v>6492.57</v>
      </c>
      <c r="D1669" s="1">
        <v>43382</v>
      </c>
      <c r="E1669" t="str">
        <f>"30128287"</f>
        <v>30128287</v>
      </c>
      <c r="F1669" t="str">
        <f>"CUST#BASPCT2/PCT#2"</f>
        <v>CUST#BASPCT2/PCT#2</v>
      </c>
      <c r="G1669" s="3">
        <v>3718.05</v>
      </c>
      <c r="H1669" t="str">
        <f>"CUST#BASPCT2/PCT#2"</f>
        <v>CUST#BASPCT2/PCT#2</v>
      </c>
    </row>
    <row r="1670" spans="1:8" x14ac:dyDescent="0.25">
      <c r="E1670" t="str">
        <f>"30128385"</f>
        <v>30128385</v>
      </c>
      <c r="F1670" t="str">
        <f>"CUST#BASPCT2/ORD#37-18894/P2"</f>
        <v>CUST#BASPCT2/ORD#37-18894/P2</v>
      </c>
      <c r="G1670" s="3">
        <v>2774.52</v>
      </c>
      <c r="H1670" t="str">
        <f>"CUST#BASPCT2/ORD#37-18894/P2"</f>
        <v>CUST#BASPCT2/ORD#37-18894/P2</v>
      </c>
    </row>
    <row r="1671" spans="1:8" x14ac:dyDescent="0.25">
      <c r="A1671" t="s">
        <v>552</v>
      </c>
      <c r="B1671">
        <v>79374</v>
      </c>
      <c r="C1671" s="2">
        <v>2492.5</v>
      </c>
      <c r="D1671" s="1">
        <v>43399</v>
      </c>
      <c r="E1671" t="str">
        <f>"201810264671"</f>
        <v>201810264671</v>
      </c>
      <c r="F1671" t="str">
        <f>"50% LABOR PAYMENT/PO 18-21316"</f>
        <v>50% LABOR PAYMENT/PO 18-21316</v>
      </c>
      <c r="G1671" s="3">
        <v>2492.5</v>
      </c>
      <c r="H1671" t="str">
        <f>"50% LABOR PAYMENT/PO 18-21316"</f>
        <v>50% LABOR PAYMENT/PO 18-21316</v>
      </c>
    </row>
    <row r="1672" spans="1:8" x14ac:dyDescent="0.25">
      <c r="A1672" t="s">
        <v>553</v>
      </c>
      <c r="B1672">
        <v>79350</v>
      </c>
      <c r="C1672" s="2">
        <v>4390</v>
      </c>
      <c r="D1672" s="1">
        <v>43395</v>
      </c>
      <c r="E1672" t="str">
        <f>"19819"</f>
        <v>19819</v>
      </c>
      <c r="F1672" t="str">
        <f>"Cableing for Boot Camp"</f>
        <v>Cableing for Boot Camp</v>
      </c>
      <c r="G1672" s="3">
        <v>4390</v>
      </c>
      <c r="H1672" t="str">
        <f>"Material"</f>
        <v>Material</v>
      </c>
    </row>
    <row r="1673" spans="1:8" x14ac:dyDescent="0.25">
      <c r="E1673" t="str">
        <f>""</f>
        <v/>
      </c>
      <c r="F1673" t="str">
        <f>""</f>
        <v/>
      </c>
      <c r="H1673" t="str">
        <f>"Labor"</f>
        <v>Labor</v>
      </c>
    </row>
    <row r="1674" spans="1:8" x14ac:dyDescent="0.25">
      <c r="A1674" t="s">
        <v>189</v>
      </c>
      <c r="B1674">
        <v>79351</v>
      </c>
      <c r="C1674" s="2">
        <v>21455.73</v>
      </c>
      <c r="D1674" s="1">
        <v>43395</v>
      </c>
      <c r="E1674" t="str">
        <f>"93501499 93501500"</f>
        <v>93501499 93501500</v>
      </c>
      <c r="F1674" t="str">
        <f>"inv# 93501499  93501500"</f>
        <v>inv# 93501499  93501500</v>
      </c>
      <c r="G1674" s="3">
        <v>21455.73</v>
      </c>
      <c r="H1674" t="str">
        <f>"inv# 93501499"</f>
        <v>inv# 93501499</v>
      </c>
    </row>
    <row r="1675" spans="1:8" x14ac:dyDescent="0.25">
      <c r="E1675" t="str">
        <f>""</f>
        <v/>
      </c>
      <c r="F1675" t="str">
        <f>""</f>
        <v/>
      </c>
      <c r="H1675" t="str">
        <f>"inv# 93501500"</f>
        <v>inv# 93501500</v>
      </c>
    </row>
    <row r="1676" spans="1:8" x14ac:dyDescent="0.25">
      <c r="A1676" t="s">
        <v>190</v>
      </c>
      <c r="B1676">
        <v>79144</v>
      </c>
      <c r="C1676" s="2">
        <v>39380.49</v>
      </c>
      <c r="D1676" s="1">
        <v>43382</v>
      </c>
      <c r="E1676" t="str">
        <f>"9401924967"</f>
        <v>9401924967</v>
      </c>
      <c r="F1676" t="str">
        <f>"ACCT#912904/BOL#23443/PCT#2"</f>
        <v>ACCT#912904/BOL#23443/PCT#2</v>
      </c>
      <c r="G1676" s="3">
        <v>11928.05</v>
      </c>
      <c r="H1676" t="str">
        <f>"ACCT#912904/BOL#23443/PCT#2"</f>
        <v>ACCT#912904/BOL#23443/PCT#2</v>
      </c>
    </row>
    <row r="1677" spans="1:8" x14ac:dyDescent="0.25">
      <c r="E1677" t="str">
        <f>"9401924968"</f>
        <v>9401924968</v>
      </c>
      <c r="F1677" t="str">
        <f>"ACCT#912904/BOL#23448/PCT#2"</f>
        <v>ACCT#912904/BOL#23448/PCT#2</v>
      </c>
      <c r="G1677" s="3">
        <v>9898.02</v>
      </c>
      <c r="H1677" t="str">
        <f>"ACCT#912904/BOL#23448/PCT#2"</f>
        <v>ACCT#912904/BOL#23448/PCT#2</v>
      </c>
    </row>
    <row r="1678" spans="1:8" x14ac:dyDescent="0.25">
      <c r="E1678" t="str">
        <f>"9401929811"</f>
        <v>9401929811</v>
      </c>
      <c r="F1678" t="str">
        <f>"ACCT#912904/BOL#23477/PCT#2"</f>
        <v>ACCT#912904/BOL#23477/PCT#2</v>
      </c>
      <c r="G1678" s="3">
        <v>13437.24</v>
      </c>
      <c r="H1678" t="str">
        <f>"ACCT#912904/BOL#23477/PCT#2"</f>
        <v>ACCT#912904/BOL#23477/PCT#2</v>
      </c>
    </row>
    <row r="1679" spans="1:8" x14ac:dyDescent="0.25">
      <c r="E1679" t="str">
        <f>"9401930649"</f>
        <v>9401930649</v>
      </c>
      <c r="F1679" t="str">
        <f>"ACCT#912922/BOL#23501/PCT#1"</f>
        <v>ACCT#912922/BOL#23501/PCT#1</v>
      </c>
      <c r="G1679" s="3">
        <v>4117.18</v>
      </c>
      <c r="H1679" t="str">
        <f>"ACCT#912922/BOL#23501/PCT#1"</f>
        <v>ACCT#912922/BOL#23501/PCT#1</v>
      </c>
    </row>
    <row r="1680" spans="1:8" x14ac:dyDescent="0.25">
      <c r="A1680" t="s">
        <v>190</v>
      </c>
      <c r="B1680">
        <v>79352</v>
      </c>
      <c r="C1680" s="2">
        <v>52357.66</v>
      </c>
      <c r="D1680" s="1">
        <v>43395</v>
      </c>
      <c r="E1680" t="str">
        <f>"9401934447"</f>
        <v>9401934447</v>
      </c>
      <c r="F1680" t="str">
        <f>"ACCT#912904/DEMURRAGE/PCT#2"</f>
        <v>ACCT#912904/DEMURRAGE/PCT#2</v>
      </c>
      <c r="G1680" s="3">
        <v>120</v>
      </c>
      <c r="H1680" t="str">
        <f>"ACCT#912904/DEMURRAGE/PCT#2"</f>
        <v>ACCT#912904/DEMURRAGE/PCT#2</v>
      </c>
    </row>
    <row r="1681" spans="1:8" x14ac:dyDescent="0.25">
      <c r="E1681" t="str">
        <f>"9401934704"</f>
        <v>9401934704</v>
      </c>
      <c r="F1681" t="str">
        <f>"ACCT#912904/BOL#9303/PCT#2"</f>
        <v>ACCT#912904/BOL#9303/PCT#2</v>
      </c>
      <c r="G1681" s="3">
        <v>12378.94</v>
      </c>
      <c r="H1681" t="str">
        <f>"ACCT#912904/BOL#9303/PCT#2"</f>
        <v>ACCT#912904/BOL#9303/PCT#2</v>
      </c>
    </row>
    <row r="1682" spans="1:8" x14ac:dyDescent="0.25">
      <c r="E1682" t="str">
        <f>"9401935538"</f>
        <v>9401935538</v>
      </c>
      <c r="F1682" t="str">
        <f>"ACCT#912904/BOL#9306/PCT#2"</f>
        <v>ACCT#912904/BOL#9306/PCT#2</v>
      </c>
      <c r="G1682" s="3">
        <v>12024.48</v>
      </c>
      <c r="H1682" t="str">
        <f>"ACCT#912904/BOL#9306/PCT#2"</f>
        <v>ACCT#912904/BOL#9306/PCT#2</v>
      </c>
    </row>
    <row r="1683" spans="1:8" x14ac:dyDescent="0.25">
      <c r="E1683" t="str">
        <f>"9401937937"</f>
        <v>9401937937</v>
      </c>
      <c r="F1683" t="str">
        <f>"ACCT#912904/BOL#23553/PCT#2"</f>
        <v>ACCT#912904/BOL#23553/PCT#2</v>
      </c>
      <c r="G1683" s="3">
        <v>5673.35</v>
      </c>
      <c r="H1683" t="str">
        <f>"ACCT#912904/BOL#23553/PCT#2"</f>
        <v>ACCT#912904/BOL#23553/PCT#2</v>
      </c>
    </row>
    <row r="1684" spans="1:8" x14ac:dyDescent="0.25">
      <c r="E1684" t="str">
        <f>"9401938792"</f>
        <v>9401938792</v>
      </c>
      <c r="F1684" t="str">
        <f>"ACCT#912904/BOL#23567/PCT#1"</f>
        <v>ACCT#912904/BOL#23567/PCT#1</v>
      </c>
      <c r="G1684" s="3">
        <v>11926.73</v>
      </c>
      <c r="H1684" t="str">
        <f>"ACCT#912904/BOL#23567/PCT#1"</f>
        <v>ACCT#912904/BOL#23567/PCT#1</v>
      </c>
    </row>
    <row r="1685" spans="1:8" x14ac:dyDescent="0.25">
      <c r="E1685" t="str">
        <f>"9401939552"</f>
        <v>9401939552</v>
      </c>
      <c r="F1685" t="str">
        <f>"ACCT#912904/BOL#23574/PCT#2"</f>
        <v>ACCT#912904/BOL#23574/PCT#2</v>
      </c>
      <c r="G1685" s="3">
        <v>10234.16</v>
      </c>
      <c r="H1685" t="str">
        <f>"ACCT#912904/BOL#23574/PCT#2"</f>
        <v>ACCT#912904/BOL#23574/PCT#2</v>
      </c>
    </row>
    <row r="1686" spans="1:8" x14ac:dyDescent="0.25">
      <c r="A1686" t="s">
        <v>554</v>
      </c>
      <c r="B1686">
        <v>79353</v>
      </c>
      <c r="C1686" s="2">
        <v>10086.83</v>
      </c>
      <c r="D1686" s="1">
        <v>43395</v>
      </c>
      <c r="E1686" t="str">
        <f>"201809118"</f>
        <v>201809118</v>
      </c>
      <c r="F1686" t="str">
        <f>"PROJECT#2017072"</f>
        <v>PROJECT#2017072</v>
      </c>
      <c r="G1686" s="3">
        <v>10086.83</v>
      </c>
      <c r="H1686" t="str">
        <f>"PROJECT#2017072"</f>
        <v>PROJECT#2017072</v>
      </c>
    </row>
    <row r="1687" spans="1:8" x14ac:dyDescent="0.25">
      <c r="A1687" t="s">
        <v>284</v>
      </c>
      <c r="B1687">
        <v>79354</v>
      </c>
      <c r="C1687" s="2">
        <v>99.97</v>
      </c>
      <c r="D1687" s="1">
        <v>43395</v>
      </c>
      <c r="E1687" t="str">
        <f>"201810114478"</f>
        <v>201810114478</v>
      </c>
      <c r="F1687" t="str">
        <f>"ACCT#1645/OEM"</f>
        <v>ACCT#1645/OEM</v>
      </c>
      <c r="G1687" s="3">
        <v>99.97</v>
      </c>
      <c r="H1687" t="str">
        <f>"ACCT#1645/OEM"</f>
        <v>ACCT#1645/OEM</v>
      </c>
    </row>
    <row r="1688" spans="1:8" x14ac:dyDescent="0.25">
      <c r="A1688" t="s">
        <v>306</v>
      </c>
      <c r="B1688">
        <v>79355</v>
      </c>
      <c r="C1688" s="2">
        <v>130.22</v>
      </c>
      <c r="D1688" s="1">
        <v>43395</v>
      </c>
      <c r="E1688" t="str">
        <f>"920619"</f>
        <v>920619</v>
      </c>
      <c r="F1688" t="str">
        <f>"acct# 99006938692"</f>
        <v>acct# 99006938692</v>
      </c>
      <c r="G1688" s="3">
        <v>130.22</v>
      </c>
      <c r="H1688" t="str">
        <f>"inv# 920619"</f>
        <v>inv# 920619</v>
      </c>
    </row>
    <row r="1689" spans="1:8" x14ac:dyDescent="0.25">
      <c r="A1689" t="s">
        <v>399</v>
      </c>
      <c r="B1689">
        <v>79145</v>
      </c>
      <c r="C1689" s="2">
        <v>320170</v>
      </c>
      <c r="D1689" s="1">
        <v>43382</v>
      </c>
      <c r="E1689" t="str">
        <f>"16015420"</f>
        <v>16015420</v>
      </c>
      <c r="F1689" t="str">
        <f>"REMOTE SPEAKER MICS"</f>
        <v>REMOTE SPEAKER MICS</v>
      </c>
      <c r="G1689" s="3">
        <v>570</v>
      </c>
      <c r="H1689" t="str">
        <f>"PMMN4084A"</f>
        <v>PMMN4084A</v>
      </c>
    </row>
    <row r="1690" spans="1:8" x14ac:dyDescent="0.25">
      <c r="E1690" t="str">
        <f>"41256820"</f>
        <v>41256820</v>
      </c>
      <c r="F1690" t="str">
        <f>"MOTOROLA INC"</f>
        <v>MOTOROLA INC</v>
      </c>
      <c r="G1690" s="3">
        <v>319600</v>
      </c>
      <c r="H1690" t="str">
        <f>"Radio Lifecycle"</f>
        <v>Radio Lifecycle</v>
      </c>
    </row>
    <row r="1691" spans="1:8" x14ac:dyDescent="0.25">
      <c r="A1691" t="s">
        <v>411</v>
      </c>
      <c r="B1691">
        <v>79356</v>
      </c>
      <c r="C1691" s="2">
        <v>45</v>
      </c>
      <c r="D1691" s="1">
        <v>43395</v>
      </c>
      <c r="E1691" t="str">
        <f>"284704 - 245"</f>
        <v>284704 - 245</v>
      </c>
      <c r="F1691" t="str">
        <f>"CUST ID:BASCOU"</f>
        <v>CUST ID:BASCOU</v>
      </c>
      <c r="G1691" s="3">
        <v>45</v>
      </c>
      <c r="H1691" t="str">
        <f>"CUST ID:BASCOU"</f>
        <v>CUST ID:BASCOU</v>
      </c>
    </row>
    <row r="1692" spans="1:8" x14ac:dyDescent="0.25">
      <c r="A1692" t="s">
        <v>555</v>
      </c>
      <c r="B1692">
        <v>79357</v>
      </c>
      <c r="C1692" s="2">
        <v>69751.5</v>
      </c>
      <c r="D1692" s="1">
        <v>43395</v>
      </c>
      <c r="E1692" t="str">
        <f>"10304  10244"</f>
        <v>10304  10244</v>
      </c>
      <c r="F1692" t="str">
        <f>"Inv# 10304 &amp; 10244"</f>
        <v>Inv# 10304 &amp; 10244</v>
      </c>
      <c r="G1692" s="3">
        <v>69751.5</v>
      </c>
      <c r="H1692" t="str">
        <f>"Inv# 10304"</f>
        <v>Inv# 10304</v>
      </c>
    </row>
    <row r="1693" spans="1:8" x14ac:dyDescent="0.25">
      <c r="E1693" t="str">
        <f>""</f>
        <v/>
      </c>
      <c r="F1693" t="str">
        <f>""</f>
        <v/>
      </c>
      <c r="H1693" t="str">
        <f>"Inv# 10244"</f>
        <v>Inv# 10244</v>
      </c>
    </row>
    <row r="1694" spans="1:8" x14ac:dyDescent="0.25">
      <c r="A1694" t="s">
        <v>25</v>
      </c>
      <c r="B1694">
        <v>79358</v>
      </c>
      <c r="C1694" s="2">
        <v>0.24</v>
      </c>
      <c r="D1694" s="1">
        <v>43395</v>
      </c>
      <c r="E1694" t="str">
        <f>"143504"</f>
        <v>143504</v>
      </c>
      <c r="F1694" t="str">
        <f>"ORDER# 143504 SHORTAGE"</f>
        <v>ORDER# 143504 SHORTAGE</v>
      </c>
      <c r="G1694" s="3">
        <v>0.24</v>
      </c>
      <c r="H1694" t="str">
        <f>"ORDER# 143504 SHORTAGE"</f>
        <v>ORDER# 143504 SHORTAGE</v>
      </c>
    </row>
    <row r="1695" spans="1:8" x14ac:dyDescent="0.25">
      <c r="A1695" t="s">
        <v>556</v>
      </c>
      <c r="B1695">
        <v>79146</v>
      </c>
      <c r="C1695" s="2">
        <v>150787</v>
      </c>
      <c r="D1695" s="1">
        <v>43382</v>
      </c>
      <c r="E1695" t="str">
        <f>"201809283961"</f>
        <v>201809283961</v>
      </c>
      <c r="F1695" t="str">
        <f>"SANTEX TRUCK CENTER LTD"</f>
        <v>SANTEX TRUCK CENTER LTD</v>
      </c>
      <c r="G1695" s="3">
        <v>150787</v>
      </c>
      <c r="H1695" t="str">
        <f>"DUMP TRUCK"</f>
        <v>DUMP TRUCK</v>
      </c>
    </row>
    <row r="1696" spans="1:8" x14ac:dyDescent="0.25">
      <c r="A1696" t="s">
        <v>460</v>
      </c>
      <c r="B1696">
        <v>79359</v>
      </c>
      <c r="C1696" s="2">
        <v>2612.6999999999998</v>
      </c>
      <c r="D1696" s="1">
        <v>43395</v>
      </c>
      <c r="E1696" t="str">
        <f>"398435  398440"</f>
        <v>398435  398440</v>
      </c>
      <c r="F1696" t="str">
        <f>"STATEMENT#28558/PCT#1"</f>
        <v>STATEMENT#28558/PCT#1</v>
      </c>
      <c r="G1696" s="3">
        <v>2612.6999999999998</v>
      </c>
      <c r="H1696" t="str">
        <f>"STATEMENT#28558/PCT#1"</f>
        <v>STATEMENT#28558/PCT#1</v>
      </c>
    </row>
    <row r="1697" spans="1:8" x14ac:dyDescent="0.25">
      <c r="A1697" t="s">
        <v>557</v>
      </c>
      <c r="B1697">
        <v>79147</v>
      </c>
      <c r="C1697" s="2">
        <v>253327.95</v>
      </c>
      <c r="D1697" s="1">
        <v>43382</v>
      </c>
      <c r="E1697" t="str">
        <f>"181204-1"</f>
        <v>181204-1</v>
      </c>
      <c r="F1697" t="str">
        <f>"PROJ#181204/COMMUNICATIONS BLD"</f>
        <v>PROJ#181204/COMMUNICATIONS BLD</v>
      </c>
      <c r="G1697" s="3">
        <v>253327.95</v>
      </c>
      <c r="H1697" t="str">
        <f>"PROJ#181204/COMMUNICATIONS BLD"</f>
        <v>PROJ#181204/COMMUNICATIONS BLD</v>
      </c>
    </row>
    <row r="1698" spans="1:8" x14ac:dyDescent="0.25">
      <c r="A1698" t="s">
        <v>558</v>
      </c>
      <c r="B1698">
        <v>79360</v>
      </c>
      <c r="C1698" s="2">
        <v>8400</v>
      </c>
      <c r="D1698" s="1">
        <v>43395</v>
      </c>
      <c r="E1698" t="str">
        <f>"3011-1"</f>
        <v>3011-1</v>
      </c>
      <c r="F1698" t="str">
        <f>"inv# 3011-1"</f>
        <v>inv# 3011-1</v>
      </c>
      <c r="G1698" s="3">
        <v>3500</v>
      </c>
      <c r="H1698" t="str">
        <f>"payment"</f>
        <v>payment</v>
      </c>
    </row>
    <row r="1699" spans="1:8" x14ac:dyDescent="0.25">
      <c r="E1699" t="str">
        <f>"3051-1"</f>
        <v>3051-1</v>
      </c>
      <c r="F1699" t="str">
        <f>"inv# 3051-1"</f>
        <v>inv# 3051-1</v>
      </c>
      <c r="G1699" s="3">
        <v>4900</v>
      </c>
      <c r="H1699" t="str">
        <f>"payment"</f>
        <v>payment</v>
      </c>
    </row>
    <row r="1700" spans="1:8" x14ac:dyDescent="0.25">
      <c r="A1700" t="s">
        <v>559</v>
      </c>
      <c r="B1700">
        <v>79148</v>
      </c>
      <c r="C1700" s="2">
        <v>4586.3999999999996</v>
      </c>
      <c r="D1700" s="1">
        <v>43382</v>
      </c>
      <c r="E1700" t="str">
        <f>"96756"</f>
        <v>96756</v>
      </c>
      <c r="F1700" t="str">
        <f>"TICKET#1096111/PCT#1"</f>
        <v>TICKET#1096111/PCT#1</v>
      </c>
      <c r="G1700" s="3">
        <v>477.75</v>
      </c>
      <c r="H1700" t="str">
        <f>"TICKET#1096111/PCT#1"</f>
        <v>TICKET#1096111/PCT#1</v>
      </c>
    </row>
    <row r="1701" spans="1:8" x14ac:dyDescent="0.25">
      <c r="E1701" t="str">
        <f>"96777"</f>
        <v>96777</v>
      </c>
      <c r="F1701" t="str">
        <f>"RIP RAP/PCT#1"</f>
        <v>RIP RAP/PCT#1</v>
      </c>
      <c r="G1701" s="3">
        <v>2539.25</v>
      </c>
      <c r="H1701" t="str">
        <f>"RIP RAP/PCT#1"</f>
        <v>RIP RAP/PCT#1</v>
      </c>
    </row>
    <row r="1702" spans="1:8" x14ac:dyDescent="0.25">
      <c r="E1702" t="str">
        <f>"96806"</f>
        <v>96806</v>
      </c>
      <c r="F1702" t="str">
        <f>"RIP RAP/PCT#1"</f>
        <v>RIP RAP/PCT#1</v>
      </c>
      <c r="G1702" s="3">
        <v>1317.05</v>
      </c>
      <c r="H1702" t="str">
        <f>"RIP RAP/PCT#1"</f>
        <v>RIP RAP/PCT#1</v>
      </c>
    </row>
    <row r="1703" spans="1:8" x14ac:dyDescent="0.25">
      <c r="E1703" t="str">
        <f>"96833"</f>
        <v>96833</v>
      </c>
      <c r="F1703" t="str">
        <f>"TICKET#1096874/RIP RAP/PCT#1"</f>
        <v>TICKET#1096874/RIP RAP/PCT#1</v>
      </c>
      <c r="G1703" s="3">
        <v>252.35</v>
      </c>
      <c r="H1703" t="str">
        <f>"TICKET#1096874/RIP RAP/PCT#1"</f>
        <v>TICKET#1096874/RIP RAP/PCT#1</v>
      </c>
    </row>
    <row r="1704" spans="1:8" x14ac:dyDescent="0.25">
      <c r="A1704" t="s">
        <v>27</v>
      </c>
      <c r="B1704">
        <v>79157</v>
      </c>
      <c r="C1704" s="2">
        <v>26.39</v>
      </c>
      <c r="D1704" s="1">
        <v>43383</v>
      </c>
      <c r="E1704" t="str">
        <f>"D-2018-4-0110-APTF"</f>
        <v>D-2018-4-0110-APTF</v>
      </c>
      <c r="F1704" t="str">
        <f>"UNEMPLOYMENT QTR END 09/30/18"</f>
        <v>UNEMPLOYMENT QTR END 09/30/18</v>
      </c>
      <c r="G1704" s="3">
        <v>26.39</v>
      </c>
      <c r="H1704" t="str">
        <f>"UNEMPLOYMENT QTR END 09/30/18"</f>
        <v>UNEMPLOYMENT QTR END 09/30/18</v>
      </c>
    </row>
    <row r="1705" spans="1:8" x14ac:dyDescent="0.25">
      <c r="A1705" t="s">
        <v>512</v>
      </c>
      <c r="B1705">
        <v>79149</v>
      </c>
      <c r="C1705" s="2">
        <v>329.99</v>
      </c>
      <c r="D1705" s="1">
        <v>43382</v>
      </c>
      <c r="E1705" t="str">
        <f>"100050818"</f>
        <v>100050818</v>
      </c>
      <c r="F1705" t="str">
        <f>"Acct# 6032301200160982"</f>
        <v>Acct# 6032301200160982</v>
      </c>
      <c r="G1705" s="3">
        <v>329.99</v>
      </c>
      <c r="H1705" t="str">
        <f>"INV# 100050818"</f>
        <v>INV# 100050818</v>
      </c>
    </row>
    <row r="1706" spans="1:8" x14ac:dyDescent="0.25">
      <c r="A1706" t="s">
        <v>524</v>
      </c>
      <c r="B1706">
        <v>79150</v>
      </c>
      <c r="C1706" s="2">
        <v>12639</v>
      </c>
      <c r="D1706" s="1">
        <v>43382</v>
      </c>
      <c r="E1706" t="str">
        <f>"025-234947"</f>
        <v>025-234947</v>
      </c>
      <c r="F1706" t="str">
        <f>"CUST#42161/ORD#94598"</f>
        <v>CUST#42161/ORD#94598</v>
      </c>
      <c r="G1706" s="3">
        <v>12639</v>
      </c>
      <c r="H1706" t="str">
        <f>"CUST#42161/ORD#94598"</f>
        <v>CUST#42161/ORD#94598</v>
      </c>
    </row>
    <row r="1707" spans="1:8" x14ac:dyDescent="0.25">
      <c r="A1707" t="s">
        <v>530</v>
      </c>
      <c r="B1707">
        <v>79151</v>
      </c>
      <c r="C1707" s="2">
        <v>1888.99</v>
      </c>
      <c r="D1707" s="1">
        <v>43382</v>
      </c>
      <c r="E1707" t="str">
        <f>"201810034154"</f>
        <v>201810034154</v>
      </c>
      <c r="F1707" t="str">
        <f>"Inv#869395921839"</f>
        <v>Inv#869395921839</v>
      </c>
      <c r="G1707" s="3">
        <v>1888.99</v>
      </c>
      <c r="H1707" t="str">
        <f>"fuel and Maintenace"</f>
        <v>fuel and Maintenace</v>
      </c>
    </row>
    <row r="1708" spans="1:8" x14ac:dyDescent="0.25">
      <c r="E1708" t="str">
        <f>""</f>
        <v/>
      </c>
      <c r="F1708" t="str">
        <f>""</f>
        <v/>
      </c>
      <c r="H1708" t="str">
        <f>"less tax"</f>
        <v>less tax</v>
      </c>
    </row>
    <row r="1709" spans="1:8" x14ac:dyDescent="0.25">
      <c r="A1709" t="s">
        <v>536</v>
      </c>
      <c r="B1709">
        <v>79152</v>
      </c>
      <c r="C1709" s="2">
        <v>61.18</v>
      </c>
      <c r="D1709" s="1">
        <v>43382</v>
      </c>
      <c r="E1709" t="str">
        <f>"006427  002767"</f>
        <v>006427  002767</v>
      </c>
      <c r="F1709" t="str">
        <f>"acct# 6032202005312476"</f>
        <v>acct# 6032202005312476</v>
      </c>
      <c r="G1709" s="3">
        <v>61.18</v>
      </c>
      <c r="H1709" t="str">
        <f>"Inv# 006427"</f>
        <v>Inv# 006427</v>
      </c>
    </row>
    <row r="1710" spans="1:8" x14ac:dyDescent="0.25">
      <c r="E1710" t="str">
        <f>""</f>
        <v/>
      </c>
      <c r="F1710" t="str">
        <f>""</f>
        <v/>
      </c>
      <c r="H1710" t="str">
        <f>"Inv# 002767"</f>
        <v>Inv# 002767</v>
      </c>
    </row>
    <row r="1711" spans="1:8" x14ac:dyDescent="0.25">
      <c r="A1711" t="s">
        <v>560</v>
      </c>
      <c r="B1711">
        <v>79361</v>
      </c>
      <c r="C1711" s="2">
        <v>199.23</v>
      </c>
      <c r="D1711" s="1">
        <v>43395</v>
      </c>
      <c r="E1711" t="str">
        <f>"287603"</f>
        <v>287603</v>
      </c>
      <c r="F1711" t="str">
        <f>"AUGER ATTACHMENT/PCT#1"</f>
        <v>AUGER ATTACHMENT/PCT#1</v>
      </c>
      <c r="G1711" s="3">
        <v>199.23</v>
      </c>
      <c r="H1711" t="str">
        <f>"AUGER ATTACHMENT/PCT#1"</f>
        <v>AUGER ATTACHMENT/PCT#1</v>
      </c>
    </row>
    <row r="1712" spans="1:8" x14ac:dyDescent="0.25">
      <c r="A1712" t="s">
        <v>561</v>
      </c>
      <c r="B1712">
        <v>0</v>
      </c>
      <c r="C1712" s="2">
        <v>6280.12</v>
      </c>
      <c r="D1712" s="1">
        <v>43402</v>
      </c>
      <c r="E1712" t="str">
        <f>"201810294690"</f>
        <v>201810294690</v>
      </c>
      <c r="F1712" t="str">
        <f>"Lisa Barriga NOT dedcuted ck"</f>
        <v>Lisa Barriga NOT dedcuted ck</v>
      </c>
      <c r="G1712" s="3">
        <v>18.52</v>
      </c>
      <c r="H1712" t="str">
        <f>"Lisa Barriga NOT dedcuted ck"</f>
        <v>Lisa Barriga NOT dedcuted ck</v>
      </c>
    </row>
    <row r="1713" spans="1:8" x14ac:dyDescent="0.25">
      <c r="E1713" t="str">
        <f>"201810294691"</f>
        <v>201810294691</v>
      </c>
      <c r="F1713" t="str">
        <f>"ALLSTATE-AMERICAN HERITAGE LIF"</f>
        <v>ALLSTATE-AMERICAN HERITAGE LIF</v>
      </c>
      <c r="G1713" s="3">
        <v>0.06</v>
      </c>
      <c r="H1713" t="str">
        <f>"ALLSTATE-AMERICAN HERITAGE LIF"</f>
        <v>ALLSTATE-AMERICAN HERITAGE LIF</v>
      </c>
    </row>
    <row r="1714" spans="1:8" x14ac:dyDescent="0.25">
      <c r="E1714" t="str">
        <f>"AS 201810034225"</f>
        <v>AS 201810034225</v>
      </c>
      <c r="F1714" t="str">
        <f t="shared" ref="F1714:F1727" si="16">"ALLSTATE"</f>
        <v>ALLSTATE</v>
      </c>
      <c r="G1714" s="3">
        <v>587.63</v>
      </c>
      <c r="H1714" t="str">
        <f t="shared" ref="H1714:H1727" si="17">"ALLSTATE"</f>
        <v>ALLSTATE</v>
      </c>
    </row>
    <row r="1715" spans="1:8" x14ac:dyDescent="0.25">
      <c r="E1715" t="str">
        <f>"AS 201810034226"</f>
        <v>AS 201810034226</v>
      </c>
      <c r="F1715" t="str">
        <f t="shared" si="16"/>
        <v>ALLSTATE</v>
      </c>
      <c r="G1715" s="3">
        <v>36.14</v>
      </c>
      <c r="H1715" t="str">
        <f t="shared" si="17"/>
        <v>ALLSTATE</v>
      </c>
    </row>
    <row r="1716" spans="1:8" x14ac:dyDescent="0.25">
      <c r="E1716" t="str">
        <f>"AS 201810174606"</f>
        <v>AS 201810174606</v>
      </c>
      <c r="F1716" t="str">
        <f t="shared" si="16"/>
        <v>ALLSTATE</v>
      </c>
      <c r="G1716" s="3">
        <v>587.63</v>
      </c>
      <c r="H1716" t="str">
        <f t="shared" si="17"/>
        <v>ALLSTATE</v>
      </c>
    </row>
    <row r="1717" spans="1:8" x14ac:dyDescent="0.25">
      <c r="E1717" t="str">
        <f>"AS 201810174607"</f>
        <v>AS 201810174607</v>
      </c>
      <c r="F1717" t="str">
        <f t="shared" si="16"/>
        <v>ALLSTATE</v>
      </c>
      <c r="G1717" s="3">
        <v>36.14</v>
      </c>
      <c r="H1717" t="str">
        <f t="shared" si="17"/>
        <v>ALLSTATE</v>
      </c>
    </row>
    <row r="1718" spans="1:8" x14ac:dyDescent="0.25">
      <c r="E1718" t="str">
        <f>"ASD201810034225"</f>
        <v>ASD201810034225</v>
      </c>
      <c r="F1718" t="str">
        <f t="shared" si="16"/>
        <v>ALLSTATE</v>
      </c>
      <c r="G1718" s="3">
        <v>193.92</v>
      </c>
      <c r="H1718" t="str">
        <f t="shared" si="17"/>
        <v>ALLSTATE</v>
      </c>
    </row>
    <row r="1719" spans="1:8" x14ac:dyDescent="0.25">
      <c r="E1719" t="str">
        <f>"ASD201810174606"</f>
        <v>ASD201810174606</v>
      </c>
      <c r="F1719" t="str">
        <f t="shared" si="16"/>
        <v>ALLSTATE</v>
      </c>
      <c r="G1719" s="3">
        <v>193.92</v>
      </c>
      <c r="H1719" t="str">
        <f t="shared" si="17"/>
        <v>ALLSTATE</v>
      </c>
    </row>
    <row r="1720" spans="1:8" x14ac:dyDescent="0.25">
      <c r="E1720" t="str">
        <f>"ASI201810034225"</f>
        <v>ASI201810034225</v>
      </c>
      <c r="F1720" t="str">
        <f t="shared" si="16"/>
        <v>ALLSTATE</v>
      </c>
      <c r="G1720" s="3">
        <v>710.76</v>
      </c>
      <c r="H1720" t="str">
        <f t="shared" si="17"/>
        <v>ALLSTATE</v>
      </c>
    </row>
    <row r="1721" spans="1:8" x14ac:dyDescent="0.25">
      <c r="E1721" t="str">
        <f>"ASI201810034226"</f>
        <v>ASI201810034226</v>
      </c>
      <c r="F1721" t="str">
        <f t="shared" si="16"/>
        <v>ALLSTATE</v>
      </c>
      <c r="G1721" s="3">
        <v>100.63</v>
      </c>
      <c r="H1721" t="str">
        <f t="shared" si="17"/>
        <v>ALLSTATE</v>
      </c>
    </row>
    <row r="1722" spans="1:8" x14ac:dyDescent="0.25">
      <c r="E1722" t="str">
        <f>"ASI201810174606"</f>
        <v>ASI201810174606</v>
      </c>
      <c r="F1722" t="str">
        <f t="shared" si="16"/>
        <v>ALLSTATE</v>
      </c>
      <c r="G1722" s="3">
        <v>647.41999999999996</v>
      </c>
      <c r="H1722" t="str">
        <f t="shared" si="17"/>
        <v>ALLSTATE</v>
      </c>
    </row>
    <row r="1723" spans="1:8" x14ac:dyDescent="0.25">
      <c r="E1723" t="str">
        <f>"ASI201810174607"</f>
        <v>ASI201810174607</v>
      </c>
      <c r="F1723" t="str">
        <f t="shared" si="16"/>
        <v>ALLSTATE</v>
      </c>
      <c r="G1723" s="3">
        <v>100.63</v>
      </c>
      <c r="H1723" t="str">
        <f t="shared" si="17"/>
        <v>ALLSTATE</v>
      </c>
    </row>
    <row r="1724" spans="1:8" x14ac:dyDescent="0.25">
      <c r="E1724" t="str">
        <f>"AST201810034225"</f>
        <v>AST201810034225</v>
      </c>
      <c r="F1724" t="str">
        <f t="shared" si="16"/>
        <v>ALLSTATE</v>
      </c>
      <c r="G1724" s="3">
        <v>1479.53</v>
      </c>
      <c r="H1724" t="str">
        <f t="shared" si="17"/>
        <v>ALLSTATE</v>
      </c>
    </row>
    <row r="1725" spans="1:8" x14ac:dyDescent="0.25">
      <c r="E1725" t="str">
        <f>"AST201810034226"</f>
        <v>AST201810034226</v>
      </c>
      <c r="F1725" t="str">
        <f t="shared" si="16"/>
        <v>ALLSTATE</v>
      </c>
      <c r="G1725" s="3">
        <v>53.83</v>
      </c>
      <c r="H1725" t="str">
        <f t="shared" si="17"/>
        <v>ALLSTATE</v>
      </c>
    </row>
    <row r="1726" spans="1:8" x14ac:dyDescent="0.25">
      <c r="E1726" t="str">
        <f>"AST201810174606"</f>
        <v>AST201810174606</v>
      </c>
      <c r="F1726" t="str">
        <f t="shared" si="16"/>
        <v>ALLSTATE</v>
      </c>
      <c r="G1726" s="3">
        <v>1479.53</v>
      </c>
      <c r="H1726" t="str">
        <f t="shared" si="17"/>
        <v>ALLSTATE</v>
      </c>
    </row>
    <row r="1727" spans="1:8" x14ac:dyDescent="0.25">
      <c r="E1727" t="str">
        <f>"AST201810174607"</f>
        <v>AST201810174607</v>
      </c>
      <c r="F1727" t="str">
        <f t="shared" si="16"/>
        <v>ALLSTATE</v>
      </c>
      <c r="G1727" s="3">
        <v>53.83</v>
      </c>
      <c r="H1727" t="str">
        <f t="shared" si="17"/>
        <v>ALLSTATE</v>
      </c>
    </row>
    <row r="1728" spans="1:8" x14ac:dyDescent="0.25">
      <c r="A1728" t="s">
        <v>562</v>
      </c>
      <c r="B1728">
        <v>0</v>
      </c>
      <c r="C1728" s="2">
        <v>2908.61</v>
      </c>
      <c r="D1728" s="1">
        <v>43378</v>
      </c>
      <c r="E1728" t="str">
        <f>"DHM201810034227"</f>
        <v>DHM201810034227</v>
      </c>
      <c r="F1728" t="str">
        <f>"AP - DENTAL HMO"</f>
        <v>AP - DENTAL HMO</v>
      </c>
      <c r="G1728" s="3">
        <v>56.6</v>
      </c>
      <c r="H1728" t="str">
        <f>"AP - DENTAL HMO"</f>
        <v>AP - DENTAL HMO</v>
      </c>
    </row>
    <row r="1729" spans="1:8" x14ac:dyDescent="0.25">
      <c r="E1729" t="str">
        <f>"DTX201810034227"</f>
        <v>DTX201810034227</v>
      </c>
      <c r="F1729" t="str">
        <f>"AP - TEXAS DENTAL"</f>
        <v>AP - TEXAS DENTAL</v>
      </c>
      <c r="G1729" s="3">
        <v>388.16</v>
      </c>
      <c r="H1729" t="str">
        <f>"AP - TEXAS DENTAL"</f>
        <v>AP - TEXAS DENTAL</v>
      </c>
    </row>
    <row r="1730" spans="1:8" x14ac:dyDescent="0.25">
      <c r="E1730" t="str">
        <f>"FD 201810034227"</f>
        <v>FD 201810034227</v>
      </c>
      <c r="F1730" t="str">
        <f>"AP - FT DEARBORN PRE-TAX"</f>
        <v>AP - FT DEARBORN PRE-TAX</v>
      </c>
      <c r="G1730" s="3">
        <v>271.92</v>
      </c>
      <c r="H1730" t="str">
        <f>"AP - FT DEARBORN PRE-TAX"</f>
        <v>AP - FT DEARBORN PRE-TAX</v>
      </c>
    </row>
    <row r="1731" spans="1:8" x14ac:dyDescent="0.25">
      <c r="E1731" t="str">
        <f>"FDT201810034227"</f>
        <v>FDT201810034227</v>
      </c>
      <c r="F1731" t="str">
        <f>"AP - FT DEARBORN AFTER TAX"</f>
        <v>AP - FT DEARBORN AFTER TAX</v>
      </c>
      <c r="G1731" s="3">
        <v>70.25</v>
      </c>
      <c r="H1731" t="str">
        <f>"AP - FT DEARBORN AFTER TAX"</f>
        <v>AP - FT DEARBORN AFTER TAX</v>
      </c>
    </row>
    <row r="1732" spans="1:8" x14ac:dyDescent="0.25">
      <c r="E1732" t="str">
        <f>"FLX201810034227"</f>
        <v>FLX201810034227</v>
      </c>
      <c r="F1732" t="str">
        <f>"AP - TEX FLEX"</f>
        <v>AP - TEX FLEX</v>
      </c>
      <c r="G1732" s="3">
        <v>220</v>
      </c>
      <c r="H1732" t="str">
        <f>"AP - TEX FLEX"</f>
        <v>AP - TEX FLEX</v>
      </c>
    </row>
    <row r="1733" spans="1:8" x14ac:dyDescent="0.25">
      <c r="E1733" t="str">
        <f>"MHS201810034227"</f>
        <v>MHS201810034227</v>
      </c>
      <c r="F1733" t="str">
        <f>"AP - HEALTH SELECT MEDICAL"</f>
        <v>AP - HEALTH SELECT MEDICAL</v>
      </c>
      <c r="G1733" s="3">
        <v>1436.65</v>
      </c>
      <c r="H1733" t="str">
        <f>"AP - HEALTH SELECT MEDICAL"</f>
        <v>AP - HEALTH SELECT MEDICAL</v>
      </c>
    </row>
    <row r="1734" spans="1:8" x14ac:dyDescent="0.25">
      <c r="E1734" t="str">
        <f>"MSW201810034227"</f>
        <v>MSW201810034227</v>
      </c>
      <c r="F1734" t="str">
        <f>"AP - SCOTT &amp; WHITE MEDICAL"</f>
        <v>AP - SCOTT &amp; WHITE MEDICAL</v>
      </c>
      <c r="G1734" s="3">
        <v>431.02</v>
      </c>
      <c r="H1734" t="str">
        <f>"AP - SCOTT &amp; WHITE MEDICAL"</f>
        <v>AP - SCOTT &amp; WHITE MEDICAL</v>
      </c>
    </row>
    <row r="1735" spans="1:8" x14ac:dyDescent="0.25">
      <c r="E1735" t="str">
        <f>"SPE201810034227"</f>
        <v>SPE201810034227</v>
      </c>
      <c r="F1735" t="str">
        <f>"AP - STATE VISION"</f>
        <v>AP - STATE VISION</v>
      </c>
      <c r="G1735" s="3">
        <v>34.01</v>
      </c>
      <c r="H1735" t="str">
        <f>"AP - STATE VISION"</f>
        <v>AP - STATE VISION</v>
      </c>
    </row>
    <row r="1736" spans="1:8" x14ac:dyDescent="0.25">
      <c r="A1736" t="s">
        <v>562</v>
      </c>
      <c r="B1736">
        <v>0</v>
      </c>
      <c r="C1736" s="2">
        <v>2908.61</v>
      </c>
      <c r="D1736" s="1">
        <v>43392</v>
      </c>
      <c r="E1736" t="str">
        <f>"DHM201810174608"</f>
        <v>DHM201810174608</v>
      </c>
      <c r="F1736" t="str">
        <f>"AP - DENTAL HMO"</f>
        <v>AP - DENTAL HMO</v>
      </c>
      <c r="G1736" s="3">
        <v>56.6</v>
      </c>
      <c r="H1736" t="str">
        <f>"AP - DENTAL HMO"</f>
        <v>AP - DENTAL HMO</v>
      </c>
    </row>
    <row r="1737" spans="1:8" x14ac:dyDescent="0.25">
      <c r="E1737" t="str">
        <f>"DTX201810174608"</f>
        <v>DTX201810174608</v>
      </c>
      <c r="F1737" t="str">
        <f>"AP - TEXAS DENTAL"</f>
        <v>AP - TEXAS DENTAL</v>
      </c>
      <c r="G1737" s="3">
        <v>388.16</v>
      </c>
      <c r="H1737" t="str">
        <f>"AP - TEXAS DENTAL"</f>
        <v>AP - TEXAS DENTAL</v>
      </c>
    </row>
    <row r="1738" spans="1:8" x14ac:dyDescent="0.25">
      <c r="E1738" t="str">
        <f>"FD 201810174608"</f>
        <v>FD 201810174608</v>
      </c>
      <c r="F1738" t="str">
        <f>"AP - FT DEARBORN PRE-TAX"</f>
        <v>AP - FT DEARBORN PRE-TAX</v>
      </c>
      <c r="G1738" s="3">
        <v>271.92</v>
      </c>
      <c r="H1738" t="str">
        <f>"AP - FT DEARBORN PRE-TAX"</f>
        <v>AP - FT DEARBORN PRE-TAX</v>
      </c>
    </row>
    <row r="1739" spans="1:8" x14ac:dyDescent="0.25">
      <c r="E1739" t="str">
        <f>"FDT201810174608"</f>
        <v>FDT201810174608</v>
      </c>
      <c r="F1739" t="str">
        <f>"AP - FT DEARBORN AFTER TAX"</f>
        <v>AP - FT DEARBORN AFTER TAX</v>
      </c>
      <c r="G1739" s="3">
        <v>70.25</v>
      </c>
      <c r="H1739" t="str">
        <f>"AP - FT DEARBORN AFTER TAX"</f>
        <v>AP - FT DEARBORN AFTER TAX</v>
      </c>
    </row>
    <row r="1740" spans="1:8" x14ac:dyDescent="0.25">
      <c r="E1740" t="str">
        <f>"FLX201810174608"</f>
        <v>FLX201810174608</v>
      </c>
      <c r="F1740" t="str">
        <f>"AP - TEX FLEX"</f>
        <v>AP - TEX FLEX</v>
      </c>
      <c r="G1740" s="3">
        <v>220</v>
      </c>
      <c r="H1740" t="str">
        <f>"AP - TEX FLEX"</f>
        <v>AP - TEX FLEX</v>
      </c>
    </row>
    <row r="1741" spans="1:8" x14ac:dyDescent="0.25">
      <c r="E1741" t="str">
        <f>"MHS201810174608"</f>
        <v>MHS201810174608</v>
      </c>
      <c r="F1741" t="str">
        <f>"AP - HEALTH SELECT MEDICAL"</f>
        <v>AP - HEALTH SELECT MEDICAL</v>
      </c>
      <c r="G1741" s="3">
        <v>1436.65</v>
      </c>
      <c r="H1741" t="str">
        <f>"AP - HEALTH SELECT MEDICAL"</f>
        <v>AP - HEALTH SELECT MEDICAL</v>
      </c>
    </row>
    <row r="1742" spans="1:8" x14ac:dyDescent="0.25">
      <c r="E1742" t="str">
        <f>"MSW201810174608"</f>
        <v>MSW201810174608</v>
      </c>
      <c r="F1742" t="str">
        <f>"AP - SCOTT &amp; WHITE MEDICAL"</f>
        <v>AP - SCOTT &amp; WHITE MEDICAL</v>
      </c>
      <c r="G1742" s="3">
        <v>431.02</v>
      </c>
      <c r="H1742" t="str">
        <f>"AP - SCOTT &amp; WHITE MEDICAL"</f>
        <v>AP - SCOTT &amp; WHITE MEDICAL</v>
      </c>
    </row>
    <row r="1743" spans="1:8" x14ac:dyDescent="0.25">
      <c r="E1743" t="str">
        <f>"SPE201810174608"</f>
        <v>SPE201810174608</v>
      </c>
      <c r="F1743" t="str">
        <f>"AP - STATE VISION"</f>
        <v>AP - STATE VISION</v>
      </c>
      <c r="G1743" s="3">
        <v>34.01</v>
      </c>
      <c r="H1743" t="str">
        <f>"AP - STATE VISION"</f>
        <v>AP - STATE VISION</v>
      </c>
    </row>
    <row r="1744" spans="1:8" x14ac:dyDescent="0.25">
      <c r="A1744" t="s">
        <v>563</v>
      </c>
      <c r="B1744">
        <v>0</v>
      </c>
      <c r="C1744" s="2">
        <v>4833.67</v>
      </c>
      <c r="D1744" s="1">
        <v>43402</v>
      </c>
      <c r="E1744" t="str">
        <f>"201810294692"</f>
        <v>201810294692</v>
      </c>
      <c r="F1744" t="str">
        <f>"COLONIAL LIFE &amp; ACCIDENT INS."</f>
        <v>COLONIAL LIFE &amp; ACCIDENT INS.</v>
      </c>
      <c r="G1744" s="3">
        <v>-0.13</v>
      </c>
      <c r="H1744" t="str">
        <f>"COLONIAL LIFE &amp; ACCIDENT INS."</f>
        <v>COLONIAL LIFE &amp; ACCIDENT INS.</v>
      </c>
    </row>
    <row r="1745" spans="5:8" x14ac:dyDescent="0.25">
      <c r="E1745" t="str">
        <f>"CL 201810034225"</f>
        <v>CL 201810034225</v>
      </c>
      <c r="F1745" t="str">
        <f t="shared" ref="F1745:F1766" si="18">"COLONIAL"</f>
        <v>COLONIAL</v>
      </c>
      <c r="G1745" s="3">
        <v>703.12</v>
      </c>
      <c r="H1745" t="str">
        <f t="shared" ref="H1745:H1766" si="19">"COLONIAL"</f>
        <v>COLONIAL</v>
      </c>
    </row>
    <row r="1746" spans="5:8" x14ac:dyDescent="0.25">
      <c r="E1746" t="str">
        <f>"CL 201810034226"</f>
        <v>CL 201810034226</v>
      </c>
      <c r="F1746" t="str">
        <f t="shared" si="18"/>
        <v>COLONIAL</v>
      </c>
      <c r="G1746" s="3">
        <v>14.49</v>
      </c>
      <c r="H1746" t="str">
        <f t="shared" si="19"/>
        <v>COLONIAL</v>
      </c>
    </row>
    <row r="1747" spans="5:8" x14ac:dyDescent="0.25">
      <c r="E1747" t="str">
        <f>"CL 201810174606"</f>
        <v>CL 201810174606</v>
      </c>
      <c r="F1747" t="str">
        <f t="shared" si="18"/>
        <v>COLONIAL</v>
      </c>
      <c r="G1747" s="3">
        <v>724.28</v>
      </c>
      <c r="H1747" t="str">
        <f t="shared" si="19"/>
        <v>COLONIAL</v>
      </c>
    </row>
    <row r="1748" spans="5:8" x14ac:dyDescent="0.25">
      <c r="E1748" t="str">
        <f>"CL 201810174607"</f>
        <v>CL 201810174607</v>
      </c>
      <c r="F1748" t="str">
        <f t="shared" si="18"/>
        <v>COLONIAL</v>
      </c>
      <c r="G1748" s="3">
        <v>14.49</v>
      </c>
      <c r="H1748" t="str">
        <f t="shared" si="19"/>
        <v>COLONIAL</v>
      </c>
    </row>
    <row r="1749" spans="5:8" x14ac:dyDescent="0.25">
      <c r="E1749" t="str">
        <f>"CLC201810034225"</f>
        <v>CLC201810034225</v>
      </c>
      <c r="F1749" t="str">
        <f t="shared" si="18"/>
        <v>COLONIAL</v>
      </c>
      <c r="G1749" s="3">
        <v>33.99</v>
      </c>
      <c r="H1749" t="str">
        <f t="shared" si="19"/>
        <v>COLONIAL</v>
      </c>
    </row>
    <row r="1750" spans="5:8" x14ac:dyDescent="0.25">
      <c r="E1750" t="str">
        <f>"CLC201810174606"</f>
        <v>CLC201810174606</v>
      </c>
      <c r="F1750" t="str">
        <f t="shared" si="18"/>
        <v>COLONIAL</v>
      </c>
      <c r="G1750" s="3">
        <v>33.99</v>
      </c>
      <c r="H1750" t="str">
        <f t="shared" si="19"/>
        <v>COLONIAL</v>
      </c>
    </row>
    <row r="1751" spans="5:8" x14ac:dyDescent="0.25">
      <c r="E1751" t="str">
        <f>"CLI201810034225"</f>
        <v>CLI201810034225</v>
      </c>
      <c r="F1751" t="str">
        <f t="shared" si="18"/>
        <v>COLONIAL</v>
      </c>
      <c r="G1751" s="3">
        <v>621.34</v>
      </c>
      <c r="H1751" t="str">
        <f t="shared" si="19"/>
        <v>COLONIAL</v>
      </c>
    </row>
    <row r="1752" spans="5:8" x14ac:dyDescent="0.25">
      <c r="E1752" t="str">
        <f>"CLI201810034226"</f>
        <v>CLI201810034226</v>
      </c>
      <c r="F1752" t="str">
        <f t="shared" si="18"/>
        <v>COLONIAL</v>
      </c>
      <c r="G1752" s="3">
        <v>5.18</v>
      </c>
      <c r="H1752" t="str">
        <f t="shared" si="19"/>
        <v>COLONIAL</v>
      </c>
    </row>
    <row r="1753" spans="5:8" x14ac:dyDescent="0.25">
      <c r="E1753" t="str">
        <f>"CLI201810174606"</f>
        <v>CLI201810174606</v>
      </c>
      <c r="F1753" t="str">
        <f t="shared" si="18"/>
        <v>COLONIAL</v>
      </c>
      <c r="G1753" s="3">
        <v>621.34</v>
      </c>
      <c r="H1753" t="str">
        <f t="shared" si="19"/>
        <v>COLONIAL</v>
      </c>
    </row>
    <row r="1754" spans="5:8" x14ac:dyDescent="0.25">
      <c r="E1754" t="str">
        <f>"CLI201810174607"</f>
        <v>CLI201810174607</v>
      </c>
      <c r="F1754" t="str">
        <f t="shared" si="18"/>
        <v>COLONIAL</v>
      </c>
      <c r="G1754" s="3">
        <v>5.18</v>
      </c>
      <c r="H1754" t="str">
        <f t="shared" si="19"/>
        <v>COLONIAL</v>
      </c>
    </row>
    <row r="1755" spans="5:8" x14ac:dyDescent="0.25">
      <c r="E1755" t="str">
        <f>"CLK201810034225"</f>
        <v>CLK201810034225</v>
      </c>
      <c r="F1755" t="str">
        <f t="shared" si="18"/>
        <v>COLONIAL</v>
      </c>
      <c r="G1755" s="3">
        <v>27.09</v>
      </c>
      <c r="H1755" t="str">
        <f t="shared" si="19"/>
        <v>COLONIAL</v>
      </c>
    </row>
    <row r="1756" spans="5:8" x14ac:dyDescent="0.25">
      <c r="E1756" t="str">
        <f>"CLK201810174606"</f>
        <v>CLK201810174606</v>
      </c>
      <c r="F1756" t="str">
        <f t="shared" si="18"/>
        <v>COLONIAL</v>
      </c>
      <c r="G1756" s="3">
        <v>27.09</v>
      </c>
      <c r="H1756" t="str">
        <f t="shared" si="19"/>
        <v>COLONIAL</v>
      </c>
    </row>
    <row r="1757" spans="5:8" x14ac:dyDescent="0.25">
      <c r="E1757" t="str">
        <f>"CLS201810034225"</f>
        <v>CLS201810034225</v>
      </c>
      <c r="F1757" t="str">
        <f t="shared" si="18"/>
        <v>COLONIAL</v>
      </c>
      <c r="G1757" s="3">
        <v>401.82</v>
      </c>
      <c r="H1757" t="str">
        <f t="shared" si="19"/>
        <v>COLONIAL</v>
      </c>
    </row>
    <row r="1758" spans="5:8" x14ac:dyDescent="0.25">
      <c r="E1758" t="str">
        <f>"CLS201810034226"</f>
        <v>CLS201810034226</v>
      </c>
      <c r="F1758" t="str">
        <f t="shared" si="18"/>
        <v>COLONIAL</v>
      </c>
      <c r="G1758" s="3">
        <v>28.57</v>
      </c>
      <c r="H1758" t="str">
        <f t="shared" si="19"/>
        <v>COLONIAL</v>
      </c>
    </row>
    <row r="1759" spans="5:8" x14ac:dyDescent="0.25">
      <c r="E1759" t="str">
        <f>"CLS201810174606"</f>
        <v>CLS201810174606</v>
      </c>
      <c r="F1759" t="str">
        <f t="shared" si="18"/>
        <v>COLONIAL</v>
      </c>
      <c r="G1759" s="3">
        <v>416.1</v>
      </c>
      <c r="H1759" t="str">
        <f t="shared" si="19"/>
        <v>COLONIAL</v>
      </c>
    </row>
    <row r="1760" spans="5:8" x14ac:dyDescent="0.25">
      <c r="E1760" t="str">
        <f>"CLS201810174607"</f>
        <v>CLS201810174607</v>
      </c>
      <c r="F1760" t="str">
        <f t="shared" si="18"/>
        <v>COLONIAL</v>
      </c>
      <c r="G1760" s="3">
        <v>28.57</v>
      </c>
      <c r="H1760" t="str">
        <f t="shared" si="19"/>
        <v>COLONIAL</v>
      </c>
    </row>
    <row r="1761" spans="1:8" x14ac:dyDescent="0.25">
      <c r="E1761" t="str">
        <f>"CLT201810034225"</f>
        <v>CLT201810034225</v>
      </c>
      <c r="F1761" t="str">
        <f t="shared" si="18"/>
        <v>COLONIAL</v>
      </c>
      <c r="G1761" s="3">
        <v>320.79000000000002</v>
      </c>
      <c r="H1761" t="str">
        <f t="shared" si="19"/>
        <v>COLONIAL</v>
      </c>
    </row>
    <row r="1762" spans="1:8" x14ac:dyDescent="0.25">
      <c r="E1762" t="str">
        <f>"CLT201810174606"</f>
        <v>CLT201810174606</v>
      </c>
      <c r="F1762" t="str">
        <f t="shared" si="18"/>
        <v>COLONIAL</v>
      </c>
      <c r="G1762" s="3">
        <v>320.79000000000002</v>
      </c>
      <c r="H1762" t="str">
        <f t="shared" si="19"/>
        <v>COLONIAL</v>
      </c>
    </row>
    <row r="1763" spans="1:8" x14ac:dyDescent="0.25">
      <c r="E1763" t="str">
        <f>"CLU201810034225"</f>
        <v>CLU201810034225</v>
      </c>
      <c r="F1763" t="str">
        <f t="shared" si="18"/>
        <v>COLONIAL</v>
      </c>
      <c r="G1763" s="3">
        <v>116.56</v>
      </c>
      <c r="H1763" t="str">
        <f t="shared" si="19"/>
        <v>COLONIAL</v>
      </c>
    </row>
    <row r="1764" spans="1:8" x14ac:dyDescent="0.25">
      <c r="E1764" t="str">
        <f>"CLU201810174606"</f>
        <v>CLU201810174606</v>
      </c>
      <c r="F1764" t="str">
        <f t="shared" si="18"/>
        <v>COLONIAL</v>
      </c>
      <c r="G1764" s="3">
        <v>116.56</v>
      </c>
      <c r="H1764" t="str">
        <f t="shared" si="19"/>
        <v>COLONIAL</v>
      </c>
    </row>
    <row r="1765" spans="1:8" x14ac:dyDescent="0.25">
      <c r="E1765" t="str">
        <f>"CLW201810034225"</f>
        <v>CLW201810034225</v>
      </c>
      <c r="F1765" t="str">
        <f t="shared" si="18"/>
        <v>COLONIAL</v>
      </c>
      <c r="G1765" s="3">
        <v>126.23</v>
      </c>
      <c r="H1765" t="str">
        <f t="shared" si="19"/>
        <v>COLONIAL</v>
      </c>
    </row>
    <row r="1766" spans="1:8" x14ac:dyDescent="0.25">
      <c r="E1766" t="str">
        <f>"CLW201810174606"</f>
        <v>CLW201810174606</v>
      </c>
      <c r="F1766" t="str">
        <f t="shared" si="18"/>
        <v>COLONIAL</v>
      </c>
      <c r="G1766" s="3">
        <v>126.23</v>
      </c>
      <c r="H1766" t="str">
        <f t="shared" si="19"/>
        <v>COLONIAL</v>
      </c>
    </row>
    <row r="1767" spans="1:8" x14ac:dyDescent="0.25">
      <c r="A1767" t="s">
        <v>564</v>
      </c>
      <c r="B1767">
        <v>0</v>
      </c>
      <c r="C1767" s="2">
        <v>6924.7</v>
      </c>
      <c r="D1767" s="1">
        <v>43378</v>
      </c>
      <c r="E1767" t="str">
        <f>"CPI201810034225"</f>
        <v>CPI201810034225</v>
      </c>
      <c r="F1767" t="str">
        <f>"DEFERRED COMP 457B PAYABLE"</f>
        <v>DEFERRED COMP 457B PAYABLE</v>
      </c>
      <c r="G1767" s="3">
        <v>6817.2</v>
      </c>
      <c r="H1767" t="str">
        <f>"DEFERRED COMP 457B PAYABLE"</f>
        <v>DEFERRED COMP 457B PAYABLE</v>
      </c>
    </row>
    <row r="1768" spans="1:8" x14ac:dyDescent="0.25">
      <c r="E1768" t="str">
        <f>"CPI201810034226"</f>
        <v>CPI201810034226</v>
      </c>
      <c r="F1768" t="str">
        <f>"DEFERRED COMP 457B PAYABLE"</f>
        <v>DEFERRED COMP 457B PAYABLE</v>
      </c>
      <c r="G1768" s="3">
        <v>107.5</v>
      </c>
      <c r="H1768" t="str">
        <f>"DEFERRED COMP 457B PAYABLE"</f>
        <v>DEFERRED COMP 457B PAYABLE</v>
      </c>
    </row>
    <row r="1769" spans="1:8" x14ac:dyDescent="0.25">
      <c r="A1769" t="s">
        <v>564</v>
      </c>
      <c r="B1769">
        <v>0</v>
      </c>
      <c r="C1769" s="2">
        <v>6874.98</v>
      </c>
      <c r="D1769" s="1">
        <v>43392</v>
      </c>
      <c r="E1769" t="str">
        <f>"CPI201810174606"</f>
        <v>CPI201810174606</v>
      </c>
      <c r="F1769" t="str">
        <f>"DEFERRED COMP 457B PAYABLE"</f>
        <v>DEFERRED COMP 457B PAYABLE</v>
      </c>
      <c r="G1769" s="3">
        <v>6767.48</v>
      </c>
      <c r="H1769" t="str">
        <f>"DEFERRED COMP 457B PAYABLE"</f>
        <v>DEFERRED COMP 457B PAYABLE</v>
      </c>
    </row>
    <row r="1770" spans="1:8" x14ac:dyDescent="0.25">
      <c r="E1770" t="str">
        <f>"CPI201810174607"</f>
        <v>CPI201810174607</v>
      </c>
      <c r="F1770" t="str">
        <f>"DEFERRED COMP 457B PAYABLE"</f>
        <v>DEFERRED COMP 457B PAYABLE</v>
      </c>
      <c r="G1770" s="3">
        <v>107.5</v>
      </c>
      <c r="H1770" t="str">
        <f>"DEFERRED COMP 457B PAYABLE"</f>
        <v>DEFERRED COMP 457B PAYABLE</v>
      </c>
    </row>
    <row r="1771" spans="1:8" x14ac:dyDescent="0.25">
      <c r="A1771" t="s">
        <v>565</v>
      </c>
      <c r="B1771">
        <v>46656</v>
      </c>
      <c r="C1771" s="2">
        <v>1368.7</v>
      </c>
      <c r="D1771" s="1">
        <v>43378</v>
      </c>
      <c r="E1771" t="str">
        <f>"B13201810034225"</f>
        <v>B13201810034225</v>
      </c>
      <c r="F1771" t="str">
        <f>"Rosa Warren 15-10357-TMD"</f>
        <v>Rosa Warren 15-10357-TMD</v>
      </c>
      <c r="G1771" s="3">
        <v>853.85</v>
      </c>
      <c r="H1771" t="str">
        <f>"Rosa Warren 15-10357-TMD"</f>
        <v>Rosa Warren 15-10357-TMD</v>
      </c>
    </row>
    <row r="1772" spans="1:8" x14ac:dyDescent="0.25">
      <c r="E1772" t="str">
        <f>"BJL201810034225"</f>
        <v>BJL201810034225</v>
      </c>
      <c r="F1772" t="str">
        <f>"Julian Luna 14-10230-TMD"</f>
        <v>Julian Luna 14-10230-TMD</v>
      </c>
      <c r="G1772" s="3">
        <v>514.85</v>
      </c>
      <c r="H1772" t="str">
        <f>"Julian Luna 14-10230-TMD"</f>
        <v>Julian Luna 14-10230-TMD</v>
      </c>
    </row>
    <row r="1773" spans="1:8" x14ac:dyDescent="0.25">
      <c r="A1773" t="s">
        <v>565</v>
      </c>
      <c r="B1773">
        <v>46687</v>
      </c>
      <c r="C1773" s="2">
        <v>1368.7</v>
      </c>
      <c r="D1773" s="1">
        <v>43392</v>
      </c>
      <c r="E1773" t="str">
        <f>"B13201810174606"</f>
        <v>B13201810174606</v>
      </c>
      <c r="F1773" t="str">
        <f>"Rosa Warren 15-10357-TMD"</f>
        <v>Rosa Warren 15-10357-TMD</v>
      </c>
      <c r="G1773" s="3">
        <v>853.85</v>
      </c>
      <c r="H1773" t="str">
        <f>"Rosa Warren 15-10357-TMD"</f>
        <v>Rosa Warren 15-10357-TMD</v>
      </c>
    </row>
    <row r="1774" spans="1:8" x14ac:dyDescent="0.25">
      <c r="E1774" t="str">
        <f>"BJL201810174606"</f>
        <v>BJL201810174606</v>
      </c>
      <c r="F1774" t="str">
        <f>"Julian Luna 14-10230-TMD"</f>
        <v>Julian Luna 14-10230-TMD</v>
      </c>
      <c r="G1774" s="3">
        <v>514.85</v>
      </c>
      <c r="H1774" t="str">
        <f>"Julian Luna 14-10230-TMD"</f>
        <v>Julian Luna 14-10230-TMD</v>
      </c>
    </row>
    <row r="1775" spans="1:8" x14ac:dyDescent="0.25">
      <c r="A1775" t="s">
        <v>566</v>
      </c>
      <c r="B1775">
        <v>0</v>
      </c>
      <c r="C1775" s="2">
        <v>39822.6</v>
      </c>
      <c r="D1775" s="1">
        <v>43402</v>
      </c>
      <c r="E1775" t="str">
        <f>"201810294682"</f>
        <v>201810294682</v>
      </c>
      <c r="F1775" t="str">
        <f>"Dental Rounding Oct 2018"</f>
        <v>Dental Rounding Oct 2018</v>
      </c>
      <c r="G1775" s="3">
        <v>-4.6500000000000004</v>
      </c>
      <c r="H1775" t="str">
        <f>"Dental Rounding Oct 2018"</f>
        <v>Dental Rounding Oct 2018</v>
      </c>
    </row>
    <row r="1776" spans="1:8" x14ac:dyDescent="0.25">
      <c r="E1776" t="str">
        <f>"201810294685"</f>
        <v>201810294685</v>
      </c>
      <c r="F1776" t="str">
        <f>"Life Ins Rounding"</f>
        <v>Life Ins Rounding</v>
      </c>
      <c r="G1776" s="3">
        <v>-0.74</v>
      </c>
      <c r="H1776" t="str">
        <f>"Life Ins Rounding"</f>
        <v>Life Ins Rounding</v>
      </c>
    </row>
    <row r="1777" spans="5:8" x14ac:dyDescent="0.25">
      <c r="E1777" t="str">
        <f>"201810294679"</f>
        <v>201810294679</v>
      </c>
      <c r="F1777" t="str">
        <f>"Retiree Dental/Vision Oct 2018"</f>
        <v>Retiree Dental/Vision Oct 2018</v>
      </c>
      <c r="G1777" s="3">
        <v>3118.99</v>
      </c>
      <c r="H1777" t="str">
        <f>"GUARDIAN"</f>
        <v>GUARDIAN</v>
      </c>
    </row>
    <row r="1778" spans="5:8" x14ac:dyDescent="0.25">
      <c r="E1778" t="str">
        <f>"201810294680"</f>
        <v>201810294680</v>
      </c>
      <c r="F1778" t="str">
        <f>"COBRA coverage Oct 2018"</f>
        <v>COBRA coverage Oct 2018</v>
      </c>
      <c r="G1778" s="3">
        <v>30.77</v>
      </c>
      <c r="H1778" t="str">
        <f>"GUARDIAN"</f>
        <v>GUARDIAN</v>
      </c>
    </row>
    <row r="1779" spans="5:8" x14ac:dyDescent="0.25">
      <c r="E1779" t="str">
        <f>"201810294681"</f>
        <v>201810294681</v>
      </c>
      <c r="F1779" t="str">
        <f>"Vision Rounding Oct 2018"</f>
        <v>Vision Rounding Oct 2018</v>
      </c>
      <c r="G1779" s="3">
        <v>4.5199999999999996</v>
      </c>
      <c r="H1779" t="str">
        <f>"Vision Rounding Oct 2018"</f>
        <v>Vision Rounding Oct 2018</v>
      </c>
    </row>
    <row r="1780" spans="5:8" x14ac:dyDescent="0.25">
      <c r="E1780" t="str">
        <f>"201810294683"</f>
        <v>201810294683</v>
      </c>
      <c r="F1780" t="str">
        <f>"Retiree Life Coverage Oct 2018"</f>
        <v>Retiree Life Coverage Oct 2018</v>
      </c>
      <c r="G1780" s="3">
        <v>133.06</v>
      </c>
      <c r="H1780" t="str">
        <f>"Retiree Life Coverage Oct 2018"</f>
        <v>Retiree Life Coverage Oct 2018</v>
      </c>
    </row>
    <row r="1781" spans="5:8" x14ac:dyDescent="0.25">
      <c r="E1781" t="str">
        <f>"201810294684"</f>
        <v>201810294684</v>
      </c>
      <c r="F1781" t="str">
        <f>"Life Ins Ded Errors"</f>
        <v>Life Ins Ded Errors</v>
      </c>
      <c r="G1781" s="3">
        <v>22.05</v>
      </c>
      <c r="H1781" t="str">
        <f>"Life Ins Ded Errors"</f>
        <v>Life Ins Ded Errors</v>
      </c>
    </row>
    <row r="1782" spans="5:8" x14ac:dyDescent="0.25">
      <c r="E1782" t="str">
        <f>"ADC201810034225"</f>
        <v>ADC201810034225</v>
      </c>
      <c r="F1782" t="str">
        <f t="shared" ref="F1782:F1794" si="20">"GUARDIAN"</f>
        <v>GUARDIAN</v>
      </c>
      <c r="G1782" s="3">
        <v>5.35</v>
      </c>
      <c r="H1782" t="str">
        <f t="shared" ref="H1782:H1845" si="21">"GUARDIAN"</f>
        <v>GUARDIAN</v>
      </c>
    </row>
    <row r="1783" spans="5:8" x14ac:dyDescent="0.25">
      <c r="E1783" t="str">
        <f>"ADC201810034226"</f>
        <v>ADC201810034226</v>
      </c>
      <c r="F1783" t="str">
        <f t="shared" si="20"/>
        <v>GUARDIAN</v>
      </c>
      <c r="G1783" s="3">
        <v>0.16</v>
      </c>
      <c r="H1783" t="str">
        <f t="shared" si="21"/>
        <v>GUARDIAN</v>
      </c>
    </row>
    <row r="1784" spans="5:8" x14ac:dyDescent="0.25">
      <c r="E1784" t="str">
        <f>"ADC201810174606"</f>
        <v>ADC201810174606</v>
      </c>
      <c r="F1784" t="str">
        <f t="shared" si="20"/>
        <v>GUARDIAN</v>
      </c>
      <c r="G1784" s="3">
        <v>5.35</v>
      </c>
      <c r="H1784" t="str">
        <f t="shared" si="21"/>
        <v>GUARDIAN</v>
      </c>
    </row>
    <row r="1785" spans="5:8" x14ac:dyDescent="0.25">
      <c r="E1785" t="str">
        <f>"ADC201810174607"</f>
        <v>ADC201810174607</v>
      </c>
      <c r="F1785" t="str">
        <f t="shared" si="20"/>
        <v>GUARDIAN</v>
      </c>
      <c r="G1785" s="3">
        <v>0.16</v>
      </c>
      <c r="H1785" t="str">
        <f t="shared" si="21"/>
        <v>GUARDIAN</v>
      </c>
    </row>
    <row r="1786" spans="5:8" x14ac:dyDescent="0.25">
      <c r="E1786" t="str">
        <f>"ADE201810034225"</f>
        <v>ADE201810034225</v>
      </c>
      <c r="F1786" t="str">
        <f t="shared" si="20"/>
        <v>GUARDIAN</v>
      </c>
      <c r="G1786" s="3">
        <v>227.94</v>
      </c>
      <c r="H1786" t="str">
        <f t="shared" si="21"/>
        <v>GUARDIAN</v>
      </c>
    </row>
    <row r="1787" spans="5:8" x14ac:dyDescent="0.25">
      <c r="E1787" t="str">
        <f>"ADE201810034226"</f>
        <v>ADE201810034226</v>
      </c>
      <c r="F1787" t="str">
        <f t="shared" si="20"/>
        <v>GUARDIAN</v>
      </c>
      <c r="G1787" s="3">
        <v>7.8</v>
      </c>
      <c r="H1787" t="str">
        <f t="shared" si="21"/>
        <v>GUARDIAN</v>
      </c>
    </row>
    <row r="1788" spans="5:8" x14ac:dyDescent="0.25">
      <c r="E1788" t="str">
        <f>"ADE201810174606"</f>
        <v>ADE201810174606</v>
      </c>
      <c r="F1788" t="str">
        <f t="shared" si="20"/>
        <v>GUARDIAN</v>
      </c>
      <c r="G1788" s="3">
        <v>230.94</v>
      </c>
      <c r="H1788" t="str">
        <f t="shared" si="21"/>
        <v>GUARDIAN</v>
      </c>
    </row>
    <row r="1789" spans="5:8" x14ac:dyDescent="0.25">
      <c r="E1789" t="str">
        <f>"ADE201810174607"</f>
        <v>ADE201810174607</v>
      </c>
      <c r="F1789" t="str">
        <f t="shared" si="20"/>
        <v>GUARDIAN</v>
      </c>
      <c r="G1789" s="3">
        <v>7.8</v>
      </c>
      <c r="H1789" t="str">
        <f t="shared" si="21"/>
        <v>GUARDIAN</v>
      </c>
    </row>
    <row r="1790" spans="5:8" x14ac:dyDescent="0.25">
      <c r="E1790" t="str">
        <f>"ADS201810034225"</f>
        <v>ADS201810034225</v>
      </c>
      <c r="F1790" t="str">
        <f t="shared" si="20"/>
        <v>GUARDIAN</v>
      </c>
      <c r="G1790" s="3">
        <v>38.57</v>
      </c>
      <c r="H1790" t="str">
        <f t="shared" si="21"/>
        <v>GUARDIAN</v>
      </c>
    </row>
    <row r="1791" spans="5:8" x14ac:dyDescent="0.25">
      <c r="E1791" t="str">
        <f>"ADS201810034226"</f>
        <v>ADS201810034226</v>
      </c>
      <c r="F1791" t="str">
        <f t="shared" si="20"/>
        <v>GUARDIAN</v>
      </c>
      <c r="G1791" s="3">
        <v>0.98</v>
      </c>
      <c r="H1791" t="str">
        <f t="shared" si="21"/>
        <v>GUARDIAN</v>
      </c>
    </row>
    <row r="1792" spans="5:8" x14ac:dyDescent="0.25">
      <c r="E1792" t="str">
        <f>"ADS201810174606"</f>
        <v>ADS201810174606</v>
      </c>
      <c r="F1792" t="str">
        <f t="shared" si="20"/>
        <v>GUARDIAN</v>
      </c>
      <c r="G1792" s="3">
        <v>38.57</v>
      </c>
      <c r="H1792" t="str">
        <f t="shared" si="21"/>
        <v>GUARDIAN</v>
      </c>
    </row>
    <row r="1793" spans="5:8" x14ac:dyDescent="0.25">
      <c r="E1793" t="str">
        <f>"ADS201810174607"</f>
        <v>ADS201810174607</v>
      </c>
      <c r="F1793" t="str">
        <f t="shared" si="20"/>
        <v>GUARDIAN</v>
      </c>
      <c r="G1793" s="3">
        <v>0.98</v>
      </c>
      <c r="H1793" t="str">
        <f t="shared" si="21"/>
        <v>GUARDIAN</v>
      </c>
    </row>
    <row r="1794" spans="5:8" x14ac:dyDescent="0.25">
      <c r="E1794" t="str">
        <f>"GDC201810034225"</f>
        <v>GDC201810034225</v>
      </c>
      <c r="F1794" t="str">
        <f t="shared" si="20"/>
        <v>GUARDIAN</v>
      </c>
      <c r="G1794" s="3">
        <v>2682.84</v>
      </c>
      <c r="H1794" t="str">
        <f t="shared" si="21"/>
        <v>GUARDIAN</v>
      </c>
    </row>
    <row r="1795" spans="5:8" x14ac:dyDescent="0.25">
      <c r="E1795" t="str">
        <f>""</f>
        <v/>
      </c>
      <c r="F1795" t="str">
        <f>""</f>
        <v/>
      </c>
      <c r="H1795" t="str">
        <f t="shared" si="21"/>
        <v>GUARDIAN</v>
      </c>
    </row>
    <row r="1796" spans="5:8" x14ac:dyDescent="0.25">
      <c r="E1796" t="str">
        <f>""</f>
        <v/>
      </c>
      <c r="F1796" t="str">
        <f>""</f>
        <v/>
      </c>
      <c r="H1796" t="str">
        <f t="shared" si="21"/>
        <v>GUARDIAN</v>
      </c>
    </row>
    <row r="1797" spans="5:8" x14ac:dyDescent="0.25">
      <c r="E1797" t="str">
        <f>""</f>
        <v/>
      </c>
      <c r="F1797" t="str">
        <f>""</f>
        <v/>
      </c>
      <c r="H1797" t="str">
        <f t="shared" si="21"/>
        <v>GUARDIAN</v>
      </c>
    </row>
    <row r="1798" spans="5:8" x14ac:dyDescent="0.25">
      <c r="E1798" t="str">
        <f>""</f>
        <v/>
      </c>
      <c r="F1798" t="str">
        <f>""</f>
        <v/>
      </c>
      <c r="H1798" t="str">
        <f t="shared" si="21"/>
        <v>GUARDIAN</v>
      </c>
    </row>
    <row r="1799" spans="5:8" x14ac:dyDescent="0.25">
      <c r="E1799" t="str">
        <f>""</f>
        <v/>
      </c>
      <c r="F1799" t="str">
        <f>""</f>
        <v/>
      </c>
      <c r="H1799" t="str">
        <f t="shared" si="21"/>
        <v>GUARDIAN</v>
      </c>
    </row>
    <row r="1800" spans="5:8" x14ac:dyDescent="0.25">
      <c r="E1800" t="str">
        <f>""</f>
        <v/>
      </c>
      <c r="F1800" t="str">
        <f>""</f>
        <v/>
      </c>
      <c r="H1800" t="str">
        <f t="shared" si="21"/>
        <v>GUARDIAN</v>
      </c>
    </row>
    <row r="1801" spans="5:8" x14ac:dyDescent="0.25">
      <c r="E1801" t="str">
        <f>""</f>
        <v/>
      </c>
      <c r="F1801" t="str">
        <f>""</f>
        <v/>
      </c>
      <c r="H1801" t="str">
        <f t="shared" si="21"/>
        <v>GUARDIAN</v>
      </c>
    </row>
    <row r="1802" spans="5:8" x14ac:dyDescent="0.25">
      <c r="E1802" t="str">
        <f>""</f>
        <v/>
      </c>
      <c r="F1802" t="str">
        <f>""</f>
        <v/>
      </c>
      <c r="H1802" t="str">
        <f t="shared" si="21"/>
        <v>GUARDIAN</v>
      </c>
    </row>
    <row r="1803" spans="5:8" x14ac:dyDescent="0.25">
      <c r="E1803" t="str">
        <f>""</f>
        <v/>
      </c>
      <c r="F1803" t="str">
        <f>""</f>
        <v/>
      </c>
      <c r="H1803" t="str">
        <f t="shared" si="21"/>
        <v>GUARDIAN</v>
      </c>
    </row>
    <row r="1804" spans="5:8" x14ac:dyDescent="0.25">
      <c r="E1804" t="str">
        <f>""</f>
        <v/>
      </c>
      <c r="F1804" t="str">
        <f>""</f>
        <v/>
      </c>
      <c r="H1804" t="str">
        <f t="shared" si="21"/>
        <v>GUARDIAN</v>
      </c>
    </row>
    <row r="1805" spans="5:8" x14ac:dyDescent="0.25">
      <c r="E1805" t="str">
        <f>""</f>
        <v/>
      </c>
      <c r="F1805" t="str">
        <f>""</f>
        <v/>
      </c>
      <c r="H1805" t="str">
        <f t="shared" si="21"/>
        <v>GUARDIAN</v>
      </c>
    </row>
    <row r="1806" spans="5:8" x14ac:dyDescent="0.25">
      <c r="E1806" t="str">
        <f>""</f>
        <v/>
      </c>
      <c r="F1806" t="str">
        <f>""</f>
        <v/>
      </c>
      <c r="H1806" t="str">
        <f t="shared" si="21"/>
        <v>GUARDIAN</v>
      </c>
    </row>
    <row r="1807" spans="5:8" x14ac:dyDescent="0.25">
      <c r="E1807" t="str">
        <f>""</f>
        <v/>
      </c>
      <c r="F1807" t="str">
        <f>""</f>
        <v/>
      </c>
      <c r="H1807" t="str">
        <f t="shared" si="21"/>
        <v>GUARDIAN</v>
      </c>
    </row>
    <row r="1808" spans="5:8" x14ac:dyDescent="0.25">
      <c r="E1808" t="str">
        <f>""</f>
        <v/>
      </c>
      <c r="F1808" t="str">
        <f>""</f>
        <v/>
      </c>
      <c r="H1808" t="str">
        <f t="shared" si="21"/>
        <v>GUARDIAN</v>
      </c>
    </row>
    <row r="1809" spans="5:8" x14ac:dyDescent="0.25">
      <c r="E1809" t="str">
        <f>""</f>
        <v/>
      </c>
      <c r="F1809" t="str">
        <f>""</f>
        <v/>
      </c>
      <c r="H1809" t="str">
        <f t="shared" si="21"/>
        <v>GUARDIAN</v>
      </c>
    </row>
    <row r="1810" spans="5:8" x14ac:dyDescent="0.25">
      <c r="E1810" t="str">
        <f>""</f>
        <v/>
      </c>
      <c r="F1810" t="str">
        <f>""</f>
        <v/>
      </c>
      <c r="H1810" t="str">
        <f t="shared" si="21"/>
        <v>GUARDIAN</v>
      </c>
    </row>
    <row r="1811" spans="5:8" x14ac:dyDescent="0.25">
      <c r="E1811" t="str">
        <f>""</f>
        <v/>
      </c>
      <c r="F1811" t="str">
        <f>""</f>
        <v/>
      </c>
      <c r="H1811" t="str">
        <f t="shared" si="21"/>
        <v>GUARDIAN</v>
      </c>
    </row>
    <row r="1812" spans="5:8" x14ac:dyDescent="0.25">
      <c r="E1812" t="str">
        <f>""</f>
        <v/>
      </c>
      <c r="F1812" t="str">
        <f>""</f>
        <v/>
      </c>
      <c r="H1812" t="str">
        <f t="shared" si="21"/>
        <v>GUARDIAN</v>
      </c>
    </row>
    <row r="1813" spans="5:8" x14ac:dyDescent="0.25">
      <c r="E1813" t="str">
        <f>""</f>
        <v/>
      </c>
      <c r="F1813" t="str">
        <f>""</f>
        <v/>
      </c>
      <c r="H1813" t="str">
        <f t="shared" si="21"/>
        <v>GUARDIAN</v>
      </c>
    </row>
    <row r="1814" spans="5:8" x14ac:dyDescent="0.25">
      <c r="E1814" t="str">
        <f>""</f>
        <v/>
      </c>
      <c r="F1814" t="str">
        <f>""</f>
        <v/>
      </c>
      <c r="H1814" t="str">
        <f t="shared" si="21"/>
        <v>GUARDIAN</v>
      </c>
    </row>
    <row r="1815" spans="5:8" x14ac:dyDescent="0.25">
      <c r="E1815" t="str">
        <f>""</f>
        <v/>
      </c>
      <c r="F1815" t="str">
        <f>""</f>
        <v/>
      </c>
      <c r="H1815" t="str">
        <f t="shared" si="21"/>
        <v>GUARDIAN</v>
      </c>
    </row>
    <row r="1816" spans="5:8" x14ac:dyDescent="0.25">
      <c r="E1816" t="str">
        <f>""</f>
        <v/>
      </c>
      <c r="F1816" t="str">
        <f>""</f>
        <v/>
      </c>
      <c r="H1816" t="str">
        <f t="shared" si="21"/>
        <v>GUARDIAN</v>
      </c>
    </row>
    <row r="1817" spans="5:8" x14ac:dyDescent="0.25">
      <c r="E1817" t="str">
        <f>""</f>
        <v/>
      </c>
      <c r="F1817" t="str">
        <f>""</f>
        <v/>
      </c>
      <c r="H1817" t="str">
        <f t="shared" si="21"/>
        <v>GUARDIAN</v>
      </c>
    </row>
    <row r="1818" spans="5:8" x14ac:dyDescent="0.25">
      <c r="E1818" t="str">
        <f>""</f>
        <v/>
      </c>
      <c r="F1818" t="str">
        <f>""</f>
        <v/>
      </c>
      <c r="H1818" t="str">
        <f t="shared" si="21"/>
        <v>GUARDIAN</v>
      </c>
    </row>
    <row r="1819" spans="5:8" x14ac:dyDescent="0.25">
      <c r="E1819" t="str">
        <f>""</f>
        <v/>
      </c>
      <c r="F1819" t="str">
        <f>""</f>
        <v/>
      </c>
      <c r="H1819" t="str">
        <f t="shared" si="21"/>
        <v>GUARDIAN</v>
      </c>
    </row>
    <row r="1820" spans="5:8" x14ac:dyDescent="0.25">
      <c r="E1820" t="str">
        <f>""</f>
        <v/>
      </c>
      <c r="F1820" t="str">
        <f>""</f>
        <v/>
      </c>
      <c r="H1820" t="str">
        <f t="shared" si="21"/>
        <v>GUARDIAN</v>
      </c>
    </row>
    <row r="1821" spans="5:8" x14ac:dyDescent="0.25">
      <c r="E1821" t="str">
        <f>""</f>
        <v/>
      </c>
      <c r="F1821" t="str">
        <f>""</f>
        <v/>
      </c>
      <c r="H1821" t="str">
        <f t="shared" si="21"/>
        <v>GUARDIAN</v>
      </c>
    </row>
    <row r="1822" spans="5:8" x14ac:dyDescent="0.25">
      <c r="E1822" t="str">
        <f>""</f>
        <v/>
      </c>
      <c r="F1822" t="str">
        <f>""</f>
        <v/>
      </c>
      <c r="H1822" t="str">
        <f t="shared" si="21"/>
        <v>GUARDIAN</v>
      </c>
    </row>
    <row r="1823" spans="5:8" x14ac:dyDescent="0.25">
      <c r="E1823" t="str">
        <f>""</f>
        <v/>
      </c>
      <c r="F1823" t="str">
        <f>""</f>
        <v/>
      </c>
      <c r="H1823" t="str">
        <f t="shared" si="21"/>
        <v>GUARDIAN</v>
      </c>
    </row>
    <row r="1824" spans="5:8" x14ac:dyDescent="0.25">
      <c r="E1824" t="str">
        <f>""</f>
        <v/>
      </c>
      <c r="F1824" t="str">
        <f>""</f>
        <v/>
      </c>
      <c r="H1824" t="str">
        <f t="shared" si="21"/>
        <v>GUARDIAN</v>
      </c>
    </row>
    <row r="1825" spans="5:8" x14ac:dyDescent="0.25">
      <c r="E1825" t="str">
        <f>""</f>
        <v/>
      </c>
      <c r="F1825" t="str">
        <f>""</f>
        <v/>
      </c>
      <c r="H1825" t="str">
        <f t="shared" si="21"/>
        <v>GUARDIAN</v>
      </c>
    </row>
    <row r="1826" spans="5:8" x14ac:dyDescent="0.25">
      <c r="E1826" t="str">
        <f>""</f>
        <v/>
      </c>
      <c r="F1826" t="str">
        <f>""</f>
        <v/>
      </c>
      <c r="H1826" t="str">
        <f t="shared" si="21"/>
        <v>GUARDIAN</v>
      </c>
    </row>
    <row r="1827" spans="5:8" x14ac:dyDescent="0.25">
      <c r="E1827" t="str">
        <f>"GDC201810034226"</f>
        <v>GDC201810034226</v>
      </c>
      <c r="F1827" t="str">
        <f>"GUARDIAN"</f>
        <v>GUARDIAN</v>
      </c>
      <c r="G1827" s="3">
        <v>135.84</v>
      </c>
      <c r="H1827" t="str">
        <f t="shared" si="21"/>
        <v>GUARDIAN</v>
      </c>
    </row>
    <row r="1828" spans="5:8" x14ac:dyDescent="0.25">
      <c r="E1828" t="str">
        <f>""</f>
        <v/>
      </c>
      <c r="F1828" t="str">
        <f>""</f>
        <v/>
      </c>
      <c r="H1828" t="str">
        <f t="shared" si="21"/>
        <v>GUARDIAN</v>
      </c>
    </row>
    <row r="1829" spans="5:8" x14ac:dyDescent="0.25">
      <c r="E1829" t="str">
        <f>"GDC201810174606"</f>
        <v>GDC201810174606</v>
      </c>
      <c r="F1829" t="str">
        <f>"GUARDIAN"</f>
        <v>GUARDIAN</v>
      </c>
      <c r="G1829" s="3">
        <v>2682.84</v>
      </c>
      <c r="H1829" t="str">
        <f t="shared" si="21"/>
        <v>GUARDIAN</v>
      </c>
    </row>
    <row r="1830" spans="5:8" x14ac:dyDescent="0.25">
      <c r="E1830" t="str">
        <f>""</f>
        <v/>
      </c>
      <c r="F1830" t="str">
        <f>""</f>
        <v/>
      </c>
      <c r="H1830" t="str">
        <f t="shared" si="21"/>
        <v>GUARDIAN</v>
      </c>
    </row>
    <row r="1831" spans="5:8" x14ac:dyDescent="0.25">
      <c r="E1831" t="str">
        <f>""</f>
        <v/>
      </c>
      <c r="F1831" t="str">
        <f>""</f>
        <v/>
      </c>
      <c r="H1831" t="str">
        <f t="shared" si="21"/>
        <v>GUARDIAN</v>
      </c>
    </row>
    <row r="1832" spans="5:8" x14ac:dyDescent="0.25">
      <c r="E1832" t="str">
        <f>""</f>
        <v/>
      </c>
      <c r="F1832" t="str">
        <f>""</f>
        <v/>
      </c>
      <c r="H1832" t="str">
        <f t="shared" si="21"/>
        <v>GUARDIAN</v>
      </c>
    </row>
    <row r="1833" spans="5:8" x14ac:dyDescent="0.25">
      <c r="E1833" t="str">
        <f>""</f>
        <v/>
      </c>
      <c r="F1833" t="str">
        <f>""</f>
        <v/>
      </c>
      <c r="H1833" t="str">
        <f t="shared" si="21"/>
        <v>GUARDIAN</v>
      </c>
    </row>
    <row r="1834" spans="5:8" x14ac:dyDescent="0.25">
      <c r="E1834" t="str">
        <f>""</f>
        <v/>
      </c>
      <c r="F1834" t="str">
        <f>""</f>
        <v/>
      </c>
      <c r="H1834" t="str">
        <f t="shared" si="21"/>
        <v>GUARDIAN</v>
      </c>
    </row>
    <row r="1835" spans="5:8" x14ac:dyDescent="0.25">
      <c r="E1835" t="str">
        <f>""</f>
        <v/>
      </c>
      <c r="F1835" t="str">
        <f>""</f>
        <v/>
      </c>
      <c r="H1835" t="str">
        <f t="shared" si="21"/>
        <v>GUARDIAN</v>
      </c>
    </row>
    <row r="1836" spans="5:8" x14ac:dyDescent="0.25">
      <c r="E1836" t="str">
        <f>""</f>
        <v/>
      </c>
      <c r="F1836" t="str">
        <f>""</f>
        <v/>
      </c>
      <c r="H1836" t="str">
        <f t="shared" si="21"/>
        <v>GUARDIAN</v>
      </c>
    </row>
    <row r="1837" spans="5:8" x14ac:dyDescent="0.25">
      <c r="E1837" t="str">
        <f>""</f>
        <v/>
      </c>
      <c r="F1837" t="str">
        <f>""</f>
        <v/>
      </c>
      <c r="H1837" t="str">
        <f t="shared" si="21"/>
        <v>GUARDIAN</v>
      </c>
    </row>
    <row r="1838" spans="5:8" x14ac:dyDescent="0.25">
      <c r="E1838" t="str">
        <f>""</f>
        <v/>
      </c>
      <c r="F1838" t="str">
        <f>""</f>
        <v/>
      </c>
      <c r="H1838" t="str">
        <f t="shared" si="21"/>
        <v>GUARDIAN</v>
      </c>
    </row>
    <row r="1839" spans="5:8" x14ac:dyDescent="0.25">
      <c r="E1839" t="str">
        <f>""</f>
        <v/>
      </c>
      <c r="F1839" t="str">
        <f>""</f>
        <v/>
      </c>
      <c r="H1839" t="str">
        <f t="shared" si="21"/>
        <v>GUARDIAN</v>
      </c>
    </row>
    <row r="1840" spans="5:8" x14ac:dyDescent="0.25">
      <c r="E1840" t="str">
        <f>""</f>
        <v/>
      </c>
      <c r="F1840" t="str">
        <f>""</f>
        <v/>
      </c>
      <c r="H1840" t="str">
        <f t="shared" si="21"/>
        <v>GUARDIAN</v>
      </c>
    </row>
    <row r="1841" spans="5:8" x14ac:dyDescent="0.25">
      <c r="E1841" t="str">
        <f>""</f>
        <v/>
      </c>
      <c r="F1841" t="str">
        <f>""</f>
        <v/>
      </c>
      <c r="H1841" t="str">
        <f t="shared" si="21"/>
        <v>GUARDIAN</v>
      </c>
    </row>
    <row r="1842" spans="5:8" x14ac:dyDescent="0.25">
      <c r="E1842" t="str">
        <f>""</f>
        <v/>
      </c>
      <c r="F1842" t="str">
        <f>""</f>
        <v/>
      </c>
      <c r="H1842" t="str">
        <f t="shared" si="21"/>
        <v>GUARDIAN</v>
      </c>
    </row>
    <row r="1843" spans="5:8" x14ac:dyDescent="0.25">
      <c r="E1843" t="str">
        <f>""</f>
        <v/>
      </c>
      <c r="F1843" t="str">
        <f>""</f>
        <v/>
      </c>
      <c r="H1843" t="str">
        <f t="shared" si="21"/>
        <v>GUARDIAN</v>
      </c>
    </row>
    <row r="1844" spans="5:8" x14ac:dyDescent="0.25">
      <c r="E1844" t="str">
        <f>""</f>
        <v/>
      </c>
      <c r="F1844" t="str">
        <f>""</f>
        <v/>
      </c>
      <c r="H1844" t="str">
        <f t="shared" si="21"/>
        <v>GUARDIAN</v>
      </c>
    </row>
    <row r="1845" spans="5:8" x14ac:dyDescent="0.25">
      <c r="E1845" t="str">
        <f>""</f>
        <v/>
      </c>
      <c r="F1845" t="str">
        <f>""</f>
        <v/>
      </c>
      <c r="H1845" t="str">
        <f t="shared" si="21"/>
        <v>GUARDIAN</v>
      </c>
    </row>
    <row r="1846" spans="5:8" x14ac:dyDescent="0.25">
      <c r="E1846" t="str">
        <f>""</f>
        <v/>
      </c>
      <c r="F1846" t="str">
        <f>""</f>
        <v/>
      </c>
      <c r="H1846" t="str">
        <f t="shared" ref="H1846:H1909" si="22">"GUARDIAN"</f>
        <v>GUARDIAN</v>
      </c>
    </row>
    <row r="1847" spans="5:8" x14ac:dyDescent="0.25">
      <c r="E1847" t="str">
        <f>""</f>
        <v/>
      </c>
      <c r="F1847" t="str">
        <f>""</f>
        <v/>
      </c>
      <c r="H1847" t="str">
        <f t="shared" si="22"/>
        <v>GUARDIAN</v>
      </c>
    </row>
    <row r="1848" spans="5:8" x14ac:dyDescent="0.25">
      <c r="E1848" t="str">
        <f>""</f>
        <v/>
      </c>
      <c r="F1848" t="str">
        <f>""</f>
        <v/>
      </c>
      <c r="H1848" t="str">
        <f t="shared" si="22"/>
        <v>GUARDIAN</v>
      </c>
    </row>
    <row r="1849" spans="5:8" x14ac:dyDescent="0.25">
      <c r="E1849" t="str">
        <f>""</f>
        <v/>
      </c>
      <c r="F1849" t="str">
        <f>""</f>
        <v/>
      </c>
      <c r="H1849" t="str">
        <f t="shared" si="22"/>
        <v>GUARDIAN</v>
      </c>
    </row>
    <row r="1850" spans="5:8" x14ac:dyDescent="0.25">
      <c r="E1850" t="str">
        <f>""</f>
        <v/>
      </c>
      <c r="F1850" t="str">
        <f>""</f>
        <v/>
      </c>
      <c r="H1850" t="str">
        <f t="shared" si="22"/>
        <v>GUARDIAN</v>
      </c>
    </row>
    <row r="1851" spans="5:8" x14ac:dyDescent="0.25">
      <c r="E1851" t="str">
        <f>""</f>
        <v/>
      </c>
      <c r="F1851" t="str">
        <f>""</f>
        <v/>
      </c>
      <c r="H1851" t="str">
        <f t="shared" si="22"/>
        <v>GUARDIAN</v>
      </c>
    </row>
    <row r="1852" spans="5:8" x14ac:dyDescent="0.25">
      <c r="E1852" t="str">
        <f>""</f>
        <v/>
      </c>
      <c r="F1852" t="str">
        <f>""</f>
        <v/>
      </c>
      <c r="H1852" t="str">
        <f t="shared" si="22"/>
        <v>GUARDIAN</v>
      </c>
    </row>
    <row r="1853" spans="5:8" x14ac:dyDescent="0.25">
      <c r="E1853" t="str">
        <f>""</f>
        <v/>
      </c>
      <c r="F1853" t="str">
        <f>""</f>
        <v/>
      </c>
      <c r="H1853" t="str">
        <f t="shared" si="22"/>
        <v>GUARDIAN</v>
      </c>
    </row>
    <row r="1854" spans="5:8" x14ac:dyDescent="0.25">
      <c r="E1854" t="str">
        <f>""</f>
        <v/>
      </c>
      <c r="F1854" t="str">
        <f>""</f>
        <v/>
      </c>
      <c r="H1854" t="str">
        <f t="shared" si="22"/>
        <v>GUARDIAN</v>
      </c>
    </row>
    <row r="1855" spans="5:8" x14ac:dyDescent="0.25">
      <c r="E1855" t="str">
        <f>""</f>
        <v/>
      </c>
      <c r="F1855" t="str">
        <f>""</f>
        <v/>
      </c>
      <c r="H1855" t="str">
        <f t="shared" si="22"/>
        <v>GUARDIAN</v>
      </c>
    </row>
    <row r="1856" spans="5:8" x14ac:dyDescent="0.25">
      <c r="E1856" t="str">
        <f>""</f>
        <v/>
      </c>
      <c r="F1856" t="str">
        <f>""</f>
        <v/>
      </c>
      <c r="H1856" t="str">
        <f t="shared" si="22"/>
        <v>GUARDIAN</v>
      </c>
    </row>
    <row r="1857" spans="5:8" x14ac:dyDescent="0.25">
      <c r="E1857" t="str">
        <f>""</f>
        <v/>
      </c>
      <c r="F1857" t="str">
        <f>""</f>
        <v/>
      </c>
      <c r="H1857" t="str">
        <f t="shared" si="22"/>
        <v>GUARDIAN</v>
      </c>
    </row>
    <row r="1858" spans="5:8" x14ac:dyDescent="0.25">
      <c r="E1858" t="str">
        <f>""</f>
        <v/>
      </c>
      <c r="F1858" t="str">
        <f>""</f>
        <v/>
      </c>
      <c r="H1858" t="str">
        <f t="shared" si="22"/>
        <v>GUARDIAN</v>
      </c>
    </row>
    <row r="1859" spans="5:8" x14ac:dyDescent="0.25">
      <c r="E1859" t="str">
        <f>""</f>
        <v/>
      </c>
      <c r="F1859" t="str">
        <f>""</f>
        <v/>
      </c>
      <c r="H1859" t="str">
        <f t="shared" si="22"/>
        <v>GUARDIAN</v>
      </c>
    </row>
    <row r="1860" spans="5:8" x14ac:dyDescent="0.25">
      <c r="E1860" t="str">
        <f>""</f>
        <v/>
      </c>
      <c r="F1860" t="str">
        <f>""</f>
        <v/>
      </c>
      <c r="H1860" t="str">
        <f t="shared" si="22"/>
        <v>GUARDIAN</v>
      </c>
    </row>
    <row r="1861" spans="5:8" x14ac:dyDescent="0.25">
      <c r="E1861" t="str">
        <f>"GDC201810174607"</f>
        <v>GDC201810174607</v>
      </c>
      <c r="F1861" t="str">
        <f>"GUARDIAN"</f>
        <v>GUARDIAN</v>
      </c>
      <c r="G1861" s="3">
        <v>135.84</v>
      </c>
      <c r="H1861" t="str">
        <f t="shared" si="22"/>
        <v>GUARDIAN</v>
      </c>
    </row>
    <row r="1862" spans="5:8" x14ac:dyDescent="0.25">
      <c r="E1862" t="str">
        <f>""</f>
        <v/>
      </c>
      <c r="F1862" t="str">
        <f>""</f>
        <v/>
      </c>
      <c r="H1862" t="str">
        <f t="shared" si="22"/>
        <v>GUARDIAN</v>
      </c>
    </row>
    <row r="1863" spans="5:8" x14ac:dyDescent="0.25">
      <c r="E1863" t="str">
        <f>"GDE201810034225"</f>
        <v>GDE201810034225</v>
      </c>
      <c r="F1863" t="str">
        <f>"GUARDIAN"</f>
        <v>GUARDIAN</v>
      </c>
      <c r="G1863" s="3">
        <v>4001.4</v>
      </c>
      <c r="H1863" t="str">
        <f t="shared" si="22"/>
        <v>GUARDIAN</v>
      </c>
    </row>
    <row r="1864" spans="5:8" x14ac:dyDescent="0.25">
      <c r="E1864" t="str">
        <f>""</f>
        <v/>
      </c>
      <c r="F1864" t="str">
        <f>""</f>
        <v/>
      </c>
      <c r="H1864" t="str">
        <f t="shared" si="22"/>
        <v>GUARDIAN</v>
      </c>
    </row>
    <row r="1865" spans="5:8" x14ac:dyDescent="0.25">
      <c r="E1865" t="str">
        <f>""</f>
        <v/>
      </c>
      <c r="F1865" t="str">
        <f>""</f>
        <v/>
      </c>
      <c r="H1865" t="str">
        <f t="shared" si="22"/>
        <v>GUARDIAN</v>
      </c>
    </row>
    <row r="1866" spans="5:8" x14ac:dyDescent="0.25">
      <c r="E1866" t="str">
        <f>""</f>
        <v/>
      </c>
      <c r="F1866" t="str">
        <f>""</f>
        <v/>
      </c>
      <c r="H1866" t="str">
        <f t="shared" si="22"/>
        <v>GUARDIAN</v>
      </c>
    </row>
    <row r="1867" spans="5:8" x14ac:dyDescent="0.25">
      <c r="E1867" t="str">
        <f>""</f>
        <v/>
      </c>
      <c r="F1867" t="str">
        <f>""</f>
        <v/>
      </c>
      <c r="H1867" t="str">
        <f t="shared" si="22"/>
        <v>GUARDIAN</v>
      </c>
    </row>
    <row r="1868" spans="5:8" x14ac:dyDescent="0.25">
      <c r="E1868" t="str">
        <f>""</f>
        <v/>
      </c>
      <c r="F1868" t="str">
        <f>""</f>
        <v/>
      </c>
      <c r="H1868" t="str">
        <f t="shared" si="22"/>
        <v>GUARDIAN</v>
      </c>
    </row>
    <row r="1869" spans="5:8" x14ac:dyDescent="0.25">
      <c r="E1869" t="str">
        <f>""</f>
        <v/>
      </c>
      <c r="F1869" t="str">
        <f>""</f>
        <v/>
      </c>
      <c r="H1869" t="str">
        <f t="shared" si="22"/>
        <v>GUARDIAN</v>
      </c>
    </row>
    <row r="1870" spans="5:8" x14ac:dyDescent="0.25">
      <c r="E1870" t="str">
        <f>""</f>
        <v/>
      </c>
      <c r="F1870" t="str">
        <f>""</f>
        <v/>
      </c>
      <c r="H1870" t="str">
        <f t="shared" si="22"/>
        <v>GUARDIAN</v>
      </c>
    </row>
    <row r="1871" spans="5:8" x14ac:dyDescent="0.25">
      <c r="E1871" t="str">
        <f>""</f>
        <v/>
      </c>
      <c r="F1871" t="str">
        <f>""</f>
        <v/>
      </c>
      <c r="H1871" t="str">
        <f t="shared" si="22"/>
        <v>GUARDIAN</v>
      </c>
    </row>
    <row r="1872" spans="5:8" x14ac:dyDescent="0.25">
      <c r="E1872" t="str">
        <f>""</f>
        <v/>
      </c>
      <c r="F1872" t="str">
        <f>""</f>
        <v/>
      </c>
      <c r="H1872" t="str">
        <f t="shared" si="22"/>
        <v>GUARDIAN</v>
      </c>
    </row>
    <row r="1873" spans="5:8" x14ac:dyDescent="0.25">
      <c r="E1873" t="str">
        <f>""</f>
        <v/>
      </c>
      <c r="F1873" t="str">
        <f>""</f>
        <v/>
      </c>
      <c r="H1873" t="str">
        <f t="shared" si="22"/>
        <v>GUARDIAN</v>
      </c>
    </row>
    <row r="1874" spans="5:8" x14ac:dyDescent="0.25">
      <c r="E1874" t="str">
        <f>""</f>
        <v/>
      </c>
      <c r="F1874" t="str">
        <f>""</f>
        <v/>
      </c>
      <c r="H1874" t="str">
        <f t="shared" si="22"/>
        <v>GUARDIAN</v>
      </c>
    </row>
    <row r="1875" spans="5:8" x14ac:dyDescent="0.25">
      <c r="E1875" t="str">
        <f>""</f>
        <v/>
      </c>
      <c r="F1875" t="str">
        <f>""</f>
        <v/>
      </c>
      <c r="H1875" t="str">
        <f t="shared" si="22"/>
        <v>GUARDIAN</v>
      </c>
    </row>
    <row r="1876" spans="5:8" x14ac:dyDescent="0.25">
      <c r="E1876" t="str">
        <f>""</f>
        <v/>
      </c>
      <c r="F1876" t="str">
        <f>""</f>
        <v/>
      </c>
      <c r="H1876" t="str">
        <f t="shared" si="22"/>
        <v>GUARDIAN</v>
      </c>
    </row>
    <row r="1877" spans="5:8" x14ac:dyDescent="0.25">
      <c r="E1877" t="str">
        <f>""</f>
        <v/>
      </c>
      <c r="F1877" t="str">
        <f>""</f>
        <v/>
      </c>
      <c r="H1877" t="str">
        <f t="shared" si="22"/>
        <v>GUARDIAN</v>
      </c>
    </row>
    <row r="1878" spans="5:8" x14ac:dyDescent="0.25">
      <c r="E1878" t="str">
        <f>""</f>
        <v/>
      </c>
      <c r="F1878" t="str">
        <f>""</f>
        <v/>
      </c>
      <c r="H1878" t="str">
        <f t="shared" si="22"/>
        <v>GUARDIAN</v>
      </c>
    </row>
    <row r="1879" spans="5:8" x14ac:dyDescent="0.25">
      <c r="E1879" t="str">
        <f>""</f>
        <v/>
      </c>
      <c r="F1879" t="str">
        <f>""</f>
        <v/>
      </c>
      <c r="H1879" t="str">
        <f t="shared" si="22"/>
        <v>GUARDIAN</v>
      </c>
    </row>
    <row r="1880" spans="5:8" x14ac:dyDescent="0.25">
      <c r="E1880" t="str">
        <f>""</f>
        <v/>
      </c>
      <c r="F1880" t="str">
        <f>""</f>
        <v/>
      </c>
      <c r="H1880" t="str">
        <f t="shared" si="22"/>
        <v>GUARDIAN</v>
      </c>
    </row>
    <row r="1881" spans="5:8" x14ac:dyDescent="0.25">
      <c r="E1881" t="str">
        <f>""</f>
        <v/>
      </c>
      <c r="F1881" t="str">
        <f>""</f>
        <v/>
      </c>
      <c r="H1881" t="str">
        <f t="shared" si="22"/>
        <v>GUARDIAN</v>
      </c>
    </row>
    <row r="1882" spans="5:8" x14ac:dyDescent="0.25">
      <c r="E1882" t="str">
        <f>""</f>
        <v/>
      </c>
      <c r="F1882" t="str">
        <f>""</f>
        <v/>
      </c>
      <c r="H1882" t="str">
        <f t="shared" si="22"/>
        <v>GUARDIAN</v>
      </c>
    </row>
    <row r="1883" spans="5:8" x14ac:dyDescent="0.25">
      <c r="E1883" t="str">
        <f>""</f>
        <v/>
      </c>
      <c r="F1883" t="str">
        <f>""</f>
        <v/>
      </c>
      <c r="H1883" t="str">
        <f t="shared" si="22"/>
        <v>GUARDIAN</v>
      </c>
    </row>
    <row r="1884" spans="5:8" x14ac:dyDescent="0.25">
      <c r="E1884" t="str">
        <f>""</f>
        <v/>
      </c>
      <c r="F1884" t="str">
        <f>""</f>
        <v/>
      </c>
      <c r="H1884" t="str">
        <f t="shared" si="22"/>
        <v>GUARDIAN</v>
      </c>
    </row>
    <row r="1885" spans="5:8" x14ac:dyDescent="0.25">
      <c r="E1885" t="str">
        <f>""</f>
        <v/>
      </c>
      <c r="F1885" t="str">
        <f>""</f>
        <v/>
      </c>
      <c r="H1885" t="str">
        <f t="shared" si="22"/>
        <v>GUARDIAN</v>
      </c>
    </row>
    <row r="1886" spans="5:8" x14ac:dyDescent="0.25">
      <c r="E1886" t="str">
        <f>""</f>
        <v/>
      </c>
      <c r="F1886" t="str">
        <f>""</f>
        <v/>
      </c>
      <c r="H1886" t="str">
        <f t="shared" si="22"/>
        <v>GUARDIAN</v>
      </c>
    </row>
    <row r="1887" spans="5:8" x14ac:dyDescent="0.25">
      <c r="E1887" t="str">
        <f>""</f>
        <v/>
      </c>
      <c r="F1887" t="str">
        <f>""</f>
        <v/>
      </c>
      <c r="H1887" t="str">
        <f t="shared" si="22"/>
        <v>GUARDIAN</v>
      </c>
    </row>
    <row r="1888" spans="5:8" x14ac:dyDescent="0.25">
      <c r="E1888" t="str">
        <f>""</f>
        <v/>
      </c>
      <c r="F1888" t="str">
        <f>""</f>
        <v/>
      </c>
      <c r="H1888" t="str">
        <f t="shared" si="22"/>
        <v>GUARDIAN</v>
      </c>
    </row>
    <row r="1889" spans="5:8" x14ac:dyDescent="0.25">
      <c r="E1889" t="str">
        <f>""</f>
        <v/>
      </c>
      <c r="F1889" t="str">
        <f>""</f>
        <v/>
      </c>
      <c r="H1889" t="str">
        <f t="shared" si="22"/>
        <v>GUARDIAN</v>
      </c>
    </row>
    <row r="1890" spans="5:8" x14ac:dyDescent="0.25">
      <c r="E1890" t="str">
        <f>""</f>
        <v/>
      </c>
      <c r="F1890" t="str">
        <f>""</f>
        <v/>
      </c>
      <c r="H1890" t="str">
        <f t="shared" si="22"/>
        <v>GUARDIAN</v>
      </c>
    </row>
    <row r="1891" spans="5:8" x14ac:dyDescent="0.25">
      <c r="E1891" t="str">
        <f>""</f>
        <v/>
      </c>
      <c r="F1891" t="str">
        <f>""</f>
        <v/>
      </c>
      <c r="H1891" t="str">
        <f t="shared" si="22"/>
        <v>GUARDIAN</v>
      </c>
    </row>
    <row r="1892" spans="5:8" x14ac:dyDescent="0.25">
      <c r="E1892" t="str">
        <f>""</f>
        <v/>
      </c>
      <c r="F1892" t="str">
        <f>""</f>
        <v/>
      </c>
      <c r="H1892" t="str">
        <f t="shared" si="22"/>
        <v>GUARDIAN</v>
      </c>
    </row>
    <row r="1893" spans="5:8" x14ac:dyDescent="0.25">
      <c r="E1893" t="str">
        <f>""</f>
        <v/>
      </c>
      <c r="F1893" t="str">
        <f>""</f>
        <v/>
      </c>
      <c r="H1893" t="str">
        <f t="shared" si="22"/>
        <v>GUARDIAN</v>
      </c>
    </row>
    <row r="1894" spans="5:8" x14ac:dyDescent="0.25">
      <c r="E1894" t="str">
        <f>""</f>
        <v/>
      </c>
      <c r="F1894" t="str">
        <f>""</f>
        <v/>
      </c>
      <c r="H1894" t="str">
        <f t="shared" si="22"/>
        <v>GUARDIAN</v>
      </c>
    </row>
    <row r="1895" spans="5:8" x14ac:dyDescent="0.25">
      <c r="E1895" t="str">
        <f>""</f>
        <v/>
      </c>
      <c r="F1895" t="str">
        <f>""</f>
        <v/>
      </c>
      <c r="H1895" t="str">
        <f t="shared" si="22"/>
        <v>GUARDIAN</v>
      </c>
    </row>
    <row r="1896" spans="5:8" x14ac:dyDescent="0.25">
      <c r="E1896" t="str">
        <f>""</f>
        <v/>
      </c>
      <c r="F1896" t="str">
        <f>""</f>
        <v/>
      </c>
      <c r="H1896" t="str">
        <f t="shared" si="22"/>
        <v>GUARDIAN</v>
      </c>
    </row>
    <row r="1897" spans="5:8" x14ac:dyDescent="0.25">
      <c r="E1897" t="str">
        <f>""</f>
        <v/>
      </c>
      <c r="F1897" t="str">
        <f>""</f>
        <v/>
      </c>
      <c r="H1897" t="str">
        <f t="shared" si="22"/>
        <v>GUARDIAN</v>
      </c>
    </row>
    <row r="1898" spans="5:8" x14ac:dyDescent="0.25">
      <c r="E1898" t="str">
        <f>""</f>
        <v/>
      </c>
      <c r="F1898" t="str">
        <f>""</f>
        <v/>
      </c>
      <c r="H1898" t="str">
        <f t="shared" si="22"/>
        <v>GUARDIAN</v>
      </c>
    </row>
    <row r="1899" spans="5:8" x14ac:dyDescent="0.25">
      <c r="E1899" t="str">
        <f>""</f>
        <v/>
      </c>
      <c r="F1899" t="str">
        <f>""</f>
        <v/>
      </c>
      <c r="H1899" t="str">
        <f t="shared" si="22"/>
        <v>GUARDIAN</v>
      </c>
    </row>
    <row r="1900" spans="5:8" x14ac:dyDescent="0.25">
      <c r="E1900" t="str">
        <f>""</f>
        <v/>
      </c>
      <c r="F1900" t="str">
        <f>""</f>
        <v/>
      </c>
      <c r="H1900" t="str">
        <f t="shared" si="22"/>
        <v>GUARDIAN</v>
      </c>
    </row>
    <row r="1901" spans="5:8" x14ac:dyDescent="0.25">
      <c r="E1901" t="str">
        <f>""</f>
        <v/>
      </c>
      <c r="F1901" t="str">
        <f>""</f>
        <v/>
      </c>
      <c r="H1901" t="str">
        <f t="shared" si="22"/>
        <v>GUARDIAN</v>
      </c>
    </row>
    <row r="1902" spans="5:8" x14ac:dyDescent="0.25">
      <c r="E1902" t="str">
        <f>""</f>
        <v/>
      </c>
      <c r="F1902" t="str">
        <f>""</f>
        <v/>
      </c>
      <c r="H1902" t="str">
        <f t="shared" si="22"/>
        <v>GUARDIAN</v>
      </c>
    </row>
    <row r="1903" spans="5:8" x14ac:dyDescent="0.25">
      <c r="E1903" t="str">
        <f>""</f>
        <v/>
      </c>
      <c r="F1903" t="str">
        <f>""</f>
        <v/>
      </c>
      <c r="H1903" t="str">
        <f t="shared" si="22"/>
        <v>GUARDIAN</v>
      </c>
    </row>
    <row r="1904" spans="5:8" x14ac:dyDescent="0.25">
      <c r="E1904" t="str">
        <f>""</f>
        <v/>
      </c>
      <c r="F1904" t="str">
        <f>""</f>
        <v/>
      </c>
      <c r="H1904" t="str">
        <f t="shared" si="22"/>
        <v>GUARDIAN</v>
      </c>
    </row>
    <row r="1905" spans="5:8" x14ac:dyDescent="0.25">
      <c r="E1905" t="str">
        <f>"GDE201810034226"</f>
        <v>GDE201810034226</v>
      </c>
      <c r="F1905" t="str">
        <f>"GUARDIAN"</f>
        <v>GUARDIAN</v>
      </c>
      <c r="G1905" s="3">
        <v>169.29</v>
      </c>
      <c r="H1905" t="str">
        <f t="shared" si="22"/>
        <v>GUARDIAN</v>
      </c>
    </row>
    <row r="1906" spans="5:8" x14ac:dyDescent="0.25">
      <c r="E1906" t="str">
        <f>"GDE201810174606"</f>
        <v>GDE201810174606</v>
      </c>
      <c r="F1906" t="str">
        <f>"GUARDIAN"</f>
        <v>GUARDIAN</v>
      </c>
      <c r="G1906" s="3">
        <v>4062.96</v>
      </c>
      <c r="H1906" t="str">
        <f t="shared" si="22"/>
        <v>GUARDIAN</v>
      </c>
    </row>
    <row r="1907" spans="5:8" x14ac:dyDescent="0.25">
      <c r="E1907" t="str">
        <f>""</f>
        <v/>
      </c>
      <c r="F1907" t="str">
        <f>""</f>
        <v/>
      </c>
      <c r="H1907" t="str">
        <f t="shared" si="22"/>
        <v>GUARDIAN</v>
      </c>
    </row>
    <row r="1908" spans="5:8" x14ac:dyDescent="0.25">
      <c r="E1908" t="str">
        <f>""</f>
        <v/>
      </c>
      <c r="F1908" t="str">
        <f>""</f>
        <v/>
      </c>
      <c r="H1908" t="str">
        <f t="shared" si="22"/>
        <v>GUARDIAN</v>
      </c>
    </row>
    <row r="1909" spans="5:8" x14ac:dyDescent="0.25">
      <c r="E1909" t="str">
        <f>""</f>
        <v/>
      </c>
      <c r="F1909" t="str">
        <f>""</f>
        <v/>
      </c>
      <c r="H1909" t="str">
        <f t="shared" si="22"/>
        <v>GUARDIAN</v>
      </c>
    </row>
    <row r="1910" spans="5:8" x14ac:dyDescent="0.25">
      <c r="E1910" t="str">
        <f>""</f>
        <v/>
      </c>
      <c r="F1910" t="str">
        <f>""</f>
        <v/>
      </c>
      <c r="H1910" t="str">
        <f t="shared" ref="H1910:H1973" si="23">"GUARDIAN"</f>
        <v>GUARDIAN</v>
      </c>
    </row>
    <row r="1911" spans="5:8" x14ac:dyDescent="0.25">
      <c r="E1911" t="str">
        <f>""</f>
        <v/>
      </c>
      <c r="F1911" t="str">
        <f>""</f>
        <v/>
      </c>
      <c r="H1911" t="str">
        <f t="shared" si="23"/>
        <v>GUARDIAN</v>
      </c>
    </row>
    <row r="1912" spans="5:8" x14ac:dyDescent="0.25">
      <c r="E1912" t="str">
        <f>""</f>
        <v/>
      </c>
      <c r="F1912" t="str">
        <f>""</f>
        <v/>
      </c>
      <c r="H1912" t="str">
        <f t="shared" si="23"/>
        <v>GUARDIAN</v>
      </c>
    </row>
    <row r="1913" spans="5:8" x14ac:dyDescent="0.25">
      <c r="E1913" t="str">
        <f>""</f>
        <v/>
      </c>
      <c r="F1913" t="str">
        <f>""</f>
        <v/>
      </c>
      <c r="H1913" t="str">
        <f t="shared" si="23"/>
        <v>GUARDIAN</v>
      </c>
    </row>
    <row r="1914" spans="5:8" x14ac:dyDescent="0.25">
      <c r="E1914" t="str">
        <f>""</f>
        <v/>
      </c>
      <c r="F1914" t="str">
        <f>""</f>
        <v/>
      </c>
      <c r="H1914" t="str">
        <f t="shared" si="23"/>
        <v>GUARDIAN</v>
      </c>
    </row>
    <row r="1915" spans="5:8" x14ac:dyDescent="0.25">
      <c r="E1915" t="str">
        <f>""</f>
        <v/>
      </c>
      <c r="F1915" t="str">
        <f>""</f>
        <v/>
      </c>
      <c r="H1915" t="str">
        <f t="shared" si="23"/>
        <v>GUARDIAN</v>
      </c>
    </row>
    <row r="1916" spans="5:8" x14ac:dyDescent="0.25">
      <c r="E1916" t="str">
        <f>""</f>
        <v/>
      </c>
      <c r="F1916" t="str">
        <f>""</f>
        <v/>
      </c>
      <c r="H1916" t="str">
        <f t="shared" si="23"/>
        <v>GUARDIAN</v>
      </c>
    </row>
    <row r="1917" spans="5:8" x14ac:dyDescent="0.25">
      <c r="E1917" t="str">
        <f>""</f>
        <v/>
      </c>
      <c r="F1917" t="str">
        <f>""</f>
        <v/>
      </c>
      <c r="H1917" t="str">
        <f t="shared" si="23"/>
        <v>GUARDIAN</v>
      </c>
    </row>
    <row r="1918" spans="5:8" x14ac:dyDescent="0.25">
      <c r="E1918" t="str">
        <f>""</f>
        <v/>
      </c>
      <c r="F1918" t="str">
        <f>""</f>
        <v/>
      </c>
      <c r="H1918" t="str">
        <f t="shared" si="23"/>
        <v>GUARDIAN</v>
      </c>
    </row>
    <row r="1919" spans="5:8" x14ac:dyDescent="0.25">
      <c r="E1919" t="str">
        <f>""</f>
        <v/>
      </c>
      <c r="F1919" t="str">
        <f>""</f>
        <v/>
      </c>
      <c r="H1919" t="str">
        <f t="shared" si="23"/>
        <v>GUARDIAN</v>
      </c>
    </row>
    <row r="1920" spans="5:8" x14ac:dyDescent="0.25">
      <c r="E1920" t="str">
        <f>""</f>
        <v/>
      </c>
      <c r="F1920" t="str">
        <f>""</f>
        <v/>
      </c>
      <c r="H1920" t="str">
        <f t="shared" si="23"/>
        <v>GUARDIAN</v>
      </c>
    </row>
    <row r="1921" spans="5:8" x14ac:dyDescent="0.25">
      <c r="E1921" t="str">
        <f>""</f>
        <v/>
      </c>
      <c r="F1921" t="str">
        <f>""</f>
        <v/>
      </c>
      <c r="H1921" t="str">
        <f t="shared" si="23"/>
        <v>GUARDIAN</v>
      </c>
    </row>
    <row r="1922" spans="5:8" x14ac:dyDescent="0.25">
      <c r="E1922" t="str">
        <f>""</f>
        <v/>
      </c>
      <c r="F1922" t="str">
        <f>""</f>
        <v/>
      </c>
      <c r="H1922" t="str">
        <f t="shared" si="23"/>
        <v>GUARDIAN</v>
      </c>
    </row>
    <row r="1923" spans="5:8" x14ac:dyDescent="0.25">
      <c r="E1923" t="str">
        <f>""</f>
        <v/>
      </c>
      <c r="F1923" t="str">
        <f>""</f>
        <v/>
      </c>
      <c r="H1923" t="str">
        <f t="shared" si="23"/>
        <v>GUARDIAN</v>
      </c>
    </row>
    <row r="1924" spans="5:8" x14ac:dyDescent="0.25">
      <c r="E1924" t="str">
        <f>""</f>
        <v/>
      </c>
      <c r="F1924" t="str">
        <f>""</f>
        <v/>
      </c>
      <c r="H1924" t="str">
        <f t="shared" si="23"/>
        <v>GUARDIAN</v>
      </c>
    </row>
    <row r="1925" spans="5:8" x14ac:dyDescent="0.25">
      <c r="E1925" t="str">
        <f>""</f>
        <v/>
      </c>
      <c r="F1925" t="str">
        <f>""</f>
        <v/>
      </c>
      <c r="H1925" t="str">
        <f t="shared" si="23"/>
        <v>GUARDIAN</v>
      </c>
    </row>
    <row r="1926" spans="5:8" x14ac:dyDescent="0.25">
      <c r="E1926" t="str">
        <f>""</f>
        <v/>
      </c>
      <c r="F1926" t="str">
        <f>""</f>
        <v/>
      </c>
      <c r="H1926" t="str">
        <f t="shared" si="23"/>
        <v>GUARDIAN</v>
      </c>
    </row>
    <row r="1927" spans="5:8" x14ac:dyDescent="0.25">
      <c r="E1927" t="str">
        <f>""</f>
        <v/>
      </c>
      <c r="F1927" t="str">
        <f>""</f>
        <v/>
      </c>
      <c r="H1927" t="str">
        <f t="shared" si="23"/>
        <v>GUARDIAN</v>
      </c>
    </row>
    <row r="1928" spans="5:8" x14ac:dyDescent="0.25">
      <c r="E1928" t="str">
        <f>""</f>
        <v/>
      </c>
      <c r="F1928" t="str">
        <f>""</f>
        <v/>
      </c>
      <c r="H1928" t="str">
        <f t="shared" si="23"/>
        <v>GUARDIAN</v>
      </c>
    </row>
    <row r="1929" spans="5:8" x14ac:dyDescent="0.25">
      <c r="E1929" t="str">
        <f>""</f>
        <v/>
      </c>
      <c r="F1929" t="str">
        <f>""</f>
        <v/>
      </c>
      <c r="H1929" t="str">
        <f t="shared" si="23"/>
        <v>GUARDIAN</v>
      </c>
    </row>
    <row r="1930" spans="5:8" x14ac:dyDescent="0.25">
      <c r="E1930" t="str">
        <f>""</f>
        <v/>
      </c>
      <c r="F1930" t="str">
        <f>""</f>
        <v/>
      </c>
      <c r="H1930" t="str">
        <f t="shared" si="23"/>
        <v>GUARDIAN</v>
      </c>
    </row>
    <row r="1931" spans="5:8" x14ac:dyDescent="0.25">
      <c r="E1931" t="str">
        <f>""</f>
        <v/>
      </c>
      <c r="F1931" t="str">
        <f>""</f>
        <v/>
      </c>
      <c r="H1931" t="str">
        <f t="shared" si="23"/>
        <v>GUARDIAN</v>
      </c>
    </row>
    <row r="1932" spans="5:8" x14ac:dyDescent="0.25">
      <c r="E1932" t="str">
        <f>""</f>
        <v/>
      </c>
      <c r="F1932" t="str">
        <f>""</f>
        <v/>
      </c>
      <c r="H1932" t="str">
        <f t="shared" si="23"/>
        <v>GUARDIAN</v>
      </c>
    </row>
    <row r="1933" spans="5:8" x14ac:dyDescent="0.25">
      <c r="E1933" t="str">
        <f>""</f>
        <v/>
      </c>
      <c r="F1933" t="str">
        <f>""</f>
        <v/>
      </c>
      <c r="H1933" t="str">
        <f t="shared" si="23"/>
        <v>GUARDIAN</v>
      </c>
    </row>
    <row r="1934" spans="5:8" x14ac:dyDescent="0.25">
      <c r="E1934" t="str">
        <f>""</f>
        <v/>
      </c>
      <c r="F1934" t="str">
        <f>""</f>
        <v/>
      </c>
      <c r="H1934" t="str">
        <f t="shared" si="23"/>
        <v>GUARDIAN</v>
      </c>
    </row>
    <row r="1935" spans="5:8" x14ac:dyDescent="0.25">
      <c r="E1935" t="str">
        <f>""</f>
        <v/>
      </c>
      <c r="F1935" t="str">
        <f>""</f>
        <v/>
      </c>
      <c r="H1935" t="str">
        <f t="shared" si="23"/>
        <v>GUARDIAN</v>
      </c>
    </row>
    <row r="1936" spans="5:8" x14ac:dyDescent="0.25">
      <c r="E1936" t="str">
        <f>""</f>
        <v/>
      </c>
      <c r="F1936" t="str">
        <f>""</f>
        <v/>
      </c>
      <c r="H1936" t="str">
        <f t="shared" si="23"/>
        <v>GUARDIAN</v>
      </c>
    </row>
    <row r="1937" spans="5:8" x14ac:dyDescent="0.25">
      <c r="E1937" t="str">
        <f>""</f>
        <v/>
      </c>
      <c r="F1937" t="str">
        <f>""</f>
        <v/>
      </c>
      <c r="H1937" t="str">
        <f t="shared" si="23"/>
        <v>GUARDIAN</v>
      </c>
    </row>
    <row r="1938" spans="5:8" x14ac:dyDescent="0.25">
      <c r="E1938" t="str">
        <f>""</f>
        <v/>
      </c>
      <c r="F1938" t="str">
        <f>""</f>
        <v/>
      </c>
      <c r="H1938" t="str">
        <f t="shared" si="23"/>
        <v>GUARDIAN</v>
      </c>
    </row>
    <row r="1939" spans="5:8" x14ac:dyDescent="0.25">
      <c r="E1939" t="str">
        <f>""</f>
        <v/>
      </c>
      <c r="F1939" t="str">
        <f>""</f>
        <v/>
      </c>
      <c r="H1939" t="str">
        <f t="shared" si="23"/>
        <v>GUARDIAN</v>
      </c>
    </row>
    <row r="1940" spans="5:8" x14ac:dyDescent="0.25">
      <c r="E1940" t="str">
        <f>""</f>
        <v/>
      </c>
      <c r="F1940" t="str">
        <f>""</f>
        <v/>
      </c>
      <c r="H1940" t="str">
        <f t="shared" si="23"/>
        <v>GUARDIAN</v>
      </c>
    </row>
    <row r="1941" spans="5:8" x14ac:dyDescent="0.25">
      <c r="E1941" t="str">
        <f>""</f>
        <v/>
      </c>
      <c r="F1941" t="str">
        <f>""</f>
        <v/>
      </c>
      <c r="H1941" t="str">
        <f t="shared" si="23"/>
        <v>GUARDIAN</v>
      </c>
    </row>
    <row r="1942" spans="5:8" x14ac:dyDescent="0.25">
      <c r="E1942" t="str">
        <f>""</f>
        <v/>
      </c>
      <c r="F1942" t="str">
        <f>""</f>
        <v/>
      </c>
      <c r="H1942" t="str">
        <f t="shared" si="23"/>
        <v>GUARDIAN</v>
      </c>
    </row>
    <row r="1943" spans="5:8" x14ac:dyDescent="0.25">
      <c r="E1943" t="str">
        <f>""</f>
        <v/>
      </c>
      <c r="F1943" t="str">
        <f>""</f>
        <v/>
      </c>
      <c r="H1943" t="str">
        <f t="shared" si="23"/>
        <v>GUARDIAN</v>
      </c>
    </row>
    <row r="1944" spans="5:8" x14ac:dyDescent="0.25">
      <c r="E1944" t="str">
        <f>""</f>
        <v/>
      </c>
      <c r="F1944" t="str">
        <f>""</f>
        <v/>
      </c>
      <c r="H1944" t="str">
        <f t="shared" si="23"/>
        <v>GUARDIAN</v>
      </c>
    </row>
    <row r="1945" spans="5:8" x14ac:dyDescent="0.25">
      <c r="E1945" t="str">
        <f>""</f>
        <v/>
      </c>
      <c r="F1945" t="str">
        <f>""</f>
        <v/>
      </c>
      <c r="H1945" t="str">
        <f t="shared" si="23"/>
        <v>GUARDIAN</v>
      </c>
    </row>
    <row r="1946" spans="5:8" x14ac:dyDescent="0.25">
      <c r="E1946" t="str">
        <f>"GDE201810174607"</f>
        <v>GDE201810174607</v>
      </c>
      <c r="F1946" t="str">
        <f>"GUARDIAN"</f>
        <v>GUARDIAN</v>
      </c>
      <c r="G1946" s="3">
        <v>169.29</v>
      </c>
      <c r="H1946" t="str">
        <f t="shared" si="23"/>
        <v>GUARDIAN</v>
      </c>
    </row>
    <row r="1947" spans="5:8" x14ac:dyDescent="0.25">
      <c r="E1947" t="str">
        <f>"GDF201810034225"</f>
        <v>GDF201810034225</v>
      </c>
      <c r="F1947" t="str">
        <f>"GUARDIAN"</f>
        <v>GUARDIAN</v>
      </c>
      <c r="G1947" s="3">
        <v>2410.08</v>
      </c>
      <c r="H1947" t="str">
        <f t="shared" si="23"/>
        <v>GUARDIAN</v>
      </c>
    </row>
    <row r="1948" spans="5:8" x14ac:dyDescent="0.25">
      <c r="E1948" t="str">
        <f>""</f>
        <v/>
      </c>
      <c r="F1948" t="str">
        <f>""</f>
        <v/>
      </c>
      <c r="H1948" t="str">
        <f t="shared" si="23"/>
        <v>GUARDIAN</v>
      </c>
    </row>
    <row r="1949" spans="5:8" x14ac:dyDescent="0.25">
      <c r="E1949" t="str">
        <f>""</f>
        <v/>
      </c>
      <c r="F1949" t="str">
        <f>""</f>
        <v/>
      </c>
      <c r="H1949" t="str">
        <f t="shared" si="23"/>
        <v>GUARDIAN</v>
      </c>
    </row>
    <row r="1950" spans="5:8" x14ac:dyDescent="0.25">
      <c r="E1950" t="str">
        <f>""</f>
        <v/>
      </c>
      <c r="F1950" t="str">
        <f>""</f>
        <v/>
      </c>
      <c r="H1950" t="str">
        <f t="shared" si="23"/>
        <v>GUARDIAN</v>
      </c>
    </row>
    <row r="1951" spans="5:8" x14ac:dyDescent="0.25">
      <c r="E1951" t="str">
        <f>""</f>
        <v/>
      </c>
      <c r="F1951" t="str">
        <f>""</f>
        <v/>
      </c>
      <c r="H1951" t="str">
        <f t="shared" si="23"/>
        <v>GUARDIAN</v>
      </c>
    </row>
    <row r="1952" spans="5:8" x14ac:dyDescent="0.25">
      <c r="E1952" t="str">
        <f>""</f>
        <v/>
      </c>
      <c r="F1952" t="str">
        <f>""</f>
        <v/>
      </c>
      <c r="H1952" t="str">
        <f t="shared" si="23"/>
        <v>GUARDIAN</v>
      </c>
    </row>
    <row r="1953" spans="5:8" x14ac:dyDescent="0.25">
      <c r="E1953" t="str">
        <f>""</f>
        <v/>
      </c>
      <c r="F1953" t="str">
        <f>""</f>
        <v/>
      </c>
      <c r="H1953" t="str">
        <f t="shared" si="23"/>
        <v>GUARDIAN</v>
      </c>
    </row>
    <row r="1954" spans="5:8" x14ac:dyDescent="0.25">
      <c r="E1954" t="str">
        <f>""</f>
        <v/>
      </c>
      <c r="F1954" t="str">
        <f>""</f>
        <v/>
      </c>
      <c r="H1954" t="str">
        <f t="shared" si="23"/>
        <v>GUARDIAN</v>
      </c>
    </row>
    <row r="1955" spans="5:8" x14ac:dyDescent="0.25">
      <c r="E1955" t="str">
        <f>""</f>
        <v/>
      </c>
      <c r="F1955" t="str">
        <f>""</f>
        <v/>
      </c>
      <c r="H1955" t="str">
        <f t="shared" si="23"/>
        <v>GUARDIAN</v>
      </c>
    </row>
    <row r="1956" spans="5:8" x14ac:dyDescent="0.25">
      <c r="E1956" t="str">
        <f>""</f>
        <v/>
      </c>
      <c r="F1956" t="str">
        <f>""</f>
        <v/>
      </c>
      <c r="H1956" t="str">
        <f t="shared" si="23"/>
        <v>GUARDIAN</v>
      </c>
    </row>
    <row r="1957" spans="5:8" x14ac:dyDescent="0.25">
      <c r="E1957" t="str">
        <f>""</f>
        <v/>
      </c>
      <c r="F1957" t="str">
        <f>""</f>
        <v/>
      </c>
      <c r="H1957" t="str">
        <f t="shared" si="23"/>
        <v>GUARDIAN</v>
      </c>
    </row>
    <row r="1958" spans="5:8" x14ac:dyDescent="0.25">
      <c r="E1958" t="str">
        <f>""</f>
        <v/>
      </c>
      <c r="F1958" t="str">
        <f>""</f>
        <v/>
      </c>
      <c r="H1958" t="str">
        <f t="shared" si="23"/>
        <v>GUARDIAN</v>
      </c>
    </row>
    <row r="1959" spans="5:8" x14ac:dyDescent="0.25">
      <c r="E1959" t="str">
        <f>""</f>
        <v/>
      </c>
      <c r="F1959" t="str">
        <f>""</f>
        <v/>
      </c>
      <c r="H1959" t="str">
        <f t="shared" si="23"/>
        <v>GUARDIAN</v>
      </c>
    </row>
    <row r="1960" spans="5:8" x14ac:dyDescent="0.25">
      <c r="E1960" t="str">
        <f>""</f>
        <v/>
      </c>
      <c r="F1960" t="str">
        <f>""</f>
        <v/>
      </c>
      <c r="H1960" t="str">
        <f t="shared" si="23"/>
        <v>GUARDIAN</v>
      </c>
    </row>
    <row r="1961" spans="5:8" x14ac:dyDescent="0.25">
      <c r="E1961" t="str">
        <f>""</f>
        <v/>
      </c>
      <c r="F1961" t="str">
        <f>""</f>
        <v/>
      </c>
      <c r="H1961" t="str">
        <f t="shared" si="23"/>
        <v>GUARDIAN</v>
      </c>
    </row>
    <row r="1962" spans="5:8" x14ac:dyDescent="0.25">
      <c r="E1962" t="str">
        <f>""</f>
        <v/>
      </c>
      <c r="F1962" t="str">
        <f>""</f>
        <v/>
      </c>
      <c r="H1962" t="str">
        <f t="shared" si="23"/>
        <v>GUARDIAN</v>
      </c>
    </row>
    <row r="1963" spans="5:8" x14ac:dyDescent="0.25">
      <c r="E1963" t="str">
        <f>""</f>
        <v/>
      </c>
      <c r="F1963" t="str">
        <f>""</f>
        <v/>
      </c>
      <c r="H1963" t="str">
        <f t="shared" si="23"/>
        <v>GUARDIAN</v>
      </c>
    </row>
    <row r="1964" spans="5:8" x14ac:dyDescent="0.25">
      <c r="E1964" t="str">
        <f>""</f>
        <v/>
      </c>
      <c r="F1964" t="str">
        <f>""</f>
        <v/>
      </c>
      <c r="H1964" t="str">
        <f t="shared" si="23"/>
        <v>GUARDIAN</v>
      </c>
    </row>
    <row r="1965" spans="5:8" x14ac:dyDescent="0.25">
      <c r="E1965" t="str">
        <f>""</f>
        <v/>
      </c>
      <c r="F1965" t="str">
        <f>""</f>
        <v/>
      </c>
      <c r="H1965" t="str">
        <f t="shared" si="23"/>
        <v>GUARDIAN</v>
      </c>
    </row>
    <row r="1966" spans="5:8" x14ac:dyDescent="0.25">
      <c r="E1966" t="str">
        <f>""</f>
        <v/>
      </c>
      <c r="F1966" t="str">
        <f>""</f>
        <v/>
      </c>
      <c r="H1966" t="str">
        <f t="shared" si="23"/>
        <v>GUARDIAN</v>
      </c>
    </row>
    <row r="1967" spans="5:8" x14ac:dyDescent="0.25">
      <c r="E1967" t="str">
        <f>""</f>
        <v/>
      </c>
      <c r="F1967" t="str">
        <f>""</f>
        <v/>
      </c>
      <c r="H1967" t="str">
        <f t="shared" si="23"/>
        <v>GUARDIAN</v>
      </c>
    </row>
    <row r="1968" spans="5:8" x14ac:dyDescent="0.25">
      <c r="E1968" t="str">
        <f>"GDF201810034226"</f>
        <v>GDF201810034226</v>
      </c>
      <c r="F1968" t="str">
        <f>"GUARDIAN"</f>
        <v>GUARDIAN</v>
      </c>
      <c r="G1968" s="3">
        <v>100.42</v>
      </c>
      <c r="H1968" t="str">
        <f t="shared" si="23"/>
        <v>GUARDIAN</v>
      </c>
    </row>
    <row r="1969" spans="5:8" x14ac:dyDescent="0.25">
      <c r="E1969" t="str">
        <f>""</f>
        <v/>
      </c>
      <c r="F1969" t="str">
        <f>""</f>
        <v/>
      </c>
      <c r="H1969" t="str">
        <f t="shared" si="23"/>
        <v>GUARDIAN</v>
      </c>
    </row>
    <row r="1970" spans="5:8" x14ac:dyDescent="0.25">
      <c r="E1970" t="str">
        <f>"GDF201810174606"</f>
        <v>GDF201810174606</v>
      </c>
      <c r="F1970" t="str">
        <f>"GUARDIAN"</f>
        <v>GUARDIAN</v>
      </c>
      <c r="G1970" s="3">
        <v>2410.08</v>
      </c>
      <c r="H1970" t="str">
        <f t="shared" si="23"/>
        <v>GUARDIAN</v>
      </c>
    </row>
    <row r="1971" spans="5:8" x14ac:dyDescent="0.25">
      <c r="E1971" t="str">
        <f>""</f>
        <v/>
      </c>
      <c r="F1971" t="str">
        <f>""</f>
        <v/>
      </c>
      <c r="H1971" t="str">
        <f t="shared" si="23"/>
        <v>GUARDIAN</v>
      </c>
    </row>
    <row r="1972" spans="5:8" x14ac:dyDescent="0.25">
      <c r="E1972" t="str">
        <f>""</f>
        <v/>
      </c>
      <c r="F1972" t="str">
        <f>""</f>
        <v/>
      </c>
      <c r="H1972" t="str">
        <f t="shared" si="23"/>
        <v>GUARDIAN</v>
      </c>
    </row>
    <row r="1973" spans="5:8" x14ac:dyDescent="0.25">
      <c r="E1973" t="str">
        <f>""</f>
        <v/>
      </c>
      <c r="F1973" t="str">
        <f>""</f>
        <v/>
      </c>
      <c r="H1973" t="str">
        <f t="shared" si="23"/>
        <v>GUARDIAN</v>
      </c>
    </row>
    <row r="1974" spans="5:8" x14ac:dyDescent="0.25">
      <c r="E1974" t="str">
        <f>""</f>
        <v/>
      </c>
      <c r="F1974" t="str">
        <f>""</f>
        <v/>
      </c>
      <c r="H1974" t="str">
        <f t="shared" ref="H1974:H2041" si="24">"GUARDIAN"</f>
        <v>GUARDIAN</v>
      </c>
    </row>
    <row r="1975" spans="5:8" x14ac:dyDescent="0.25">
      <c r="E1975" t="str">
        <f>""</f>
        <v/>
      </c>
      <c r="F1975" t="str">
        <f>""</f>
        <v/>
      </c>
      <c r="H1975" t="str">
        <f t="shared" si="24"/>
        <v>GUARDIAN</v>
      </c>
    </row>
    <row r="1976" spans="5:8" x14ac:dyDescent="0.25">
      <c r="E1976" t="str">
        <f>""</f>
        <v/>
      </c>
      <c r="F1976" t="str">
        <f>""</f>
        <v/>
      </c>
      <c r="H1976" t="str">
        <f t="shared" si="24"/>
        <v>GUARDIAN</v>
      </c>
    </row>
    <row r="1977" spans="5:8" x14ac:dyDescent="0.25">
      <c r="E1977" t="str">
        <f>""</f>
        <v/>
      </c>
      <c r="F1977" t="str">
        <f>""</f>
        <v/>
      </c>
      <c r="H1977" t="str">
        <f t="shared" si="24"/>
        <v>GUARDIAN</v>
      </c>
    </row>
    <row r="1978" spans="5:8" x14ac:dyDescent="0.25">
      <c r="E1978" t="str">
        <f>""</f>
        <v/>
      </c>
      <c r="F1978" t="str">
        <f>""</f>
        <v/>
      </c>
      <c r="H1978" t="str">
        <f t="shared" si="24"/>
        <v>GUARDIAN</v>
      </c>
    </row>
    <row r="1979" spans="5:8" x14ac:dyDescent="0.25">
      <c r="E1979" t="str">
        <f>""</f>
        <v/>
      </c>
      <c r="F1979" t="str">
        <f>""</f>
        <v/>
      </c>
      <c r="H1979" t="str">
        <f t="shared" si="24"/>
        <v>GUARDIAN</v>
      </c>
    </row>
    <row r="1980" spans="5:8" x14ac:dyDescent="0.25">
      <c r="E1980" t="str">
        <f>""</f>
        <v/>
      </c>
      <c r="F1980" t="str">
        <f>""</f>
        <v/>
      </c>
      <c r="H1980" t="str">
        <f t="shared" si="24"/>
        <v>GUARDIAN</v>
      </c>
    </row>
    <row r="1981" spans="5:8" x14ac:dyDescent="0.25">
      <c r="E1981" t="str">
        <f>""</f>
        <v/>
      </c>
      <c r="F1981" t="str">
        <f>""</f>
        <v/>
      </c>
      <c r="H1981" t="str">
        <f t="shared" si="24"/>
        <v>GUARDIAN</v>
      </c>
    </row>
    <row r="1982" spans="5:8" x14ac:dyDescent="0.25">
      <c r="E1982" t="str">
        <f>""</f>
        <v/>
      </c>
      <c r="F1982" t="str">
        <f>""</f>
        <v/>
      </c>
      <c r="H1982" t="str">
        <f t="shared" si="24"/>
        <v>GUARDIAN</v>
      </c>
    </row>
    <row r="1983" spans="5:8" x14ac:dyDescent="0.25">
      <c r="E1983" t="str">
        <f>""</f>
        <v/>
      </c>
      <c r="F1983" t="str">
        <f>""</f>
        <v/>
      </c>
      <c r="H1983" t="str">
        <f t="shared" si="24"/>
        <v>GUARDIAN</v>
      </c>
    </row>
    <row r="1984" spans="5:8" x14ac:dyDescent="0.25">
      <c r="E1984" t="str">
        <f>""</f>
        <v/>
      </c>
      <c r="F1984" t="str">
        <f>""</f>
        <v/>
      </c>
      <c r="H1984" t="str">
        <f t="shared" si="24"/>
        <v>GUARDIAN</v>
      </c>
    </row>
    <row r="1985" spans="5:8" x14ac:dyDescent="0.25">
      <c r="E1985" t="str">
        <f>""</f>
        <v/>
      </c>
      <c r="F1985" t="str">
        <f>""</f>
        <v/>
      </c>
      <c r="H1985" t="str">
        <f t="shared" si="24"/>
        <v>GUARDIAN</v>
      </c>
    </row>
    <row r="1986" spans="5:8" x14ac:dyDescent="0.25">
      <c r="E1986" t="str">
        <f>""</f>
        <v/>
      </c>
      <c r="F1986" t="str">
        <f>""</f>
        <v/>
      </c>
      <c r="H1986" t="str">
        <f t="shared" si="24"/>
        <v>GUARDIAN</v>
      </c>
    </row>
    <row r="1987" spans="5:8" x14ac:dyDescent="0.25">
      <c r="E1987" t="str">
        <f>""</f>
        <v/>
      </c>
      <c r="F1987" t="str">
        <f>""</f>
        <v/>
      </c>
      <c r="H1987" t="str">
        <f t="shared" si="24"/>
        <v>GUARDIAN</v>
      </c>
    </row>
    <row r="1988" spans="5:8" x14ac:dyDescent="0.25">
      <c r="E1988" t="str">
        <f>"GDF201810174607"</f>
        <v>GDF201810174607</v>
      </c>
      <c r="F1988" t="str">
        <f>"GUARDIAN"</f>
        <v>GUARDIAN</v>
      </c>
      <c r="G1988" s="3">
        <v>100.42</v>
      </c>
      <c r="H1988" t="str">
        <f t="shared" si="24"/>
        <v>GUARDIAN</v>
      </c>
    </row>
    <row r="1989" spans="5:8" x14ac:dyDescent="0.25">
      <c r="E1989" t="str">
        <f>""</f>
        <v/>
      </c>
      <c r="F1989" t="str">
        <f>""</f>
        <v/>
      </c>
      <c r="H1989" t="str">
        <f t="shared" si="24"/>
        <v>GUARDIAN</v>
      </c>
    </row>
    <row r="1990" spans="5:8" x14ac:dyDescent="0.25">
      <c r="E1990" t="str">
        <f>"GDS201810034225"</f>
        <v>GDS201810034225</v>
      </c>
      <c r="F1990" t="str">
        <f>"GUARDIAN"</f>
        <v>GUARDIAN</v>
      </c>
      <c r="G1990" s="3">
        <v>1830.18</v>
      </c>
      <c r="H1990" t="str">
        <f t="shared" si="24"/>
        <v>GUARDIAN</v>
      </c>
    </row>
    <row r="1991" spans="5:8" x14ac:dyDescent="0.25">
      <c r="E1991" t="str">
        <f>""</f>
        <v/>
      </c>
      <c r="F1991" t="str">
        <f>""</f>
        <v/>
      </c>
      <c r="H1991" t="str">
        <f t="shared" si="24"/>
        <v>GUARDIAN</v>
      </c>
    </row>
    <row r="1992" spans="5:8" x14ac:dyDescent="0.25">
      <c r="E1992" t="str">
        <f>""</f>
        <v/>
      </c>
      <c r="F1992" t="str">
        <f>""</f>
        <v/>
      </c>
      <c r="H1992" t="str">
        <f t="shared" si="24"/>
        <v>GUARDIAN</v>
      </c>
    </row>
    <row r="1993" spans="5:8" x14ac:dyDescent="0.25">
      <c r="E1993" t="str">
        <f>""</f>
        <v/>
      </c>
      <c r="F1993" t="str">
        <f>""</f>
        <v/>
      </c>
      <c r="H1993" t="str">
        <f t="shared" si="24"/>
        <v>GUARDIAN</v>
      </c>
    </row>
    <row r="1994" spans="5:8" x14ac:dyDescent="0.25">
      <c r="E1994" t="str">
        <f>""</f>
        <v/>
      </c>
      <c r="F1994" t="str">
        <f>""</f>
        <v/>
      </c>
      <c r="H1994" t="str">
        <f t="shared" si="24"/>
        <v>GUARDIAN</v>
      </c>
    </row>
    <row r="1995" spans="5:8" x14ac:dyDescent="0.25">
      <c r="E1995" t="str">
        <f>""</f>
        <v/>
      </c>
      <c r="F1995" t="str">
        <f>""</f>
        <v/>
      </c>
      <c r="H1995" t="str">
        <f t="shared" si="24"/>
        <v>GUARDIAN</v>
      </c>
    </row>
    <row r="1996" spans="5:8" x14ac:dyDescent="0.25">
      <c r="E1996" t="str">
        <f>""</f>
        <v/>
      </c>
      <c r="F1996" t="str">
        <f>""</f>
        <v/>
      </c>
      <c r="H1996" t="str">
        <f t="shared" si="24"/>
        <v>GUARDIAN</v>
      </c>
    </row>
    <row r="1997" spans="5:8" x14ac:dyDescent="0.25">
      <c r="E1997" t="str">
        <f>""</f>
        <v/>
      </c>
      <c r="F1997" t="str">
        <f>""</f>
        <v/>
      </c>
      <c r="H1997" t="str">
        <f t="shared" si="24"/>
        <v>GUARDIAN</v>
      </c>
    </row>
    <row r="1998" spans="5:8" x14ac:dyDescent="0.25">
      <c r="E1998" t="str">
        <f>""</f>
        <v/>
      </c>
      <c r="F1998" t="str">
        <f>""</f>
        <v/>
      </c>
      <c r="H1998" t="str">
        <f t="shared" si="24"/>
        <v>GUARDIAN</v>
      </c>
    </row>
    <row r="1999" spans="5:8" x14ac:dyDescent="0.25">
      <c r="E1999" t="str">
        <f>""</f>
        <v/>
      </c>
      <c r="F1999" t="str">
        <f>""</f>
        <v/>
      </c>
      <c r="H1999" t="str">
        <f t="shared" si="24"/>
        <v>GUARDIAN</v>
      </c>
    </row>
    <row r="2000" spans="5:8" x14ac:dyDescent="0.25">
      <c r="E2000" t="str">
        <f>""</f>
        <v/>
      </c>
      <c r="F2000" t="str">
        <f>""</f>
        <v/>
      </c>
      <c r="H2000" t="str">
        <f t="shared" si="24"/>
        <v>GUARDIAN</v>
      </c>
    </row>
    <row r="2001" spans="5:8" x14ac:dyDescent="0.25">
      <c r="E2001" t="str">
        <f>""</f>
        <v/>
      </c>
      <c r="F2001" t="str">
        <f>""</f>
        <v/>
      </c>
      <c r="H2001" t="str">
        <f t="shared" si="24"/>
        <v>GUARDIAN</v>
      </c>
    </row>
    <row r="2002" spans="5:8" x14ac:dyDescent="0.25">
      <c r="E2002" t="str">
        <f>""</f>
        <v/>
      </c>
      <c r="F2002" t="str">
        <f>""</f>
        <v/>
      </c>
      <c r="H2002" t="str">
        <f t="shared" si="24"/>
        <v>GUARDIAN</v>
      </c>
    </row>
    <row r="2003" spans="5:8" x14ac:dyDescent="0.25">
      <c r="E2003" t="str">
        <f>""</f>
        <v/>
      </c>
      <c r="F2003" t="str">
        <f>""</f>
        <v/>
      </c>
      <c r="H2003" t="str">
        <f t="shared" si="24"/>
        <v>GUARDIAN</v>
      </c>
    </row>
    <row r="2004" spans="5:8" x14ac:dyDescent="0.25">
      <c r="E2004" t="str">
        <f>""</f>
        <v/>
      </c>
      <c r="F2004" t="str">
        <f>""</f>
        <v/>
      </c>
      <c r="H2004" t="str">
        <f t="shared" si="24"/>
        <v>GUARDIAN</v>
      </c>
    </row>
    <row r="2005" spans="5:8" x14ac:dyDescent="0.25">
      <c r="E2005" t="str">
        <f>""</f>
        <v/>
      </c>
      <c r="F2005" t="str">
        <f>""</f>
        <v/>
      </c>
      <c r="H2005" t="str">
        <f t="shared" si="24"/>
        <v>GUARDIAN</v>
      </c>
    </row>
    <row r="2006" spans="5:8" x14ac:dyDescent="0.25">
      <c r="E2006" t="str">
        <f>""</f>
        <v/>
      </c>
      <c r="F2006" t="str">
        <f>""</f>
        <v/>
      </c>
      <c r="H2006" t="str">
        <f t="shared" si="24"/>
        <v>GUARDIAN</v>
      </c>
    </row>
    <row r="2007" spans="5:8" x14ac:dyDescent="0.25">
      <c r="E2007" t="str">
        <f>""</f>
        <v/>
      </c>
      <c r="F2007" t="str">
        <f>""</f>
        <v/>
      </c>
      <c r="H2007" t="str">
        <f t="shared" si="24"/>
        <v>GUARDIAN</v>
      </c>
    </row>
    <row r="2008" spans="5:8" x14ac:dyDescent="0.25">
      <c r="E2008" t="str">
        <f>""</f>
        <v/>
      </c>
      <c r="F2008" t="str">
        <f>""</f>
        <v/>
      </c>
      <c r="H2008" t="str">
        <f t="shared" si="24"/>
        <v>GUARDIAN</v>
      </c>
    </row>
    <row r="2009" spans="5:8" x14ac:dyDescent="0.25">
      <c r="E2009" t="str">
        <f>""</f>
        <v/>
      </c>
      <c r="F2009" t="str">
        <f>""</f>
        <v/>
      </c>
      <c r="H2009" t="str">
        <f t="shared" si="24"/>
        <v>GUARDIAN</v>
      </c>
    </row>
    <row r="2010" spans="5:8" x14ac:dyDescent="0.25">
      <c r="E2010" t="str">
        <f>""</f>
        <v/>
      </c>
      <c r="F2010" t="str">
        <f>""</f>
        <v/>
      </c>
      <c r="H2010" t="str">
        <f t="shared" si="24"/>
        <v>GUARDIAN</v>
      </c>
    </row>
    <row r="2011" spans="5:8" x14ac:dyDescent="0.25">
      <c r="E2011" t="str">
        <f>""</f>
        <v/>
      </c>
      <c r="F2011" t="str">
        <f>""</f>
        <v/>
      </c>
      <c r="H2011" t="str">
        <f t="shared" si="24"/>
        <v>GUARDIAN</v>
      </c>
    </row>
    <row r="2012" spans="5:8" x14ac:dyDescent="0.25">
      <c r="E2012" t="str">
        <f>""</f>
        <v/>
      </c>
      <c r="F2012" t="str">
        <f>""</f>
        <v/>
      </c>
      <c r="H2012" t="str">
        <f t="shared" si="24"/>
        <v>GUARDIAN</v>
      </c>
    </row>
    <row r="2013" spans="5:8" x14ac:dyDescent="0.25">
      <c r="E2013" t="str">
        <f>""</f>
        <v/>
      </c>
      <c r="F2013" t="str">
        <f>""</f>
        <v/>
      </c>
      <c r="H2013" t="str">
        <f t="shared" si="24"/>
        <v>GUARDIAN</v>
      </c>
    </row>
    <row r="2014" spans="5:8" x14ac:dyDescent="0.25">
      <c r="E2014" t="str">
        <f>""</f>
        <v/>
      </c>
      <c r="F2014" t="str">
        <f>""</f>
        <v/>
      </c>
      <c r="H2014" t="str">
        <f t="shared" si="24"/>
        <v>GUARDIAN</v>
      </c>
    </row>
    <row r="2015" spans="5:8" x14ac:dyDescent="0.25">
      <c r="E2015" t="str">
        <f>""</f>
        <v/>
      </c>
      <c r="F2015" t="str">
        <f>""</f>
        <v/>
      </c>
      <c r="H2015" t="str">
        <f t="shared" si="24"/>
        <v>GUARDIAN</v>
      </c>
    </row>
    <row r="2016" spans="5:8" x14ac:dyDescent="0.25">
      <c r="E2016" t="str">
        <f>"GDS201810174606"</f>
        <v>GDS201810174606</v>
      </c>
      <c r="F2016" t="str">
        <f>"GUARDIAN"</f>
        <v>GUARDIAN</v>
      </c>
      <c r="G2016" s="3">
        <v>1830.18</v>
      </c>
      <c r="H2016" t="str">
        <f t="shared" si="24"/>
        <v>GUARDIAN</v>
      </c>
    </row>
    <row r="2017" spans="5:8" x14ac:dyDescent="0.25">
      <c r="E2017" t="str">
        <f>""</f>
        <v/>
      </c>
      <c r="F2017" t="str">
        <f>""</f>
        <v/>
      </c>
      <c r="H2017" t="str">
        <f t="shared" si="24"/>
        <v>GUARDIAN</v>
      </c>
    </row>
    <row r="2018" spans="5:8" x14ac:dyDescent="0.25">
      <c r="E2018" t="str">
        <f>""</f>
        <v/>
      </c>
      <c r="F2018" t="str">
        <f>""</f>
        <v/>
      </c>
      <c r="H2018" t="str">
        <f t="shared" si="24"/>
        <v>GUARDIAN</v>
      </c>
    </row>
    <row r="2019" spans="5:8" x14ac:dyDescent="0.25">
      <c r="E2019" t="str">
        <f>""</f>
        <v/>
      </c>
      <c r="F2019" t="str">
        <f>""</f>
        <v/>
      </c>
      <c r="H2019" t="str">
        <f t="shared" si="24"/>
        <v>GUARDIAN</v>
      </c>
    </row>
    <row r="2020" spans="5:8" x14ac:dyDescent="0.25">
      <c r="E2020" t="str">
        <f>""</f>
        <v/>
      </c>
      <c r="F2020" t="str">
        <f>""</f>
        <v/>
      </c>
      <c r="H2020" t="str">
        <f t="shared" si="24"/>
        <v>GUARDIAN</v>
      </c>
    </row>
    <row r="2021" spans="5:8" x14ac:dyDescent="0.25">
      <c r="E2021" t="str">
        <f>""</f>
        <v/>
      </c>
      <c r="F2021" t="str">
        <f>""</f>
        <v/>
      </c>
      <c r="H2021" t="str">
        <f t="shared" si="24"/>
        <v>GUARDIAN</v>
      </c>
    </row>
    <row r="2022" spans="5:8" x14ac:dyDescent="0.25">
      <c r="E2022" t="str">
        <f>""</f>
        <v/>
      </c>
      <c r="F2022" t="str">
        <f>""</f>
        <v/>
      </c>
      <c r="H2022" t="str">
        <f t="shared" si="24"/>
        <v>GUARDIAN</v>
      </c>
    </row>
    <row r="2023" spans="5:8" x14ac:dyDescent="0.25">
      <c r="E2023" t="str">
        <f>""</f>
        <v/>
      </c>
      <c r="F2023" t="str">
        <f>""</f>
        <v/>
      </c>
      <c r="H2023" t="str">
        <f t="shared" si="24"/>
        <v>GUARDIAN</v>
      </c>
    </row>
    <row r="2024" spans="5:8" x14ac:dyDescent="0.25">
      <c r="E2024" t="str">
        <f>""</f>
        <v/>
      </c>
      <c r="F2024" t="str">
        <f>""</f>
        <v/>
      </c>
      <c r="H2024" t="str">
        <f t="shared" si="24"/>
        <v>GUARDIAN</v>
      </c>
    </row>
    <row r="2025" spans="5:8" x14ac:dyDescent="0.25">
      <c r="E2025" t="str">
        <f>""</f>
        <v/>
      </c>
      <c r="F2025" t="str">
        <f>""</f>
        <v/>
      </c>
      <c r="H2025" t="str">
        <f t="shared" si="24"/>
        <v>GUARDIAN</v>
      </c>
    </row>
    <row r="2026" spans="5:8" x14ac:dyDescent="0.25">
      <c r="E2026" t="str">
        <f>""</f>
        <v/>
      </c>
      <c r="F2026" t="str">
        <f>""</f>
        <v/>
      </c>
      <c r="H2026" t="str">
        <f t="shared" si="24"/>
        <v>GUARDIAN</v>
      </c>
    </row>
    <row r="2027" spans="5:8" x14ac:dyDescent="0.25">
      <c r="E2027" t="str">
        <f>""</f>
        <v/>
      </c>
      <c r="F2027" t="str">
        <f>""</f>
        <v/>
      </c>
      <c r="H2027" t="str">
        <f t="shared" si="24"/>
        <v>GUARDIAN</v>
      </c>
    </row>
    <row r="2028" spans="5:8" x14ac:dyDescent="0.25">
      <c r="E2028" t="str">
        <f>""</f>
        <v/>
      </c>
      <c r="F2028" t="str">
        <f>""</f>
        <v/>
      </c>
      <c r="H2028" t="str">
        <f t="shared" si="24"/>
        <v>GUARDIAN</v>
      </c>
    </row>
    <row r="2029" spans="5:8" x14ac:dyDescent="0.25">
      <c r="E2029" t="str">
        <f>""</f>
        <v/>
      </c>
      <c r="F2029" t="str">
        <f>""</f>
        <v/>
      </c>
      <c r="H2029" t="str">
        <f t="shared" si="24"/>
        <v>GUARDIAN</v>
      </c>
    </row>
    <row r="2030" spans="5:8" x14ac:dyDescent="0.25">
      <c r="E2030" t="str">
        <f>""</f>
        <v/>
      </c>
      <c r="F2030" t="str">
        <f>""</f>
        <v/>
      </c>
      <c r="H2030" t="str">
        <f t="shared" si="24"/>
        <v>GUARDIAN</v>
      </c>
    </row>
    <row r="2031" spans="5:8" x14ac:dyDescent="0.25">
      <c r="E2031" t="str">
        <f>""</f>
        <v/>
      </c>
      <c r="F2031" t="str">
        <f>""</f>
        <v/>
      </c>
      <c r="H2031" t="str">
        <f t="shared" si="24"/>
        <v>GUARDIAN</v>
      </c>
    </row>
    <row r="2032" spans="5:8" x14ac:dyDescent="0.25">
      <c r="E2032" t="str">
        <f>""</f>
        <v/>
      </c>
      <c r="F2032" t="str">
        <f>""</f>
        <v/>
      </c>
      <c r="H2032" t="str">
        <f t="shared" si="24"/>
        <v>GUARDIAN</v>
      </c>
    </row>
    <row r="2033" spans="5:8" x14ac:dyDescent="0.25">
      <c r="E2033" t="str">
        <f>""</f>
        <v/>
      </c>
      <c r="F2033" t="str">
        <f>""</f>
        <v/>
      </c>
      <c r="H2033" t="str">
        <f t="shared" si="24"/>
        <v>GUARDIAN</v>
      </c>
    </row>
    <row r="2034" spans="5:8" x14ac:dyDescent="0.25">
      <c r="E2034" t="str">
        <f>""</f>
        <v/>
      </c>
      <c r="F2034" t="str">
        <f>""</f>
        <v/>
      </c>
      <c r="H2034" t="str">
        <f t="shared" si="24"/>
        <v>GUARDIAN</v>
      </c>
    </row>
    <row r="2035" spans="5:8" x14ac:dyDescent="0.25">
      <c r="E2035" t="str">
        <f>""</f>
        <v/>
      </c>
      <c r="F2035" t="str">
        <f>""</f>
        <v/>
      </c>
      <c r="H2035" t="str">
        <f t="shared" si="24"/>
        <v>GUARDIAN</v>
      </c>
    </row>
    <row r="2036" spans="5:8" x14ac:dyDescent="0.25">
      <c r="E2036" t="str">
        <f>""</f>
        <v/>
      </c>
      <c r="F2036" t="str">
        <f>""</f>
        <v/>
      </c>
      <c r="H2036" t="str">
        <f t="shared" si="24"/>
        <v>GUARDIAN</v>
      </c>
    </row>
    <row r="2037" spans="5:8" x14ac:dyDescent="0.25">
      <c r="E2037" t="str">
        <f>""</f>
        <v/>
      </c>
      <c r="F2037" t="str">
        <f>""</f>
        <v/>
      </c>
      <c r="H2037" t="str">
        <f t="shared" si="24"/>
        <v>GUARDIAN</v>
      </c>
    </row>
    <row r="2038" spans="5:8" x14ac:dyDescent="0.25">
      <c r="E2038" t="str">
        <f>""</f>
        <v/>
      </c>
      <c r="F2038" t="str">
        <f>""</f>
        <v/>
      </c>
      <c r="H2038" t="str">
        <f t="shared" si="24"/>
        <v>GUARDIAN</v>
      </c>
    </row>
    <row r="2039" spans="5:8" x14ac:dyDescent="0.25">
      <c r="E2039" t="str">
        <f>""</f>
        <v/>
      </c>
      <c r="F2039" t="str">
        <f>""</f>
        <v/>
      </c>
      <c r="H2039" t="str">
        <f t="shared" si="24"/>
        <v>GUARDIAN</v>
      </c>
    </row>
    <row r="2040" spans="5:8" x14ac:dyDescent="0.25">
      <c r="E2040" t="str">
        <f>""</f>
        <v/>
      </c>
      <c r="F2040" t="str">
        <f>""</f>
        <v/>
      </c>
      <c r="H2040" t="str">
        <f t="shared" si="24"/>
        <v>GUARDIAN</v>
      </c>
    </row>
    <row r="2041" spans="5:8" x14ac:dyDescent="0.25">
      <c r="E2041" t="str">
        <f>""</f>
        <v/>
      </c>
      <c r="F2041" t="str">
        <f>""</f>
        <v/>
      </c>
      <c r="H2041" t="str">
        <f t="shared" si="24"/>
        <v>GUARDIAN</v>
      </c>
    </row>
    <row r="2042" spans="5:8" x14ac:dyDescent="0.25">
      <c r="E2042" t="str">
        <f>"GV1201810034225"</f>
        <v>GV1201810034225</v>
      </c>
      <c r="F2042" t="str">
        <f>"GUARDIAN VISION"</f>
        <v>GUARDIAN VISION</v>
      </c>
      <c r="G2042" s="3">
        <v>364</v>
      </c>
      <c r="H2042" t="str">
        <f>"GUARDIAN VISION"</f>
        <v>GUARDIAN VISION</v>
      </c>
    </row>
    <row r="2043" spans="5:8" x14ac:dyDescent="0.25">
      <c r="E2043" t="str">
        <f>"GV1201810174606"</f>
        <v>GV1201810174606</v>
      </c>
      <c r="F2043" t="str">
        <f>"GUARDIAN VISION"</f>
        <v>GUARDIAN VISION</v>
      </c>
      <c r="G2043" s="3">
        <v>364</v>
      </c>
      <c r="H2043" t="str">
        <f>"GUARDIAN VISION"</f>
        <v>GUARDIAN VISION</v>
      </c>
    </row>
    <row r="2044" spans="5:8" x14ac:dyDescent="0.25">
      <c r="E2044" t="str">
        <f>"GVE201810034225"</f>
        <v>GVE201810034225</v>
      </c>
      <c r="F2044" t="str">
        <f>"GUARDIAN VISION VENDOR"</f>
        <v>GUARDIAN VISION VENDOR</v>
      </c>
      <c r="G2044" s="3">
        <v>568.26</v>
      </c>
      <c r="H2044" t="str">
        <f>"GUARDIAN VISION VENDOR"</f>
        <v>GUARDIAN VISION VENDOR</v>
      </c>
    </row>
    <row r="2045" spans="5:8" x14ac:dyDescent="0.25">
      <c r="E2045" t="str">
        <f>"GVE201810034226"</f>
        <v>GVE201810034226</v>
      </c>
      <c r="F2045" t="str">
        <f>"GUARDIAN VISION VENDOR"</f>
        <v>GUARDIAN VISION VENDOR</v>
      </c>
      <c r="G2045" s="3">
        <v>25.83</v>
      </c>
      <c r="H2045" t="str">
        <f>"GUARDIAN VISION VENDOR"</f>
        <v>GUARDIAN VISION VENDOR</v>
      </c>
    </row>
    <row r="2046" spans="5:8" x14ac:dyDescent="0.25">
      <c r="E2046" t="str">
        <f>"GVE201810174606"</f>
        <v>GVE201810174606</v>
      </c>
      <c r="F2046" t="str">
        <f>"GUARDIAN VISION VENDOR"</f>
        <v>GUARDIAN VISION VENDOR</v>
      </c>
      <c r="G2046" s="3">
        <v>575.64</v>
      </c>
      <c r="H2046" t="str">
        <f>"GUARDIAN VISION VENDOR"</f>
        <v>GUARDIAN VISION VENDOR</v>
      </c>
    </row>
    <row r="2047" spans="5:8" x14ac:dyDescent="0.25">
      <c r="E2047" t="str">
        <f>"GVE201810174607"</f>
        <v>GVE201810174607</v>
      </c>
      <c r="F2047" t="str">
        <f>"GUARDIAN VISION VENDOR"</f>
        <v>GUARDIAN VISION VENDOR</v>
      </c>
      <c r="G2047" s="3">
        <v>25.83</v>
      </c>
      <c r="H2047" t="str">
        <f>"GUARDIAN VISION VENDOR"</f>
        <v>GUARDIAN VISION VENDOR</v>
      </c>
    </row>
    <row r="2048" spans="5:8" x14ac:dyDescent="0.25">
      <c r="E2048" t="str">
        <f>"GVF201810034225"</f>
        <v>GVF201810034225</v>
      </c>
      <c r="F2048" t="str">
        <f>"GUARDIAN VISION"</f>
        <v>GUARDIAN VISION</v>
      </c>
      <c r="G2048" s="3">
        <v>541.75</v>
      </c>
      <c r="H2048" t="str">
        <f>"GUARDIAN VISION"</f>
        <v>GUARDIAN VISION</v>
      </c>
    </row>
    <row r="2049" spans="5:8" x14ac:dyDescent="0.25">
      <c r="E2049" t="str">
        <f>"GVF201810034226"</f>
        <v>GVF201810034226</v>
      </c>
      <c r="F2049" t="str">
        <f>"GUARDIAN VISION VENDOR"</f>
        <v>GUARDIAN VISION VENDOR</v>
      </c>
      <c r="G2049" s="3">
        <v>29.55</v>
      </c>
      <c r="H2049" t="str">
        <f>"GUARDIAN VISION VENDOR"</f>
        <v>GUARDIAN VISION VENDOR</v>
      </c>
    </row>
    <row r="2050" spans="5:8" x14ac:dyDescent="0.25">
      <c r="E2050" t="str">
        <f>"GVF201810174606"</f>
        <v>GVF201810174606</v>
      </c>
      <c r="F2050" t="str">
        <f>"GUARDIAN VISION"</f>
        <v>GUARDIAN VISION</v>
      </c>
      <c r="G2050" s="3">
        <v>541.75</v>
      </c>
      <c r="H2050" t="str">
        <f>"GUARDIAN VISION"</f>
        <v>GUARDIAN VISION</v>
      </c>
    </row>
    <row r="2051" spans="5:8" x14ac:dyDescent="0.25">
      <c r="E2051" t="str">
        <f>"GVF201810174607"</f>
        <v>GVF201810174607</v>
      </c>
      <c r="F2051" t="str">
        <f>"GUARDIAN VISION VENDOR"</f>
        <v>GUARDIAN VISION VENDOR</v>
      </c>
      <c r="G2051" s="3">
        <v>29.55</v>
      </c>
      <c r="H2051" t="str">
        <f>"GUARDIAN VISION VENDOR"</f>
        <v>GUARDIAN VISION VENDOR</v>
      </c>
    </row>
    <row r="2052" spans="5:8" x14ac:dyDescent="0.25">
      <c r="E2052" t="str">
        <f>"LIA201810034225"</f>
        <v>LIA201810034225</v>
      </c>
      <c r="F2052" t="str">
        <f>"GUARDIAN"</f>
        <v>GUARDIAN</v>
      </c>
      <c r="G2052" s="3">
        <v>223.73</v>
      </c>
      <c r="H2052" t="str">
        <f t="shared" ref="H2052:H2083" si="25">"GUARDIAN"</f>
        <v>GUARDIAN</v>
      </c>
    </row>
    <row r="2053" spans="5:8" x14ac:dyDescent="0.25">
      <c r="E2053" t="str">
        <f>""</f>
        <v/>
      </c>
      <c r="F2053" t="str">
        <f>""</f>
        <v/>
      </c>
      <c r="H2053" t="str">
        <f t="shared" si="25"/>
        <v>GUARDIAN</v>
      </c>
    </row>
    <row r="2054" spans="5:8" x14ac:dyDescent="0.25">
      <c r="E2054" t="str">
        <f>""</f>
        <v/>
      </c>
      <c r="F2054" t="str">
        <f>""</f>
        <v/>
      </c>
      <c r="H2054" t="str">
        <f t="shared" si="25"/>
        <v>GUARDIAN</v>
      </c>
    </row>
    <row r="2055" spans="5:8" x14ac:dyDescent="0.25">
      <c r="E2055" t="str">
        <f>""</f>
        <v/>
      </c>
      <c r="F2055" t="str">
        <f>""</f>
        <v/>
      </c>
      <c r="H2055" t="str">
        <f t="shared" si="25"/>
        <v>GUARDIAN</v>
      </c>
    </row>
    <row r="2056" spans="5:8" x14ac:dyDescent="0.25">
      <c r="E2056" t="str">
        <f>""</f>
        <v/>
      </c>
      <c r="F2056" t="str">
        <f>""</f>
        <v/>
      </c>
      <c r="H2056" t="str">
        <f t="shared" si="25"/>
        <v>GUARDIAN</v>
      </c>
    </row>
    <row r="2057" spans="5:8" x14ac:dyDescent="0.25">
      <c r="E2057" t="str">
        <f>""</f>
        <v/>
      </c>
      <c r="F2057" t="str">
        <f>""</f>
        <v/>
      </c>
      <c r="H2057" t="str">
        <f t="shared" si="25"/>
        <v>GUARDIAN</v>
      </c>
    </row>
    <row r="2058" spans="5:8" x14ac:dyDescent="0.25">
      <c r="E2058" t="str">
        <f>""</f>
        <v/>
      </c>
      <c r="F2058" t="str">
        <f>""</f>
        <v/>
      </c>
      <c r="H2058" t="str">
        <f t="shared" si="25"/>
        <v>GUARDIAN</v>
      </c>
    </row>
    <row r="2059" spans="5:8" x14ac:dyDescent="0.25">
      <c r="E2059" t="str">
        <f>""</f>
        <v/>
      </c>
      <c r="F2059" t="str">
        <f>""</f>
        <v/>
      </c>
      <c r="H2059" t="str">
        <f t="shared" si="25"/>
        <v>GUARDIAN</v>
      </c>
    </row>
    <row r="2060" spans="5:8" x14ac:dyDescent="0.25">
      <c r="E2060" t="str">
        <f>""</f>
        <v/>
      </c>
      <c r="F2060" t="str">
        <f>""</f>
        <v/>
      </c>
      <c r="H2060" t="str">
        <f t="shared" si="25"/>
        <v>GUARDIAN</v>
      </c>
    </row>
    <row r="2061" spans="5:8" x14ac:dyDescent="0.25">
      <c r="E2061" t="str">
        <f>""</f>
        <v/>
      </c>
      <c r="F2061" t="str">
        <f>""</f>
        <v/>
      </c>
      <c r="H2061" t="str">
        <f t="shared" si="25"/>
        <v>GUARDIAN</v>
      </c>
    </row>
    <row r="2062" spans="5:8" x14ac:dyDescent="0.25">
      <c r="E2062" t="str">
        <f>""</f>
        <v/>
      </c>
      <c r="F2062" t="str">
        <f>""</f>
        <v/>
      </c>
      <c r="H2062" t="str">
        <f t="shared" si="25"/>
        <v>GUARDIAN</v>
      </c>
    </row>
    <row r="2063" spans="5:8" x14ac:dyDescent="0.25">
      <c r="E2063" t="str">
        <f>""</f>
        <v/>
      </c>
      <c r="F2063" t="str">
        <f>""</f>
        <v/>
      </c>
      <c r="H2063" t="str">
        <f t="shared" si="25"/>
        <v>GUARDIAN</v>
      </c>
    </row>
    <row r="2064" spans="5:8" x14ac:dyDescent="0.25">
      <c r="E2064" t="str">
        <f>""</f>
        <v/>
      </c>
      <c r="F2064" t="str">
        <f>""</f>
        <v/>
      </c>
      <c r="H2064" t="str">
        <f t="shared" si="25"/>
        <v>GUARDIAN</v>
      </c>
    </row>
    <row r="2065" spans="5:8" x14ac:dyDescent="0.25">
      <c r="E2065" t="str">
        <f>""</f>
        <v/>
      </c>
      <c r="F2065" t="str">
        <f>""</f>
        <v/>
      </c>
      <c r="H2065" t="str">
        <f t="shared" si="25"/>
        <v>GUARDIAN</v>
      </c>
    </row>
    <row r="2066" spans="5:8" x14ac:dyDescent="0.25">
      <c r="E2066" t="str">
        <f>""</f>
        <v/>
      </c>
      <c r="F2066" t="str">
        <f>""</f>
        <v/>
      </c>
      <c r="H2066" t="str">
        <f t="shared" si="25"/>
        <v>GUARDIAN</v>
      </c>
    </row>
    <row r="2067" spans="5:8" x14ac:dyDescent="0.25">
      <c r="E2067" t="str">
        <f>""</f>
        <v/>
      </c>
      <c r="F2067" t="str">
        <f>""</f>
        <v/>
      </c>
      <c r="H2067" t="str">
        <f t="shared" si="25"/>
        <v>GUARDIAN</v>
      </c>
    </row>
    <row r="2068" spans="5:8" x14ac:dyDescent="0.25">
      <c r="E2068" t="str">
        <f>""</f>
        <v/>
      </c>
      <c r="F2068" t="str">
        <f>""</f>
        <v/>
      </c>
      <c r="H2068" t="str">
        <f t="shared" si="25"/>
        <v>GUARDIAN</v>
      </c>
    </row>
    <row r="2069" spans="5:8" x14ac:dyDescent="0.25">
      <c r="E2069" t="str">
        <f>""</f>
        <v/>
      </c>
      <c r="F2069" t="str">
        <f>""</f>
        <v/>
      </c>
      <c r="H2069" t="str">
        <f t="shared" si="25"/>
        <v>GUARDIAN</v>
      </c>
    </row>
    <row r="2070" spans="5:8" x14ac:dyDescent="0.25">
      <c r="E2070" t="str">
        <f>""</f>
        <v/>
      </c>
      <c r="F2070" t="str">
        <f>""</f>
        <v/>
      </c>
      <c r="H2070" t="str">
        <f t="shared" si="25"/>
        <v>GUARDIAN</v>
      </c>
    </row>
    <row r="2071" spans="5:8" x14ac:dyDescent="0.25">
      <c r="E2071" t="str">
        <f>""</f>
        <v/>
      </c>
      <c r="F2071" t="str">
        <f>""</f>
        <v/>
      </c>
      <c r="H2071" t="str">
        <f t="shared" si="25"/>
        <v>GUARDIAN</v>
      </c>
    </row>
    <row r="2072" spans="5:8" x14ac:dyDescent="0.25">
      <c r="E2072" t="str">
        <f>""</f>
        <v/>
      </c>
      <c r="F2072" t="str">
        <f>""</f>
        <v/>
      </c>
      <c r="H2072" t="str">
        <f t="shared" si="25"/>
        <v>GUARDIAN</v>
      </c>
    </row>
    <row r="2073" spans="5:8" x14ac:dyDescent="0.25">
      <c r="E2073" t="str">
        <f>""</f>
        <v/>
      </c>
      <c r="F2073" t="str">
        <f>""</f>
        <v/>
      </c>
      <c r="H2073" t="str">
        <f t="shared" si="25"/>
        <v>GUARDIAN</v>
      </c>
    </row>
    <row r="2074" spans="5:8" x14ac:dyDescent="0.25">
      <c r="E2074" t="str">
        <f>"LIA201810034226"</f>
        <v>LIA201810034226</v>
      </c>
      <c r="F2074" t="str">
        <f>"GUARDIAN"</f>
        <v>GUARDIAN</v>
      </c>
      <c r="G2074" s="3">
        <v>40.799999999999997</v>
      </c>
      <c r="H2074" t="str">
        <f t="shared" si="25"/>
        <v>GUARDIAN</v>
      </c>
    </row>
    <row r="2075" spans="5:8" x14ac:dyDescent="0.25">
      <c r="E2075" t="str">
        <f>""</f>
        <v/>
      </c>
      <c r="F2075" t="str">
        <f>""</f>
        <v/>
      </c>
      <c r="H2075" t="str">
        <f t="shared" si="25"/>
        <v>GUARDIAN</v>
      </c>
    </row>
    <row r="2076" spans="5:8" x14ac:dyDescent="0.25">
      <c r="E2076" t="str">
        <f>"LIA201810174606"</f>
        <v>LIA201810174606</v>
      </c>
      <c r="F2076" t="str">
        <f>"GUARDIAN"</f>
        <v>GUARDIAN</v>
      </c>
      <c r="G2076" s="3">
        <v>223.73</v>
      </c>
      <c r="H2076" t="str">
        <f t="shared" si="25"/>
        <v>GUARDIAN</v>
      </c>
    </row>
    <row r="2077" spans="5:8" x14ac:dyDescent="0.25">
      <c r="E2077" t="str">
        <f>""</f>
        <v/>
      </c>
      <c r="F2077" t="str">
        <f>""</f>
        <v/>
      </c>
      <c r="H2077" t="str">
        <f t="shared" si="25"/>
        <v>GUARDIAN</v>
      </c>
    </row>
    <row r="2078" spans="5:8" x14ac:dyDescent="0.25">
      <c r="E2078" t="str">
        <f>""</f>
        <v/>
      </c>
      <c r="F2078" t="str">
        <f>""</f>
        <v/>
      </c>
      <c r="H2078" t="str">
        <f t="shared" si="25"/>
        <v>GUARDIAN</v>
      </c>
    </row>
    <row r="2079" spans="5:8" x14ac:dyDescent="0.25">
      <c r="E2079" t="str">
        <f>""</f>
        <v/>
      </c>
      <c r="F2079" t="str">
        <f>""</f>
        <v/>
      </c>
      <c r="H2079" t="str">
        <f t="shared" si="25"/>
        <v>GUARDIAN</v>
      </c>
    </row>
    <row r="2080" spans="5:8" x14ac:dyDescent="0.25">
      <c r="E2080" t="str">
        <f>""</f>
        <v/>
      </c>
      <c r="F2080" t="str">
        <f>""</f>
        <v/>
      </c>
      <c r="H2080" t="str">
        <f t="shared" si="25"/>
        <v>GUARDIAN</v>
      </c>
    </row>
    <row r="2081" spans="5:8" x14ac:dyDescent="0.25">
      <c r="E2081" t="str">
        <f>""</f>
        <v/>
      </c>
      <c r="F2081" t="str">
        <f>""</f>
        <v/>
      </c>
      <c r="H2081" t="str">
        <f t="shared" si="25"/>
        <v>GUARDIAN</v>
      </c>
    </row>
    <row r="2082" spans="5:8" x14ac:dyDescent="0.25">
      <c r="E2082" t="str">
        <f>""</f>
        <v/>
      </c>
      <c r="F2082" t="str">
        <f>""</f>
        <v/>
      </c>
      <c r="H2082" t="str">
        <f t="shared" si="25"/>
        <v>GUARDIAN</v>
      </c>
    </row>
    <row r="2083" spans="5:8" x14ac:dyDescent="0.25">
      <c r="E2083" t="str">
        <f>""</f>
        <v/>
      </c>
      <c r="F2083" t="str">
        <f>""</f>
        <v/>
      </c>
      <c r="H2083" t="str">
        <f t="shared" si="25"/>
        <v>GUARDIAN</v>
      </c>
    </row>
    <row r="2084" spans="5:8" x14ac:dyDescent="0.25">
      <c r="E2084" t="str">
        <f>""</f>
        <v/>
      </c>
      <c r="F2084" t="str">
        <f>""</f>
        <v/>
      </c>
      <c r="H2084" t="str">
        <f t="shared" ref="H2084:H2115" si="26">"GUARDIAN"</f>
        <v>GUARDIAN</v>
      </c>
    </row>
    <row r="2085" spans="5:8" x14ac:dyDescent="0.25">
      <c r="E2085" t="str">
        <f>""</f>
        <v/>
      </c>
      <c r="F2085" t="str">
        <f>""</f>
        <v/>
      </c>
      <c r="H2085" t="str">
        <f t="shared" si="26"/>
        <v>GUARDIAN</v>
      </c>
    </row>
    <row r="2086" spans="5:8" x14ac:dyDescent="0.25">
      <c r="E2086" t="str">
        <f>""</f>
        <v/>
      </c>
      <c r="F2086" t="str">
        <f>""</f>
        <v/>
      </c>
      <c r="H2086" t="str">
        <f t="shared" si="26"/>
        <v>GUARDIAN</v>
      </c>
    </row>
    <row r="2087" spans="5:8" x14ac:dyDescent="0.25">
      <c r="E2087" t="str">
        <f>""</f>
        <v/>
      </c>
      <c r="F2087" t="str">
        <f>""</f>
        <v/>
      </c>
      <c r="H2087" t="str">
        <f t="shared" si="26"/>
        <v>GUARDIAN</v>
      </c>
    </row>
    <row r="2088" spans="5:8" x14ac:dyDescent="0.25">
      <c r="E2088" t="str">
        <f>""</f>
        <v/>
      </c>
      <c r="F2088" t="str">
        <f>""</f>
        <v/>
      </c>
      <c r="H2088" t="str">
        <f t="shared" si="26"/>
        <v>GUARDIAN</v>
      </c>
    </row>
    <row r="2089" spans="5:8" x14ac:dyDescent="0.25">
      <c r="E2089" t="str">
        <f>""</f>
        <v/>
      </c>
      <c r="F2089" t="str">
        <f>""</f>
        <v/>
      </c>
      <c r="H2089" t="str">
        <f t="shared" si="26"/>
        <v>GUARDIAN</v>
      </c>
    </row>
    <row r="2090" spans="5:8" x14ac:dyDescent="0.25">
      <c r="E2090" t="str">
        <f>""</f>
        <v/>
      </c>
      <c r="F2090" t="str">
        <f>""</f>
        <v/>
      </c>
      <c r="H2090" t="str">
        <f t="shared" si="26"/>
        <v>GUARDIAN</v>
      </c>
    </row>
    <row r="2091" spans="5:8" x14ac:dyDescent="0.25">
      <c r="E2091" t="str">
        <f>""</f>
        <v/>
      </c>
      <c r="F2091" t="str">
        <f>""</f>
        <v/>
      </c>
      <c r="H2091" t="str">
        <f t="shared" si="26"/>
        <v>GUARDIAN</v>
      </c>
    </row>
    <row r="2092" spans="5:8" x14ac:dyDescent="0.25">
      <c r="E2092" t="str">
        <f>""</f>
        <v/>
      </c>
      <c r="F2092" t="str">
        <f>""</f>
        <v/>
      </c>
      <c r="H2092" t="str">
        <f t="shared" si="26"/>
        <v>GUARDIAN</v>
      </c>
    </row>
    <row r="2093" spans="5:8" x14ac:dyDescent="0.25">
      <c r="E2093" t="str">
        <f>""</f>
        <v/>
      </c>
      <c r="F2093" t="str">
        <f>""</f>
        <v/>
      </c>
      <c r="H2093" t="str">
        <f t="shared" si="26"/>
        <v>GUARDIAN</v>
      </c>
    </row>
    <row r="2094" spans="5:8" x14ac:dyDescent="0.25">
      <c r="E2094" t="str">
        <f>""</f>
        <v/>
      </c>
      <c r="F2094" t="str">
        <f>""</f>
        <v/>
      </c>
      <c r="H2094" t="str">
        <f t="shared" si="26"/>
        <v>GUARDIAN</v>
      </c>
    </row>
    <row r="2095" spans="5:8" x14ac:dyDescent="0.25">
      <c r="E2095" t="str">
        <f>""</f>
        <v/>
      </c>
      <c r="F2095" t="str">
        <f>""</f>
        <v/>
      </c>
      <c r="H2095" t="str">
        <f t="shared" si="26"/>
        <v>GUARDIAN</v>
      </c>
    </row>
    <row r="2096" spans="5:8" x14ac:dyDescent="0.25">
      <c r="E2096" t="str">
        <f>""</f>
        <v/>
      </c>
      <c r="F2096" t="str">
        <f>""</f>
        <v/>
      </c>
      <c r="H2096" t="str">
        <f t="shared" si="26"/>
        <v>GUARDIAN</v>
      </c>
    </row>
    <row r="2097" spans="5:8" x14ac:dyDescent="0.25">
      <c r="E2097" t="str">
        <f>""</f>
        <v/>
      </c>
      <c r="F2097" t="str">
        <f>""</f>
        <v/>
      </c>
      <c r="H2097" t="str">
        <f t="shared" si="26"/>
        <v>GUARDIAN</v>
      </c>
    </row>
    <row r="2098" spans="5:8" x14ac:dyDescent="0.25">
      <c r="E2098" t="str">
        <f>"LIA201810174607"</f>
        <v>LIA201810174607</v>
      </c>
      <c r="F2098" t="str">
        <f>"GUARDIAN"</f>
        <v>GUARDIAN</v>
      </c>
      <c r="G2098" s="3">
        <v>40.799999999999997</v>
      </c>
      <c r="H2098" t="str">
        <f t="shared" si="26"/>
        <v>GUARDIAN</v>
      </c>
    </row>
    <row r="2099" spans="5:8" x14ac:dyDescent="0.25">
      <c r="E2099" t="str">
        <f>""</f>
        <v/>
      </c>
      <c r="F2099" t="str">
        <f>""</f>
        <v/>
      </c>
      <c r="H2099" t="str">
        <f t="shared" si="26"/>
        <v>GUARDIAN</v>
      </c>
    </row>
    <row r="2100" spans="5:8" x14ac:dyDescent="0.25">
      <c r="E2100" t="str">
        <f>"LIC201810034225"</f>
        <v>LIC201810034225</v>
      </c>
      <c r="F2100" t="str">
        <f>"GUARDIAN"</f>
        <v>GUARDIAN</v>
      </c>
      <c r="G2100" s="3">
        <v>34.6</v>
      </c>
      <c r="H2100" t="str">
        <f t="shared" si="26"/>
        <v>GUARDIAN</v>
      </c>
    </row>
    <row r="2101" spans="5:8" x14ac:dyDescent="0.25">
      <c r="E2101" t="str">
        <f>"LIC201810034226"</f>
        <v>LIC201810034226</v>
      </c>
      <c r="F2101" t="str">
        <f>"GUARDIAN"</f>
        <v>GUARDIAN</v>
      </c>
      <c r="G2101" s="3">
        <v>1.05</v>
      </c>
      <c r="H2101" t="str">
        <f t="shared" si="26"/>
        <v>GUARDIAN</v>
      </c>
    </row>
    <row r="2102" spans="5:8" x14ac:dyDescent="0.25">
      <c r="E2102" t="str">
        <f>"LIC201810174606"</f>
        <v>LIC201810174606</v>
      </c>
      <c r="F2102" t="str">
        <f>"GUARDIAN"</f>
        <v>GUARDIAN</v>
      </c>
      <c r="G2102" s="3">
        <v>34.6</v>
      </c>
      <c r="H2102" t="str">
        <f t="shared" si="26"/>
        <v>GUARDIAN</v>
      </c>
    </row>
    <row r="2103" spans="5:8" x14ac:dyDescent="0.25">
      <c r="E2103" t="str">
        <f>"LIC201810174607"</f>
        <v>LIC201810174607</v>
      </c>
      <c r="F2103" t="str">
        <f>"GUARDIAN"</f>
        <v>GUARDIAN</v>
      </c>
      <c r="G2103" s="3">
        <v>1.05</v>
      </c>
      <c r="H2103" t="str">
        <f t="shared" si="26"/>
        <v>GUARDIAN</v>
      </c>
    </row>
    <row r="2104" spans="5:8" x14ac:dyDescent="0.25">
      <c r="E2104" t="str">
        <f>"LIE201810034225"</f>
        <v>LIE201810034225</v>
      </c>
      <c r="F2104" t="str">
        <f>"GUARDIAN"</f>
        <v>GUARDIAN</v>
      </c>
      <c r="G2104" s="3">
        <v>3374</v>
      </c>
      <c r="H2104" t="str">
        <f t="shared" si="26"/>
        <v>GUARDIAN</v>
      </c>
    </row>
    <row r="2105" spans="5:8" x14ac:dyDescent="0.25">
      <c r="E2105" t="str">
        <f>""</f>
        <v/>
      </c>
      <c r="F2105" t="str">
        <f>""</f>
        <v/>
      </c>
      <c r="H2105" t="str">
        <f t="shared" si="26"/>
        <v>GUARDIAN</v>
      </c>
    </row>
    <row r="2106" spans="5:8" x14ac:dyDescent="0.25">
      <c r="E2106" t="str">
        <f>""</f>
        <v/>
      </c>
      <c r="F2106" t="str">
        <f>""</f>
        <v/>
      </c>
      <c r="H2106" t="str">
        <f t="shared" si="26"/>
        <v>GUARDIAN</v>
      </c>
    </row>
    <row r="2107" spans="5:8" x14ac:dyDescent="0.25">
      <c r="E2107" t="str">
        <f>""</f>
        <v/>
      </c>
      <c r="F2107" t="str">
        <f>""</f>
        <v/>
      </c>
      <c r="H2107" t="str">
        <f t="shared" si="26"/>
        <v>GUARDIAN</v>
      </c>
    </row>
    <row r="2108" spans="5:8" x14ac:dyDescent="0.25">
      <c r="E2108" t="str">
        <f>""</f>
        <v/>
      </c>
      <c r="F2108" t="str">
        <f>""</f>
        <v/>
      </c>
      <c r="H2108" t="str">
        <f t="shared" si="26"/>
        <v>GUARDIAN</v>
      </c>
    </row>
    <row r="2109" spans="5:8" x14ac:dyDescent="0.25">
      <c r="E2109" t="str">
        <f>""</f>
        <v/>
      </c>
      <c r="F2109" t="str">
        <f>""</f>
        <v/>
      </c>
      <c r="H2109" t="str">
        <f t="shared" si="26"/>
        <v>GUARDIAN</v>
      </c>
    </row>
    <row r="2110" spans="5:8" x14ac:dyDescent="0.25">
      <c r="E2110" t="str">
        <f>""</f>
        <v/>
      </c>
      <c r="F2110" t="str">
        <f>""</f>
        <v/>
      </c>
      <c r="H2110" t="str">
        <f t="shared" si="26"/>
        <v>GUARDIAN</v>
      </c>
    </row>
    <row r="2111" spans="5:8" x14ac:dyDescent="0.25">
      <c r="E2111" t="str">
        <f>""</f>
        <v/>
      </c>
      <c r="F2111" t="str">
        <f>""</f>
        <v/>
      </c>
      <c r="H2111" t="str">
        <f t="shared" si="26"/>
        <v>GUARDIAN</v>
      </c>
    </row>
    <row r="2112" spans="5:8" x14ac:dyDescent="0.25">
      <c r="E2112" t="str">
        <f>""</f>
        <v/>
      </c>
      <c r="F2112" t="str">
        <f>""</f>
        <v/>
      </c>
      <c r="H2112" t="str">
        <f t="shared" si="26"/>
        <v>GUARDIAN</v>
      </c>
    </row>
    <row r="2113" spans="5:8" x14ac:dyDescent="0.25">
      <c r="E2113" t="str">
        <f>""</f>
        <v/>
      </c>
      <c r="F2113" t="str">
        <f>""</f>
        <v/>
      </c>
      <c r="H2113" t="str">
        <f t="shared" si="26"/>
        <v>GUARDIAN</v>
      </c>
    </row>
    <row r="2114" spans="5:8" x14ac:dyDescent="0.25">
      <c r="E2114" t="str">
        <f>""</f>
        <v/>
      </c>
      <c r="F2114" t="str">
        <f>""</f>
        <v/>
      </c>
      <c r="H2114" t="str">
        <f t="shared" si="26"/>
        <v>GUARDIAN</v>
      </c>
    </row>
    <row r="2115" spans="5:8" x14ac:dyDescent="0.25">
      <c r="E2115" t="str">
        <f>""</f>
        <v/>
      </c>
      <c r="F2115" t="str">
        <f>""</f>
        <v/>
      </c>
      <c r="H2115" t="str">
        <f t="shared" si="26"/>
        <v>GUARDIAN</v>
      </c>
    </row>
    <row r="2116" spans="5:8" x14ac:dyDescent="0.25">
      <c r="E2116" t="str">
        <f>""</f>
        <v/>
      </c>
      <c r="F2116" t="str">
        <f>""</f>
        <v/>
      </c>
      <c r="H2116" t="str">
        <f t="shared" ref="H2116:H2147" si="27">"GUARDIAN"</f>
        <v>GUARDIAN</v>
      </c>
    </row>
    <row r="2117" spans="5:8" x14ac:dyDescent="0.25">
      <c r="E2117" t="str">
        <f>""</f>
        <v/>
      </c>
      <c r="F2117" t="str">
        <f>""</f>
        <v/>
      </c>
      <c r="H2117" t="str">
        <f t="shared" si="27"/>
        <v>GUARDIAN</v>
      </c>
    </row>
    <row r="2118" spans="5:8" x14ac:dyDescent="0.25">
      <c r="E2118" t="str">
        <f>""</f>
        <v/>
      </c>
      <c r="F2118" t="str">
        <f>""</f>
        <v/>
      </c>
      <c r="H2118" t="str">
        <f t="shared" si="27"/>
        <v>GUARDIAN</v>
      </c>
    </row>
    <row r="2119" spans="5:8" x14ac:dyDescent="0.25">
      <c r="E2119" t="str">
        <f>""</f>
        <v/>
      </c>
      <c r="F2119" t="str">
        <f>""</f>
        <v/>
      </c>
      <c r="H2119" t="str">
        <f t="shared" si="27"/>
        <v>GUARDIAN</v>
      </c>
    </row>
    <row r="2120" spans="5:8" x14ac:dyDescent="0.25">
      <c r="E2120" t="str">
        <f>""</f>
        <v/>
      </c>
      <c r="F2120" t="str">
        <f>""</f>
        <v/>
      </c>
      <c r="H2120" t="str">
        <f t="shared" si="27"/>
        <v>GUARDIAN</v>
      </c>
    </row>
    <row r="2121" spans="5:8" x14ac:dyDescent="0.25">
      <c r="E2121" t="str">
        <f>""</f>
        <v/>
      </c>
      <c r="F2121" t="str">
        <f>""</f>
        <v/>
      </c>
      <c r="H2121" t="str">
        <f t="shared" si="27"/>
        <v>GUARDIAN</v>
      </c>
    </row>
    <row r="2122" spans="5:8" x14ac:dyDescent="0.25">
      <c r="E2122" t="str">
        <f>""</f>
        <v/>
      </c>
      <c r="F2122" t="str">
        <f>""</f>
        <v/>
      </c>
      <c r="H2122" t="str">
        <f t="shared" si="27"/>
        <v>GUARDIAN</v>
      </c>
    </row>
    <row r="2123" spans="5:8" x14ac:dyDescent="0.25">
      <c r="E2123" t="str">
        <f>""</f>
        <v/>
      </c>
      <c r="F2123" t="str">
        <f>""</f>
        <v/>
      </c>
      <c r="H2123" t="str">
        <f t="shared" si="27"/>
        <v>GUARDIAN</v>
      </c>
    </row>
    <row r="2124" spans="5:8" x14ac:dyDescent="0.25">
      <c r="E2124" t="str">
        <f>""</f>
        <v/>
      </c>
      <c r="F2124" t="str">
        <f>""</f>
        <v/>
      </c>
      <c r="H2124" t="str">
        <f t="shared" si="27"/>
        <v>GUARDIAN</v>
      </c>
    </row>
    <row r="2125" spans="5:8" x14ac:dyDescent="0.25">
      <c r="E2125" t="str">
        <f>""</f>
        <v/>
      </c>
      <c r="F2125" t="str">
        <f>""</f>
        <v/>
      </c>
      <c r="H2125" t="str">
        <f t="shared" si="27"/>
        <v>GUARDIAN</v>
      </c>
    </row>
    <row r="2126" spans="5:8" x14ac:dyDescent="0.25">
      <c r="E2126" t="str">
        <f>""</f>
        <v/>
      </c>
      <c r="F2126" t="str">
        <f>""</f>
        <v/>
      </c>
      <c r="H2126" t="str">
        <f t="shared" si="27"/>
        <v>GUARDIAN</v>
      </c>
    </row>
    <row r="2127" spans="5:8" x14ac:dyDescent="0.25">
      <c r="E2127" t="str">
        <f>""</f>
        <v/>
      </c>
      <c r="F2127" t="str">
        <f>""</f>
        <v/>
      </c>
      <c r="H2127" t="str">
        <f t="shared" si="27"/>
        <v>GUARDIAN</v>
      </c>
    </row>
    <row r="2128" spans="5:8" x14ac:dyDescent="0.25">
      <c r="E2128" t="str">
        <f>""</f>
        <v/>
      </c>
      <c r="F2128" t="str">
        <f>""</f>
        <v/>
      </c>
      <c r="H2128" t="str">
        <f t="shared" si="27"/>
        <v>GUARDIAN</v>
      </c>
    </row>
    <row r="2129" spans="5:8" x14ac:dyDescent="0.25">
      <c r="E2129" t="str">
        <f>""</f>
        <v/>
      </c>
      <c r="F2129" t="str">
        <f>""</f>
        <v/>
      </c>
      <c r="H2129" t="str">
        <f t="shared" si="27"/>
        <v>GUARDIAN</v>
      </c>
    </row>
    <row r="2130" spans="5:8" x14ac:dyDescent="0.25">
      <c r="E2130" t="str">
        <f>""</f>
        <v/>
      </c>
      <c r="F2130" t="str">
        <f>""</f>
        <v/>
      </c>
      <c r="H2130" t="str">
        <f t="shared" si="27"/>
        <v>GUARDIAN</v>
      </c>
    </row>
    <row r="2131" spans="5:8" x14ac:dyDescent="0.25">
      <c r="E2131" t="str">
        <f>""</f>
        <v/>
      </c>
      <c r="F2131" t="str">
        <f>""</f>
        <v/>
      </c>
      <c r="H2131" t="str">
        <f t="shared" si="27"/>
        <v>GUARDIAN</v>
      </c>
    </row>
    <row r="2132" spans="5:8" x14ac:dyDescent="0.25">
      <c r="E2132" t="str">
        <f>""</f>
        <v/>
      </c>
      <c r="F2132" t="str">
        <f>""</f>
        <v/>
      </c>
      <c r="H2132" t="str">
        <f t="shared" si="27"/>
        <v>GUARDIAN</v>
      </c>
    </row>
    <row r="2133" spans="5:8" x14ac:dyDescent="0.25">
      <c r="E2133" t="str">
        <f>""</f>
        <v/>
      </c>
      <c r="F2133" t="str">
        <f>""</f>
        <v/>
      </c>
      <c r="H2133" t="str">
        <f t="shared" si="27"/>
        <v>GUARDIAN</v>
      </c>
    </row>
    <row r="2134" spans="5:8" x14ac:dyDescent="0.25">
      <c r="E2134" t="str">
        <f>""</f>
        <v/>
      </c>
      <c r="F2134" t="str">
        <f>""</f>
        <v/>
      </c>
      <c r="H2134" t="str">
        <f t="shared" si="27"/>
        <v>GUARDIAN</v>
      </c>
    </row>
    <row r="2135" spans="5:8" x14ac:dyDescent="0.25">
      <c r="E2135" t="str">
        <f>""</f>
        <v/>
      </c>
      <c r="F2135" t="str">
        <f>""</f>
        <v/>
      </c>
      <c r="H2135" t="str">
        <f t="shared" si="27"/>
        <v>GUARDIAN</v>
      </c>
    </row>
    <row r="2136" spans="5:8" x14ac:dyDescent="0.25">
      <c r="E2136" t="str">
        <f>""</f>
        <v/>
      </c>
      <c r="F2136" t="str">
        <f>""</f>
        <v/>
      </c>
      <c r="H2136" t="str">
        <f t="shared" si="27"/>
        <v>GUARDIAN</v>
      </c>
    </row>
    <row r="2137" spans="5:8" x14ac:dyDescent="0.25">
      <c r="E2137" t="str">
        <f>""</f>
        <v/>
      </c>
      <c r="F2137" t="str">
        <f>""</f>
        <v/>
      </c>
      <c r="H2137" t="str">
        <f t="shared" si="27"/>
        <v>GUARDIAN</v>
      </c>
    </row>
    <row r="2138" spans="5:8" x14ac:dyDescent="0.25">
      <c r="E2138" t="str">
        <f>""</f>
        <v/>
      </c>
      <c r="F2138" t="str">
        <f>""</f>
        <v/>
      </c>
      <c r="H2138" t="str">
        <f t="shared" si="27"/>
        <v>GUARDIAN</v>
      </c>
    </row>
    <row r="2139" spans="5:8" x14ac:dyDescent="0.25">
      <c r="E2139" t="str">
        <f>""</f>
        <v/>
      </c>
      <c r="F2139" t="str">
        <f>""</f>
        <v/>
      </c>
      <c r="H2139" t="str">
        <f t="shared" si="27"/>
        <v>GUARDIAN</v>
      </c>
    </row>
    <row r="2140" spans="5:8" x14ac:dyDescent="0.25">
      <c r="E2140" t="str">
        <f>""</f>
        <v/>
      </c>
      <c r="F2140" t="str">
        <f>""</f>
        <v/>
      </c>
      <c r="H2140" t="str">
        <f t="shared" si="27"/>
        <v>GUARDIAN</v>
      </c>
    </row>
    <row r="2141" spans="5:8" x14ac:dyDescent="0.25">
      <c r="E2141" t="str">
        <f>""</f>
        <v/>
      </c>
      <c r="F2141" t="str">
        <f>""</f>
        <v/>
      </c>
      <c r="H2141" t="str">
        <f t="shared" si="27"/>
        <v>GUARDIAN</v>
      </c>
    </row>
    <row r="2142" spans="5:8" x14ac:dyDescent="0.25">
      <c r="E2142" t="str">
        <f>""</f>
        <v/>
      </c>
      <c r="F2142" t="str">
        <f>""</f>
        <v/>
      </c>
      <c r="H2142" t="str">
        <f t="shared" si="27"/>
        <v>GUARDIAN</v>
      </c>
    </row>
    <row r="2143" spans="5:8" x14ac:dyDescent="0.25">
      <c r="E2143" t="str">
        <f>""</f>
        <v/>
      </c>
      <c r="F2143" t="str">
        <f>""</f>
        <v/>
      </c>
      <c r="H2143" t="str">
        <f t="shared" si="27"/>
        <v>GUARDIAN</v>
      </c>
    </row>
    <row r="2144" spans="5:8" x14ac:dyDescent="0.25">
      <c r="E2144" t="str">
        <f>""</f>
        <v/>
      </c>
      <c r="F2144" t="str">
        <f>""</f>
        <v/>
      </c>
      <c r="H2144" t="str">
        <f t="shared" si="27"/>
        <v>GUARDIAN</v>
      </c>
    </row>
    <row r="2145" spans="5:8" x14ac:dyDescent="0.25">
      <c r="E2145" t="str">
        <f>""</f>
        <v/>
      </c>
      <c r="F2145" t="str">
        <f>""</f>
        <v/>
      </c>
      <c r="H2145" t="str">
        <f t="shared" si="27"/>
        <v>GUARDIAN</v>
      </c>
    </row>
    <row r="2146" spans="5:8" x14ac:dyDescent="0.25">
      <c r="E2146" t="str">
        <f>""</f>
        <v/>
      </c>
      <c r="F2146" t="str">
        <f>""</f>
        <v/>
      </c>
      <c r="H2146" t="str">
        <f t="shared" si="27"/>
        <v>GUARDIAN</v>
      </c>
    </row>
    <row r="2147" spans="5:8" x14ac:dyDescent="0.25">
      <c r="E2147" t="str">
        <f>""</f>
        <v/>
      </c>
      <c r="F2147" t="str">
        <f>""</f>
        <v/>
      </c>
      <c r="H2147" t="str">
        <f t="shared" si="27"/>
        <v>GUARDIAN</v>
      </c>
    </row>
    <row r="2148" spans="5:8" x14ac:dyDescent="0.25">
      <c r="E2148" t="str">
        <f>""</f>
        <v/>
      </c>
      <c r="F2148" t="str">
        <f>""</f>
        <v/>
      </c>
      <c r="H2148" t="str">
        <f t="shared" ref="H2148:H2179" si="28">"GUARDIAN"</f>
        <v>GUARDIAN</v>
      </c>
    </row>
    <row r="2149" spans="5:8" x14ac:dyDescent="0.25">
      <c r="E2149" t="str">
        <f>""</f>
        <v/>
      </c>
      <c r="F2149" t="str">
        <f>""</f>
        <v/>
      </c>
      <c r="H2149" t="str">
        <f t="shared" si="28"/>
        <v>GUARDIAN</v>
      </c>
    </row>
    <row r="2150" spans="5:8" x14ac:dyDescent="0.25">
      <c r="E2150" t="str">
        <f>""</f>
        <v/>
      </c>
      <c r="F2150" t="str">
        <f>""</f>
        <v/>
      </c>
      <c r="H2150" t="str">
        <f t="shared" si="28"/>
        <v>GUARDIAN</v>
      </c>
    </row>
    <row r="2151" spans="5:8" x14ac:dyDescent="0.25">
      <c r="E2151" t="str">
        <f>""</f>
        <v/>
      </c>
      <c r="F2151" t="str">
        <f>""</f>
        <v/>
      </c>
      <c r="H2151" t="str">
        <f t="shared" si="28"/>
        <v>GUARDIAN</v>
      </c>
    </row>
    <row r="2152" spans="5:8" x14ac:dyDescent="0.25">
      <c r="E2152" t="str">
        <f>""</f>
        <v/>
      </c>
      <c r="F2152" t="str">
        <f>""</f>
        <v/>
      </c>
      <c r="H2152" t="str">
        <f t="shared" si="28"/>
        <v>GUARDIAN</v>
      </c>
    </row>
    <row r="2153" spans="5:8" x14ac:dyDescent="0.25">
      <c r="E2153" t="str">
        <f>"LIE201810034226"</f>
        <v>LIE201810034226</v>
      </c>
      <c r="F2153" t="str">
        <f>"GUARDIAN"</f>
        <v>GUARDIAN</v>
      </c>
      <c r="G2153" s="3">
        <v>101.35</v>
      </c>
      <c r="H2153" t="str">
        <f t="shared" si="28"/>
        <v>GUARDIAN</v>
      </c>
    </row>
    <row r="2154" spans="5:8" x14ac:dyDescent="0.25">
      <c r="E2154" t="str">
        <f>""</f>
        <v/>
      </c>
      <c r="F2154" t="str">
        <f>""</f>
        <v/>
      </c>
      <c r="H2154" t="str">
        <f t="shared" si="28"/>
        <v>GUARDIAN</v>
      </c>
    </row>
    <row r="2155" spans="5:8" x14ac:dyDescent="0.25">
      <c r="E2155" t="str">
        <f>"LIE201810174606"</f>
        <v>LIE201810174606</v>
      </c>
      <c r="F2155" t="str">
        <f>"GUARDIAN"</f>
        <v>GUARDIAN</v>
      </c>
      <c r="G2155" s="3">
        <v>3386.8</v>
      </c>
      <c r="H2155" t="str">
        <f t="shared" si="28"/>
        <v>GUARDIAN</v>
      </c>
    </row>
    <row r="2156" spans="5:8" x14ac:dyDescent="0.25">
      <c r="E2156" t="str">
        <f>""</f>
        <v/>
      </c>
      <c r="F2156" t="str">
        <f>""</f>
        <v/>
      </c>
      <c r="H2156" t="str">
        <f t="shared" si="28"/>
        <v>GUARDIAN</v>
      </c>
    </row>
    <row r="2157" spans="5:8" x14ac:dyDescent="0.25">
      <c r="E2157" t="str">
        <f>""</f>
        <v/>
      </c>
      <c r="F2157" t="str">
        <f>""</f>
        <v/>
      </c>
      <c r="H2157" t="str">
        <f t="shared" si="28"/>
        <v>GUARDIAN</v>
      </c>
    </row>
    <row r="2158" spans="5:8" x14ac:dyDescent="0.25">
      <c r="E2158" t="str">
        <f>""</f>
        <v/>
      </c>
      <c r="F2158" t="str">
        <f>""</f>
        <v/>
      </c>
      <c r="H2158" t="str">
        <f t="shared" si="28"/>
        <v>GUARDIAN</v>
      </c>
    </row>
    <row r="2159" spans="5:8" x14ac:dyDescent="0.25">
      <c r="E2159" t="str">
        <f>""</f>
        <v/>
      </c>
      <c r="F2159" t="str">
        <f>""</f>
        <v/>
      </c>
      <c r="H2159" t="str">
        <f t="shared" si="28"/>
        <v>GUARDIAN</v>
      </c>
    </row>
    <row r="2160" spans="5:8" x14ac:dyDescent="0.25">
      <c r="E2160" t="str">
        <f>""</f>
        <v/>
      </c>
      <c r="F2160" t="str">
        <f>""</f>
        <v/>
      </c>
      <c r="H2160" t="str">
        <f t="shared" si="28"/>
        <v>GUARDIAN</v>
      </c>
    </row>
    <row r="2161" spans="5:8" x14ac:dyDescent="0.25">
      <c r="E2161" t="str">
        <f>""</f>
        <v/>
      </c>
      <c r="F2161" t="str">
        <f>""</f>
        <v/>
      </c>
      <c r="H2161" t="str">
        <f t="shared" si="28"/>
        <v>GUARDIAN</v>
      </c>
    </row>
    <row r="2162" spans="5:8" x14ac:dyDescent="0.25">
      <c r="E2162" t="str">
        <f>""</f>
        <v/>
      </c>
      <c r="F2162" t="str">
        <f>""</f>
        <v/>
      </c>
      <c r="H2162" t="str">
        <f t="shared" si="28"/>
        <v>GUARDIAN</v>
      </c>
    </row>
    <row r="2163" spans="5:8" x14ac:dyDescent="0.25">
      <c r="E2163" t="str">
        <f>""</f>
        <v/>
      </c>
      <c r="F2163" t="str">
        <f>""</f>
        <v/>
      </c>
      <c r="H2163" t="str">
        <f t="shared" si="28"/>
        <v>GUARDIAN</v>
      </c>
    </row>
    <row r="2164" spans="5:8" x14ac:dyDescent="0.25">
      <c r="E2164" t="str">
        <f>""</f>
        <v/>
      </c>
      <c r="F2164" t="str">
        <f>""</f>
        <v/>
      </c>
      <c r="H2164" t="str">
        <f t="shared" si="28"/>
        <v>GUARDIAN</v>
      </c>
    </row>
    <row r="2165" spans="5:8" x14ac:dyDescent="0.25">
      <c r="E2165" t="str">
        <f>""</f>
        <v/>
      </c>
      <c r="F2165" t="str">
        <f>""</f>
        <v/>
      </c>
      <c r="H2165" t="str">
        <f t="shared" si="28"/>
        <v>GUARDIAN</v>
      </c>
    </row>
    <row r="2166" spans="5:8" x14ac:dyDescent="0.25">
      <c r="E2166" t="str">
        <f>""</f>
        <v/>
      </c>
      <c r="F2166" t="str">
        <f>""</f>
        <v/>
      </c>
      <c r="H2166" t="str">
        <f t="shared" si="28"/>
        <v>GUARDIAN</v>
      </c>
    </row>
    <row r="2167" spans="5:8" x14ac:dyDescent="0.25">
      <c r="E2167" t="str">
        <f>""</f>
        <v/>
      </c>
      <c r="F2167" t="str">
        <f>""</f>
        <v/>
      </c>
      <c r="H2167" t="str">
        <f t="shared" si="28"/>
        <v>GUARDIAN</v>
      </c>
    </row>
    <row r="2168" spans="5:8" x14ac:dyDescent="0.25">
      <c r="E2168" t="str">
        <f>""</f>
        <v/>
      </c>
      <c r="F2168" t="str">
        <f>""</f>
        <v/>
      </c>
      <c r="H2168" t="str">
        <f t="shared" si="28"/>
        <v>GUARDIAN</v>
      </c>
    </row>
    <row r="2169" spans="5:8" x14ac:dyDescent="0.25">
      <c r="E2169" t="str">
        <f>""</f>
        <v/>
      </c>
      <c r="F2169" t="str">
        <f>""</f>
        <v/>
      </c>
      <c r="H2169" t="str">
        <f t="shared" si="28"/>
        <v>GUARDIAN</v>
      </c>
    </row>
    <row r="2170" spans="5:8" x14ac:dyDescent="0.25">
      <c r="E2170" t="str">
        <f>""</f>
        <v/>
      </c>
      <c r="F2170" t="str">
        <f>""</f>
        <v/>
      </c>
      <c r="H2170" t="str">
        <f t="shared" si="28"/>
        <v>GUARDIAN</v>
      </c>
    </row>
    <row r="2171" spans="5:8" x14ac:dyDescent="0.25">
      <c r="E2171" t="str">
        <f>""</f>
        <v/>
      </c>
      <c r="F2171" t="str">
        <f>""</f>
        <v/>
      </c>
      <c r="H2171" t="str">
        <f t="shared" si="28"/>
        <v>GUARDIAN</v>
      </c>
    </row>
    <row r="2172" spans="5:8" x14ac:dyDescent="0.25">
      <c r="E2172" t="str">
        <f>""</f>
        <v/>
      </c>
      <c r="F2172" t="str">
        <f>""</f>
        <v/>
      </c>
      <c r="H2172" t="str">
        <f t="shared" si="28"/>
        <v>GUARDIAN</v>
      </c>
    </row>
    <row r="2173" spans="5:8" x14ac:dyDescent="0.25">
      <c r="E2173" t="str">
        <f>""</f>
        <v/>
      </c>
      <c r="F2173" t="str">
        <f>""</f>
        <v/>
      </c>
      <c r="H2173" t="str">
        <f t="shared" si="28"/>
        <v>GUARDIAN</v>
      </c>
    </row>
    <row r="2174" spans="5:8" x14ac:dyDescent="0.25">
      <c r="E2174" t="str">
        <f>""</f>
        <v/>
      </c>
      <c r="F2174" t="str">
        <f>""</f>
        <v/>
      </c>
      <c r="H2174" t="str">
        <f t="shared" si="28"/>
        <v>GUARDIAN</v>
      </c>
    </row>
    <row r="2175" spans="5:8" x14ac:dyDescent="0.25">
      <c r="E2175" t="str">
        <f>""</f>
        <v/>
      </c>
      <c r="F2175" t="str">
        <f>""</f>
        <v/>
      </c>
      <c r="H2175" t="str">
        <f t="shared" si="28"/>
        <v>GUARDIAN</v>
      </c>
    </row>
    <row r="2176" spans="5:8" x14ac:dyDescent="0.25">
      <c r="E2176" t="str">
        <f>""</f>
        <v/>
      </c>
      <c r="F2176" t="str">
        <f>""</f>
        <v/>
      </c>
      <c r="H2176" t="str">
        <f t="shared" si="28"/>
        <v>GUARDIAN</v>
      </c>
    </row>
    <row r="2177" spans="5:8" x14ac:dyDescent="0.25">
      <c r="E2177" t="str">
        <f>""</f>
        <v/>
      </c>
      <c r="F2177" t="str">
        <f>""</f>
        <v/>
      </c>
      <c r="H2177" t="str">
        <f t="shared" si="28"/>
        <v>GUARDIAN</v>
      </c>
    </row>
    <row r="2178" spans="5:8" x14ac:dyDescent="0.25">
      <c r="E2178" t="str">
        <f>""</f>
        <v/>
      </c>
      <c r="F2178" t="str">
        <f>""</f>
        <v/>
      </c>
      <c r="H2178" t="str">
        <f t="shared" si="28"/>
        <v>GUARDIAN</v>
      </c>
    </row>
    <row r="2179" spans="5:8" x14ac:dyDescent="0.25">
      <c r="E2179" t="str">
        <f>""</f>
        <v/>
      </c>
      <c r="F2179" t="str">
        <f>""</f>
        <v/>
      </c>
      <c r="H2179" t="str">
        <f t="shared" si="28"/>
        <v>GUARDIAN</v>
      </c>
    </row>
    <row r="2180" spans="5:8" x14ac:dyDescent="0.25">
      <c r="E2180" t="str">
        <f>""</f>
        <v/>
      </c>
      <c r="F2180" t="str">
        <f>""</f>
        <v/>
      </c>
      <c r="H2180" t="str">
        <f t="shared" ref="H2180:H2213" si="29">"GUARDIAN"</f>
        <v>GUARDIAN</v>
      </c>
    </row>
    <row r="2181" spans="5:8" x14ac:dyDescent="0.25">
      <c r="E2181" t="str">
        <f>""</f>
        <v/>
      </c>
      <c r="F2181" t="str">
        <f>""</f>
        <v/>
      </c>
      <c r="H2181" t="str">
        <f t="shared" si="29"/>
        <v>GUARDIAN</v>
      </c>
    </row>
    <row r="2182" spans="5:8" x14ac:dyDescent="0.25">
      <c r="E2182" t="str">
        <f>""</f>
        <v/>
      </c>
      <c r="F2182" t="str">
        <f>""</f>
        <v/>
      </c>
      <c r="H2182" t="str">
        <f t="shared" si="29"/>
        <v>GUARDIAN</v>
      </c>
    </row>
    <row r="2183" spans="5:8" x14ac:dyDescent="0.25">
      <c r="E2183" t="str">
        <f>""</f>
        <v/>
      </c>
      <c r="F2183" t="str">
        <f>""</f>
        <v/>
      </c>
      <c r="H2183" t="str">
        <f t="shared" si="29"/>
        <v>GUARDIAN</v>
      </c>
    </row>
    <row r="2184" spans="5:8" x14ac:dyDescent="0.25">
      <c r="E2184" t="str">
        <f>""</f>
        <v/>
      </c>
      <c r="F2184" t="str">
        <f>""</f>
        <v/>
      </c>
      <c r="H2184" t="str">
        <f t="shared" si="29"/>
        <v>GUARDIAN</v>
      </c>
    </row>
    <row r="2185" spans="5:8" x14ac:dyDescent="0.25">
      <c r="E2185" t="str">
        <f>""</f>
        <v/>
      </c>
      <c r="F2185" t="str">
        <f>""</f>
        <v/>
      </c>
      <c r="H2185" t="str">
        <f t="shared" si="29"/>
        <v>GUARDIAN</v>
      </c>
    </row>
    <row r="2186" spans="5:8" x14ac:dyDescent="0.25">
      <c r="E2186" t="str">
        <f>""</f>
        <v/>
      </c>
      <c r="F2186" t="str">
        <f>""</f>
        <v/>
      </c>
      <c r="H2186" t="str">
        <f t="shared" si="29"/>
        <v>GUARDIAN</v>
      </c>
    </row>
    <row r="2187" spans="5:8" x14ac:dyDescent="0.25">
      <c r="E2187" t="str">
        <f>""</f>
        <v/>
      </c>
      <c r="F2187" t="str">
        <f>""</f>
        <v/>
      </c>
      <c r="H2187" t="str">
        <f t="shared" si="29"/>
        <v>GUARDIAN</v>
      </c>
    </row>
    <row r="2188" spans="5:8" x14ac:dyDescent="0.25">
      <c r="E2188" t="str">
        <f>""</f>
        <v/>
      </c>
      <c r="F2188" t="str">
        <f>""</f>
        <v/>
      </c>
      <c r="H2188" t="str">
        <f t="shared" si="29"/>
        <v>GUARDIAN</v>
      </c>
    </row>
    <row r="2189" spans="5:8" x14ac:dyDescent="0.25">
      <c r="E2189" t="str">
        <f>""</f>
        <v/>
      </c>
      <c r="F2189" t="str">
        <f>""</f>
        <v/>
      </c>
      <c r="H2189" t="str">
        <f t="shared" si="29"/>
        <v>GUARDIAN</v>
      </c>
    </row>
    <row r="2190" spans="5:8" x14ac:dyDescent="0.25">
      <c r="E2190" t="str">
        <f>""</f>
        <v/>
      </c>
      <c r="F2190" t="str">
        <f>""</f>
        <v/>
      </c>
      <c r="H2190" t="str">
        <f t="shared" si="29"/>
        <v>GUARDIAN</v>
      </c>
    </row>
    <row r="2191" spans="5:8" x14ac:dyDescent="0.25">
      <c r="E2191" t="str">
        <f>""</f>
        <v/>
      </c>
      <c r="F2191" t="str">
        <f>""</f>
        <v/>
      </c>
      <c r="H2191" t="str">
        <f t="shared" si="29"/>
        <v>GUARDIAN</v>
      </c>
    </row>
    <row r="2192" spans="5:8" x14ac:dyDescent="0.25">
      <c r="E2192" t="str">
        <f>""</f>
        <v/>
      </c>
      <c r="F2192" t="str">
        <f>""</f>
        <v/>
      </c>
      <c r="H2192" t="str">
        <f t="shared" si="29"/>
        <v>GUARDIAN</v>
      </c>
    </row>
    <row r="2193" spans="5:8" x14ac:dyDescent="0.25">
      <c r="E2193" t="str">
        <f>""</f>
        <v/>
      </c>
      <c r="F2193" t="str">
        <f>""</f>
        <v/>
      </c>
      <c r="H2193" t="str">
        <f t="shared" si="29"/>
        <v>GUARDIAN</v>
      </c>
    </row>
    <row r="2194" spans="5:8" x14ac:dyDescent="0.25">
      <c r="E2194" t="str">
        <f>""</f>
        <v/>
      </c>
      <c r="F2194" t="str">
        <f>""</f>
        <v/>
      </c>
      <c r="H2194" t="str">
        <f t="shared" si="29"/>
        <v>GUARDIAN</v>
      </c>
    </row>
    <row r="2195" spans="5:8" x14ac:dyDescent="0.25">
      <c r="E2195" t="str">
        <f>""</f>
        <v/>
      </c>
      <c r="F2195" t="str">
        <f>""</f>
        <v/>
      </c>
      <c r="H2195" t="str">
        <f t="shared" si="29"/>
        <v>GUARDIAN</v>
      </c>
    </row>
    <row r="2196" spans="5:8" x14ac:dyDescent="0.25">
      <c r="E2196" t="str">
        <f>""</f>
        <v/>
      </c>
      <c r="F2196" t="str">
        <f>""</f>
        <v/>
      </c>
      <c r="H2196" t="str">
        <f t="shared" si="29"/>
        <v>GUARDIAN</v>
      </c>
    </row>
    <row r="2197" spans="5:8" x14ac:dyDescent="0.25">
      <c r="E2197" t="str">
        <f>""</f>
        <v/>
      </c>
      <c r="F2197" t="str">
        <f>""</f>
        <v/>
      </c>
      <c r="H2197" t="str">
        <f t="shared" si="29"/>
        <v>GUARDIAN</v>
      </c>
    </row>
    <row r="2198" spans="5:8" x14ac:dyDescent="0.25">
      <c r="E2198" t="str">
        <f>""</f>
        <v/>
      </c>
      <c r="F2198" t="str">
        <f>""</f>
        <v/>
      </c>
      <c r="H2198" t="str">
        <f t="shared" si="29"/>
        <v>GUARDIAN</v>
      </c>
    </row>
    <row r="2199" spans="5:8" x14ac:dyDescent="0.25">
      <c r="E2199" t="str">
        <f>""</f>
        <v/>
      </c>
      <c r="F2199" t="str">
        <f>""</f>
        <v/>
      </c>
      <c r="H2199" t="str">
        <f t="shared" si="29"/>
        <v>GUARDIAN</v>
      </c>
    </row>
    <row r="2200" spans="5:8" x14ac:dyDescent="0.25">
      <c r="E2200" t="str">
        <f>""</f>
        <v/>
      </c>
      <c r="F2200" t="str">
        <f>""</f>
        <v/>
      </c>
      <c r="H2200" t="str">
        <f t="shared" si="29"/>
        <v>GUARDIAN</v>
      </c>
    </row>
    <row r="2201" spans="5:8" x14ac:dyDescent="0.25">
      <c r="E2201" t="str">
        <f>""</f>
        <v/>
      </c>
      <c r="F2201" t="str">
        <f>""</f>
        <v/>
      </c>
      <c r="H2201" t="str">
        <f t="shared" si="29"/>
        <v>GUARDIAN</v>
      </c>
    </row>
    <row r="2202" spans="5:8" x14ac:dyDescent="0.25">
      <c r="E2202" t="str">
        <f>"LIE201810174607"</f>
        <v>LIE201810174607</v>
      </c>
      <c r="F2202" t="str">
        <f>"GUARDIAN"</f>
        <v>GUARDIAN</v>
      </c>
      <c r="G2202" s="3">
        <v>101.35</v>
      </c>
      <c r="H2202" t="str">
        <f t="shared" si="29"/>
        <v>GUARDIAN</v>
      </c>
    </row>
    <row r="2203" spans="5:8" x14ac:dyDescent="0.25">
      <c r="E2203" t="str">
        <f>""</f>
        <v/>
      </c>
      <c r="F2203" t="str">
        <f>""</f>
        <v/>
      </c>
      <c r="H2203" t="str">
        <f t="shared" si="29"/>
        <v>GUARDIAN</v>
      </c>
    </row>
    <row r="2204" spans="5:8" x14ac:dyDescent="0.25">
      <c r="E2204" t="str">
        <f>"LIS201810034225"</f>
        <v>LIS201810034225</v>
      </c>
      <c r="F2204" t="str">
        <f t="shared" ref="F2204:F2213" si="30">"GUARDIAN"</f>
        <v>GUARDIAN</v>
      </c>
      <c r="G2204" s="3">
        <v>451.1</v>
      </c>
      <c r="H2204" t="str">
        <f t="shared" si="29"/>
        <v>GUARDIAN</v>
      </c>
    </row>
    <row r="2205" spans="5:8" x14ac:dyDescent="0.25">
      <c r="E2205" t="str">
        <f>"LIS201810034226"</f>
        <v>LIS201810034226</v>
      </c>
      <c r="F2205" t="str">
        <f t="shared" si="30"/>
        <v>GUARDIAN</v>
      </c>
      <c r="G2205" s="3">
        <v>42.3</v>
      </c>
      <c r="H2205" t="str">
        <f t="shared" si="29"/>
        <v>GUARDIAN</v>
      </c>
    </row>
    <row r="2206" spans="5:8" x14ac:dyDescent="0.25">
      <c r="E2206" t="str">
        <f>"LIS201810174606"</f>
        <v>LIS201810174606</v>
      </c>
      <c r="F2206" t="str">
        <f t="shared" si="30"/>
        <v>GUARDIAN</v>
      </c>
      <c r="G2206" s="3">
        <v>437.1</v>
      </c>
      <c r="H2206" t="str">
        <f t="shared" si="29"/>
        <v>GUARDIAN</v>
      </c>
    </row>
    <row r="2207" spans="5:8" x14ac:dyDescent="0.25">
      <c r="E2207" t="str">
        <f>"LIS201810174607"</f>
        <v>LIS201810174607</v>
      </c>
      <c r="F2207" t="str">
        <f t="shared" si="30"/>
        <v>GUARDIAN</v>
      </c>
      <c r="G2207" s="3">
        <v>42.3</v>
      </c>
      <c r="H2207" t="str">
        <f t="shared" si="29"/>
        <v>GUARDIAN</v>
      </c>
    </row>
    <row r="2208" spans="5:8" x14ac:dyDescent="0.25">
      <c r="E2208" t="str">
        <f>"LTD201810034225"</f>
        <v>LTD201810034225</v>
      </c>
      <c r="F2208" t="str">
        <f t="shared" si="30"/>
        <v>GUARDIAN</v>
      </c>
      <c r="G2208" s="3">
        <v>814.76</v>
      </c>
      <c r="H2208" t="str">
        <f t="shared" si="29"/>
        <v>GUARDIAN</v>
      </c>
    </row>
    <row r="2209" spans="1:8" x14ac:dyDescent="0.25">
      <c r="E2209" t="str">
        <f>"LTD201810174606"</f>
        <v>LTD201810174606</v>
      </c>
      <c r="F2209" t="str">
        <f t="shared" si="30"/>
        <v>GUARDIAN</v>
      </c>
      <c r="G2209" s="3">
        <v>814.76</v>
      </c>
      <c r="H2209" t="str">
        <f t="shared" si="29"/>
        <v>GUARDIAN</v>
      </c>
    </row>
    <row r="2210" spans="1:8" x14ac:dyDescent="0.25">
      <c r="A2210" t="s">
        <v>566</v>
      </c>
      <c r="B2210">
        <v>0</v>
      </c>
      <c r="C2210" s="2">
        <v>112.44</v>
      </c>
      <c r="D2210" s="1">
        <v>43402</v>
      </c>
      <c r="E2210" t="str">
        <f>"AEG201810034225"</f>
        <v>AEG201810034225</v>
      </c>
      <c r="F2210" t="str">
        <f t="shared" si="30"/>
        <v>GUARDIAN</v>
      </c>
      <c r="G2210" s="3">
        <v>6.66</v>
      </c>
      <c r="H2210" t="str">
        <f t="shared" si="29"/>
        <v>GUARDIAN</v>
      </c>
    </row>
    <row r="2211" spans="1:8" x14ac:dyDescent="0.25">
      <c r="E2211" t="str">
        <f>"AEG201810174606"</f>
        <v>AEG201810174606</v>
      </c>
      <c r="F2211" t="str">
        <f t="shared" si="30"/>
        <v>GUARDIAN</v>
      </c>
      <c r="G2211" s="3">
        <v>6.66</v>
      </c>
      <c r="H2211" t="str">
        <f t="shared" si="29"/>
        <v>GUARDIAN</v>
      </c>
    </row>
    <row r="2212" spans="1:8" x14ac:dyDescent="0.25">
      <c r="E2212" t="str">
        <f>"AFG201810034225"</f>
        <v>AFG201810034225</v>
      </c>
      <c r="F2212" t="str">
        <f t="shared" si="30"/>
        <v>GUARDIAN</v>
      </c>
      <c r="G2212" s="3">
        <v>49.56</v>
      </c>
      <c r="H2212" t="str">
        <f t="shared" si="29"/>
        <v>GUARDIAN</v>
      </c>
    </row>
    <row r="2213" spans="1:8" x14ac:dyDescent="0.25">
      <c r="E2213" t="str">
        <f>"AFG201810174606"</f>
        <v>AFG201810174606</v>
      </c>
      <c r="F2213" t="str">
        <f t="shared" si="30"/>
        <v>GUARDIAN</v>
      </c>
      <c r="G2213" s="3">
        <v>49.56</v>
      </c>
      <c r="H2213" t="str">
        <f t="shared" si="29"/>
        <v>GUARDIAN</v>
      </c>
    </row>
    <row r="2214" spans="1:8" x14ac:dyDescent="0.25">
      <c r="A2214" t="s">
        <v>567</v>
      </c>
      <c r="B2214">
        <v>46655</v>
      </c>
      <c r="C2214" s="2">
        <v>238.43</v>
      </c>
      <c r="D2214" s="1">
        <v>43378</v>
      </c>
      <c r="E2214" t="str">
        <f>"IJ2201810034225"</f>
        <v>IJ2201810034225</v>
      </c>
      <c r="F2214" t="str">
        <f>"LISA JACKSON 2 IRS LEVY"</f>
        <v>LISA JACKSON 2 IRS LEVY</v>
      </c>
      <c r="G2214" s="3">
        <v>238.43</v>
      </c>
      <c r="H2214" t="str">
        <f>"LISA JACKSON 2 IRS LEVY"</f>
        <v>LISA JACKSON 2 IRS LEVY</v>
      </c>
    </row>
    <row r="2215" spans="1:8" x14ac:dyDescent="0.25">
      <c r="A2215" t="s">
        <v>567</v>
      </c>
      <c r="B2215">
        <v>46686</v>
      </c>
      <c r="C2215" s="2">
        <v>238.43</v>
      </c>
      <c r="D2215" s="1">
        <v>43392</v>
      </c>
      <c r="E2215" t="str">
        <f>"IJ2201810174606"</f>
        <v>IJ2201810174606</v>
      </c>
      <c r="F2215" t="str">
        <f>"LISA JACKSON 2 IRS LEVY"</f>
        <v>LISA JACKSON 2 IRS LEVY</v>
      </c>
      <c r="G2215" s="3">
        <v>238.43</v>
      </c>
      <c r="H2215" t="str">
        <f>"LISA JACKSON 2 IRS LEVY"</f>
        <v>LISA JACKSON 2 IRS LEVY</v>
      </c>
    </row>
    <row r="2216" spans="1:8" x14ac:dyDescent="0.25">
      <c r="A2216" t="s">
        <v>568</v>
      </c>
      <c r="B2216">
        <v>0</v>
      </c>
      <c r="C2216" s="2">
        <v>218022.07</v>
      </c>
      <c r="D2216" s="1">
        <v>43378</v>
      </c>
      <c r="E2216" t="str">
        <f>"T1 201810034225"</f>
        <v>T1 201810034225</v>
      </c>
      <c r="F2216" t="str">
        <f>"FEDERAL WITHHOLDING"</f>
        <v>FEDERAL WITHHOLDING</v>
      </c>
      <c r="G2216" s="3">
        <v>71925.61</v>
      </c>
      <c r="H2216" t="str">
        <f>"FEDERAL WITHHOLDING"</f>
        <v>FEDERAL WITHHOLDING</v>
      </c>
    </row>
    <row r="2217" spans="1:8" x14ac:dyDescent="0.25">
      <c r="E2217" t="str">
        <f>"T1 201810034226"</f>
        <v>T1 201810034226</v>
      </c>
      <c r="F2217" t="str">
        <f>"FEDERAL WITHHOLDING"</f>
        <v>FEDERAL WITHHOLDING</v>
      </c>
      <c r="G2217" s="3">
        <v>2948.98</v>
      </c>
      <c r="H2217" t="str">
        <f>"FEDERAL WITHHOLDING"</f>
        <v>FEDERAL WITHHOLDING</v>
      </c>
    </row>
    <row r="2218" spans="1:8" x14ac:dyDescent="0.25">
      <c r="E2218" t="str">
        <f>"T1 201810034227"</f>
        <v>T1 201810034227</v>
      </c>
      <c r="F2218" t="str">
        <f>"FEDERAL WITHHOLDING"</f>
        <v>FEDERAL WITHHOLDING</v>
      </c>
      <c r="G2218" s="3">
        <v>3547.98</v>
      </c>
      <c r="H2218" t="str">
        <f>"FEDERAL WITHHOLDING"</f>
        <v>FEDERAL WITHHOLDING</v>
      </c>
    </row>
    <row r="2219" spans="1:8" x14ac:dyDescent="0.25">
      <c r="E2219" t="str">
        <f>"T3 201810034225"</f>
        <v>T3 201810034225</v>
      </c>
      <c r="F2219" t="str">
        <f>"SOCIAL SECURITY TAXES"</f>
        <v>SOCIAL SECURITY TAXES</v>
      </c>
      <c r="G2219" s="3">
        <v>103824.22</v>
      </c>
      <c r="H2219" t="str">
        <f t="shared" ref="H2219:H2250" si="31">"SOCIAL SECURITY TAXES"</f>
        <v>SOCIAL SECURITY TAXES</v>
      </c>
    </row>
    <row r="2220" spans="1:8" x14ac:dyDescent="0.25">
      <c r="E2220" t="str">
        <f>""</f>
        <v/>
      </c>
      <c r="F2220" t="str">
        <f>""</f>
        <v/>
      </c>
      <c r="H2220" t="str">
        <f t="shared" si="31"/>
        <v>SOCIAL SECURITY TAXES</v>
      </c>
    </row>
    <row r="2221" spans="1:8" x14ac:dyDescent="0.25">
      <c r="E2221" t="str">
        <f>""</f>
        <v/>
      </c>
      <c r="F2221" t="str">
        <f>""</f>
        <v/>
      </c>
      <c r="H2221" t="str">
        <f t="shared" si="31"/>
        <v>SOCIAL SECURITY TAXES</v>
      </c>
    </row>
    <row r="2222" spans="1:8" x14ac:dyDescent="0.25">
      <c r="E2222" t="str">
        <f>""</f>
        <v/>
      </c>
      <c r="F2222" t="str">
        <f>""</f>
        <v/>
      </c>
      <c r="H2222" t="str">
        <f t="shared" si="31"/>
        <v>SOCIAL SECURITY TAXES</v>
      </c>
    </row>
    <row r="2223" spans="1:8" x14ac:dyDescent="0.25">
      <c r="E2223" t="str">
        <f>""</f>
        <v/>
      </c>
      <c r="F2223" t="str">
        <f>""</f>
        <v/>
      </c>
      <c r="H2223" t="str">
        <f t="shared" si="31"/>
        <v>SOCIAL SECURITY TAXES</v>
      </c>
    </row>
    <row r="2224" spans="1:8" x14ac:dyDescent="0.25">
      <c r="E2224" t="str">
        <f>""</f>
        <v/>
      </c>
      <c r="F2224" t="str">
        <f>""</f>
        <v/>
      </c>
      <c r="H2224" t="str">
        <f t="shared" si="31"/>
        <v>SOCIAL SECURITY TAXES</v>
      </c>
    </row>
    <row r="2225" spans="5:8" x14ac:dyDescent="0.25">
      <c r="E2225" t="str">
        <f>""</f>
        <v/>
      </c>
      <c r="F2225" t="str">
        <f>""</f>
        <v/>
      </c>
      <c r="H2225" t="str">
        <f t="shared" si="31"/>
        <v>SOCIAL SECURITY TAXES</v>
      </c>
    </row>
    <row r="2226" spans="5:8" x14ac:dyDescent="0.25">
      <c r="E2226" t="str">
        <f>""</f>
        <v/>
      </c>
      <c r="F2226" t="str">
        <f>""</f>
        <v/>
      </c>
      <c r="H2226" t="str">
        <f t="shared" si="31"/>
        <v>SOCIAL SECURITY TAXES</v>
      </c>
    </row>
    <row r="2227" spans="5:8" x14ac:dyDescent="0.25">
      <c r="E2227" t="str">
        <f>""</f>
        <v/>
      </c>
      <c r="F2227" t="str">
        <f>""</f>
        <v/>
      </c>
      <c r="H2227" t="str">
        <f t="shared" si="31"/>
        <v>SOCIAL SECURITY TAXES</v>
      </c>
    </row>
    <row r="2228" spans="5:8" x14ac:dyDescent="0.25">
      <c r="E2228" t="str">
        <f>""</f>
        <v/>
      </c>
      <c r="F2228" t="str">
        <f>""</f>
        <v/>
      </c>
      <c r="H2228" t="str">
        <f t="shared" si="31"/>
        <v>SOCIAL SECURITY TAXES</v>
      </c>
    </row>
    <row r="2229" spans="5:8" x14ac:dyDescent="0.25">
      <c r="E2229" t="str">
        <f>""</f>
        <v/>
      </c>
      <c r="F2229" t="str">
        <f>""</f>
        <v/>
      </c>
      <c r="H2229" t="str">
        <f t="shared" si="31"/>
        <v>SOCIAL SECURITY TAXES</v>
      </c>
    </row>
    <row r="2230" spans="5:8" x14ac:dyDescent="0.25">
      <c r="E2230" t="str">
        <f>""</f>
        <v/>
      </c>
      <c r="F2230" t="str">
        <f>""</f>
        <v/>
      </c>
      <c r="H2230" t="str">
        <f t="shared" si="31"/>
        <v>SOCIAL SECURITY TAXES</v>
      </c>
    </row>
    <row r="2231" spans="5:8" x14ac:dyDescent="0.25">
      <c r="E2231" t="str">
        <f>""</f>
        <v/>
      </c>
      <c r="F2231" t="str">
        <f>""</f>
        <v/>
      </c>
      <c r="H2231" t="str">
        <f t="shared" si="31"/>
        <v>SOCIAL SECURITY TAXES</v>
      </c>
    </row>
    <row r="2232" spans="5:8" x14ac:dyDescent="0.25">
      <c r="E2232" t="str">
        <f>""</f>
        <v/>
      </c>
      <c r="F2232" t="str">
        <f>""</f>
        <v/>
      </c>
      <c r="H2232" t="str">
        <f t="shared" si="31"/>
        <v>SOCIAL SECURITY TAXES</v>
      </c>
    </row>
    <row r="2233" spans="5:8" x14ac:dyDescent="0.25">
      <c r="E2233" t="str">
        <f>""</f>
        <v/>
      </c>
      <c r="F2233" t="str">
        <f>""</f>
        <v/>
      </c>
      <c r="H2233" t="str">
        <f t="shared" si="31"/>
        <v>SOCIAL SECURITY TAXES</v>
      </c>
    </row>
    <row r="2234" spans="5:8" x14ac:dyDescent="0.25">
      <c r="E2234" t="str">
        <f>""</f>
        <v/>
      </c>
      <c r="F2234" t="str">
        <f>""</f>
        <v/>
      </c>
      <c r="H2234" t="str">
        <f t="shared" si="31"/>
        <v>SOCIAL SECURITY TAXES</v>
      </c>
    </row>
    <row r="2235" spans="5:8" x14ac:dyDescent="0.25">
      <c r="E2235" t="str">
        <f>""</f>
        <v/>
      </c>
      <c r="F2235" t="str">
        <f>""</f>
        <v/>
      </c>
      <c r="H2235" t="str">
        <f t="shared" si="31"/>
        <v>SOCIAL SECURITY TAXES</v>
      </c>
    </row>
    <row r="2236" spans="5:8" x14ac:dyDescent="0.25">
      <c r="E2236" t="str">
        <f>""</f>
        <v/>
      </c>
      <c r="F2236" t="str">
        <f>""</f>
        <v/>
      </c>
      <c r="H2236" t="str">
        <f t="shared" si="31"/>
        <v>SOCIAL SECURITY TAXES</v>
      </c>
    </row>
    <row r="2237" spans="5:8" x14ac:dyDescent="0.25">
      <c r="E2237" t="str">
        <f>""</f>
        <v/>
      </c>
      <c r="F2237" t="str">
        <f>""</f>
        <v/>
      </c>
      <c r="H2237" t="str">
        <f t="shared" si="31"/>
        <v>SOCIAL SECURITY TAXES</v>
      </c>
    </row>
    <row r="2238" spans="5:8" x14ac:dyDescent="0.25">
      <c r="E2238" t="str">
        <f>""</f>
        <v/>
      </c>
      <c r="F2238" t="str">
        <f>""</f>
        <v/>
      </c>
      <c r="H2238" t="str">
        <f t="shared" si="31"/>
        <v>SOCIAL SECURITY TAXES</v>
      </c>
    </row>
    <row r="2239" spans="5:8" x14ac:dyDescent="0.25">
      <c r="E2239" t="str">
        <f>""</f>
        <v/>
      </c>
      <c r="F2239" t="str">
        <f>""</f>
        <v/>
      </c>
      <c r="H2239" t="str">
        <f t="shared" si="31"/>
        <v>SOCIAL SECURITY TAXES</v>
      </c>
    </row>
    <row r="2240" spans="5:8" x14ac:dyDescent="0.25">
      <c r="E2240" t="str">
        <f>""</f>
        <v/>
      </c>
      <c r="F2240" t="str">
        <f>""</f>
        <v/>
      </c>
      <c r="H2240" t="str">
        <f t="shared" si="31"/>
        <v>SOCIAL SECURITY TAXES</v>
      </c>
    </row>
    <row r="2241" spans="5:8" x14ac:dyDescent="0.25">
      <c r="E2241" t="str">
        <f>""</f>
        <v/>
      </c>
      <c r="F2241" t="str">
        <f>""</f>
        <v/>
      </c>
      <c r="H2241" t="str">
        <f t="shared" si="31"/>
        <v>SOCIAL SECURITY TAXES</v>
      </c>
    </row>
    <row r="2242" spans="5:8" x14ac:dyDescent="0.25">
      <c r="E2242" t="str">
        <f>""</f>
        <v/>
      </c>
      <c r="F2242" t="str">
        <f>""</f>
        <v/>
      </c>
      <c r="H2242" t="str">
        <f t="shared" si="31"/>
        <v>SOCIAL SECURITY TAXES</v>
      </c>
    </row>
    <row r="2243" spans="5:8" x14ac:dyDescent="0.25">
      <c r="E2243" t="str">
        <f>""</f>
        <v/>
      </c>
      <c r="F2243" t="str">
        <f>""</f>
        <v/>
      </c>
      <c r="H2243" t="str">
        <f t="shared" si="31"/>
        <v>SOCIAL SECURITY TAXES</v>
      </c>
    </row>
    <row r="2244" spans="5:8" x14ac:dyDescent="0.25">
      <c r="E2244" t="str">
        <f>""</f>
        <v/>
      </c>
      <c r="F2244" t="str">
        <f>""</f>
        <v/>
      </c>
      <c r="H2244" t="str">
        <f t="shared" si="31"/>
        <v>SOCIAL SECURITY TAXES</v>
      </c>
    </row>
    <row r="2245" spans="5:8" x14ac:dyDescent="0.25">
      <c r="E2245" t="str">
        <f>""</f>
        <v/>
      </c>
      <c r="F2245" t="str">
        <f>""</f>
        <v/>
      </c>
      <c r="H2245" t="str">
        <f t="shared" si="31"/>
        <v>SOCIAL SECURITY TAXES</v>
      </c>
    </row>
    <row r="2246" spans="5:8" x14ac:dyDescent="0.25">
      <c r="E2246" t="str">
        <f>""</f>
        <v/>
      </c>
      <c r="F2246" t="str">
        <f>""</f>
        <v/>
      </c>
      <c r="H2246" t="str">
        <f t="shared" si="31"/>
        <v>SOCIAL SECURITY TAXES</v>
      </c>
    </row>
    <row r="2247" spans="5:8" x14ac:dyDescent="0.25">
      <c r="E2247" t="str">
        <f>""</f>
        <v/>
      </c>
      <c r="F2247" t="str">
        <f>""</f>
        <v/>
      </c>
      <c r="H2247" t="str">
        <f t="shared" si="31"/>
        <v>SOCIAL SECURITY TAXES</v>
      </c>
    </row>
    <row r="2248" spans="5:8" x14ac:dyDescent="0.25">
      <c r="E2248" t="str">
        <f>""</f>
        <v/>
      </c>
      <c r="F2248" t="str">
        <f>""</f>
        <v/>
      </c>
      <c r="H2248" t="str">
        <f t="shared" si="31"/>
        <v>SOCIAL SECURITY TAXES</v>
      </c>
    </row>
    <row r="2249" spans="5:8" x14ac:dyDescent="0.25">
      <c r="E2249" t="str">
        <f>""</f>
        <v/>
      </c>
      <c r="F2249" t="str">
        <f>""</f>
        <v/>
      </c>
      <c r="H2249" t="str">
        <f t="shared" si="31"/>
        <v>SOCIAL SECURITY TAXES</v>
      </c>
    </row>
    <row r="2250" spans="5:8" x14ac:dyDescent="0.25">
      <c r="E2250" t="str">
        <f>""</f>
        <v/>
      </c>
      <c r="F2250" t="str">
        <f>""</f>
        <v/>
      </c>
      <c r="H2250" t="str">
        <f t="shared" si="31"/>
        <v>SOCIAL SECURITY TAXES</v>
      </c>
    </row>
    <row r="2251" spans="5:8" x14ac:dyDescent="0.25">
      <c r="E2251" t="str">
        <f>""</f>
        <v/>
      </c>
      <c r="F2251" t="str">
        <f>""</f>
        <v/>
      </c>
      <c r="H2251" t="str">
        <f t="shared" ref="H2251:H2277" si="32">"SOCIAL SECURITY TAXES"</f>
        <v>SOCIAL SECURITY TAXES</v>
      </c>
    </row>
    <row r="2252" spans="5:8" x14ac:dyDescent="0.25">
      <c r="E2252" t="str">
        <f>""</f>
        <v/>
      </c>
      <c r="F2252" t="str">
        <f>""</f>
        <v/>
      </c>
      <c r="H2252" t="str">
        <f t="shared" si="32"/>
        <v>SOCIAL SECURITY TAXES</v>
      </c>
    </row>
    <row r="2253" spans="5:8" x14ac:dyDescent="0.25">
      <c r="E2253" t="str">
        <f>""</f>
        <v/>
      </c>
      <c r="F2253" t="str">
        <f>""</f>
        <v/>
      </c>
      <c r="H2253" t="str">
        <f t="shared" si="32"/>
        <v>SOCIAL SECURITY TAXES</v>
      </c>
    </row>
    <row r="2254" spans="5:8" x14ac:dyDescent="0.25">
      <c r="E2254" t="str">
        <f>""</f>
        <v/>
      </c>
      <c r="F2254" t="str">
        <f>""</f>
        <v/>
      </c>
      <c r="H2254" t="str">
        <f t="shared" si="32"/>
        <v>SOCIAL SECURITY TAXES</v>
      </c>
    </row>
    <row r="2255" spans="5:8" x14ac:dyDescent="0.25">
      <c r="E2255" t="str">
        <f>""</f>
        <v/>
      </c>
      <c r="F2255" t="str">
        <f>""</f>
        <v/>
      </c>
      <c r="H2255" t="str">
        <f t="shared" si="32"/>
        <v>SOCIAL SECURITY TAXES</v>
      </c>
    </row>
    <row r="2256" spans="5:8" x14ac:dyDescent="0.25">
      <c r="E2256" t="str">
        <f>""</f>
        <v/>
      </c>
      <c r="F2256" t="str">
        <f>""</f>
        <v/>
      </c>
      <c r="H2256" t="str">
        <f t="shared" si="32"/>
        <v>SOCIAL SECURITY TAXES</v>
      </c>
    </row>
    <row r="2257" spans="5:8" x14ac:dyDescent="0.25">
      <c r="E2257" t="str">
        <f>""</f>
        <v/>
      </c>
      <c r="F2257" t="str">
        <f>""</f>
        <v/>
      </c>
      <c r="H2257" t="str">
        <f t="shared" si="32"/>
        <v>SOCIAL SECURITY TAXES</v>
      </c>
    </row>
    <row r="2258" spans="5:8" x14ac:dyDescent="0.25">
      <c r="E2258" t="str">
        <f>""</f>
        <v/>
      </c>
      <c r="F2258" t="str">
        <f>""</f>
        <v/>
      </c>
      <c r="H2258" t="str">
        <f t="shared" si="32"/>
        <v>SOCIAL SECURITY TAXES</v>
      </c>
    </row>
    <row r="2259" spans="5:8" x14ac:dyDescent="0.25">
      <c r="E2259" t="str">
        <f>""</f>
        <v/>
      </c>
      <c r="F2259" t="str">
        <f>""</f>
        <v/>
      </c>
      <c r="H2259" t="str">
        <f t="shared" si="32"/>
        <v>SOCIAL SECURITY TAXES</v>
      </c>
    </row>
    <row r="2260" spans="5:8" x14ac:dyDescent="0.25">
      <c r="E2260" t="str">
        <f>""</f>
        <v/>
      </c>
      <c r="F2260" t="str">
        <f>""</f>
        <v/>
      </c>
      <c r="H2260" t="str">
        <f t="shared" si="32"/>
        <v>SOCIAL SECURITY TAXES</v>
      </c>
    </row>
    <row r="2261" spans="5:8" x14ac:dyDescent="0.25">
      <c r="E2261" t="str">
        <f>""</f>
        <v/>
      </c>
      <c r="F2261" t="str">
        <f>""</f>
        <v/>
      </c>
      <c r="H2261" t="str">
        <f t="shared" si="32"/>
        <v>SOCIAL SECURITY TAXES</v>
      </c>
    </row>
    <row r="2262" spans="5:8" x14ac:dyDescent="0.25">
      <c r="E2262" t="str">
        <f>""</f>
        <v/>
      </c>
      <c r="F2262" t="str">
        <f>""</f>
        <v/>
      </c>
      <c r="H2262" t="str">
        <f t="shared" si="32"/>
        <v>SOCIAL SECURITY TAXES</v>
      </c>
    </row>
    <row r="2263" spans="5:8" x14ac:dyDescent="0.25">
      <c r="E2263" t="str">
        <f>""</f>
        <v/>
      </c>
      <c r="F2263" t="str">
        <f>""</f>
        <v/>
      </c>
      <c r="H2263" t="str">
        <f t="shared" si="32"/>
        <v>SOCIAL SECURITY TAXES</v>
      </c>
    </row>
    <row r="2264" spans="5:8" x14ac:dyDescent="0.25">
      <c r="E2264" t="str">
        <f>""</f>
        <v/>
      </c>
      <c r="F2264" t="str">
        <f>""</f>
        <v/>
      </c>
      <c r="H2264" t="str">
        <f t="shared" si="32"/>
        <v>SOCIAL SECURITY TAXES</v>
      </c>
    </row>
    <row r="2265" spans="5:8" x14ac:dyDescent="0.25">
      <c r="E2265" t="str">
        <f>""</f>
        <v/>
      </c>
      <c r="F2265" t="str">
        <f>""</f>
        <v/>
      </c>
      <c r="H2265" t="str">
        <f t="shared" si="32"/>
        <v>SOCIAL SECURITY TAXES</v>
      </c>
    </row>
    <row r="2266" spans="5:8" x14ac:dyDescent="0.25">
      <c r="E2266" t="str">
        <f>""</f>
        <v/>
      </c>
      <c r="F2266" t="str">
        <f>""</f>
        <v/>
      </c>
      <c r="H2266" t="str">
        <f t="shared" si="32"/>
        <v>SOCIAL SECURITY TAXES</v>
      </c>
    </row>
    <row r="2267" spans="5:8" x14ac:dyDescent="0.25">
      <c r="E2267" t="str">
        <f>""</f>
        <v/>
      </c>
      <c r="F2267" t="str">
        <f>""</f>
        <v/>
      </c>
      <c r="H2267" t="str">
        <f t="shared" si="32"/>
        <v>SOCIAL SECURITY TAXES</v>
      </c>
    </row>
    <row r="2268" spans="5:8" x14ac:dyDescent="0.25">
      <c r="E2268" t="str">
        <f>""</f>
        <v/>
      </c>
      <c r="F2268" t="str">
        <f>""</f>
        <v/>
      </c>
      <c r="H2268" t="str">
        <f t="shared" si="32"/>
        <v>SOCIAL SECURITY TAXES</v>
      </c>
    </row>
    <row r="2269" spans="5:8" x14ac:dyDescent="0.25">
      <c r="E2269" t="str">
        <f>""</f>
        <v/>
      </c>
      <c r="F2269" t="str">
        <f>""</f>
        <v/>
      </c>
      <c r="H2269" t="str">
        <f t="shared" si="32"/>
        <v>SOCIAL SECURITY TAXES</v>
      </c>
    </row>
    <row r="2270" spans="5:8" x14ac:dyDescent="0.25">
      <c r="E2270" t="str">
        <f>""</f>
        <v/>
      </c>
      <c r="F2270" t="str">
        <f>""</f>
        <v/>
      </c>
      <c r="H2270" t="str">
        <f t="shared" si="32"/>
        <v>SOCIAL SECURITY TAXES</v>
      </c>
    </row>
    <row r="2271" spans="5:8" x14ac:dyDescent="0.25">
      <c r="E2271" t="str">
        <f>""</f>
        <v/>
      </c>
      <c r="F2271" t="str">
        <f>""</f>
        <v/>
      </c>
      <c r="H2271" t="str">
        <f t="shared" si="32"/>
        <v>SOCIAL SECURITY TAXES</v>
      </c>
    </row>
    <row r="2272" spans="5:8" x14ac:dyDescent="0.25">
      <c r="E2272" t="str">
        <f>"T3 201810034226"</f>
        <v>T3 201810034226</v>
      </c>
      <c r="F2272" t="str">
        <f>"SOCIAL SECURITY TAXES"</f>
        <v>SOCIAL SECURITY TAXES</v>
      </c>
      <c r="G2272" s="3">
        <v>4134.78</v>
      </c>
      <c r="H2272" t="str">
        <f t="shared" si="32"/>
        <v>SOCIAL SECURITY TAXES</v>
      </c>
    </row>
    <row r="2273" spans="5:8" x14ac:dyDescent="0.25">
      <c r="E2273" t="str">
        <f>""</f>
        <v/>
      </c>
      <c r="F2273" t="str">
        <f>""</f>
        <v/>
      </c>
      <c r="H2273" t="str">
        <f t="shared" si="32"/>
        <v>SOCIAL SECURITY TAXES</v>
      </c>
    </row>
    <row r="2274" spans="5:8" x14ac:dyDescent="0.25">
      <c r="E2274" t="str">
        <f>"T3 201810034227"</f>
        <v>T3 201810034227</v>
      </c>
      <c r="F2274" t="str">
        <f>"SOCIAL SECURITY TAXES"</f>
        <v>SOCIAL SECURITY TAXES</v>
      </c>
      <c r="G2274" s="3">
        <v>5108.3999999999996</v>
      </c>
      <c r="H2274" t="str">
        <f t="shared" si="32"/>
        <v>SOCIAL SECURITY TAXES</v>
      </c>
    </row>
    <row r="2275" spans="5:8" x14ac:dyDescent="0.25">
      <c r="E2275" t="str">
        <f>""</f>
        <v/>
      </c>
      <c r="F2275" t="str">
        <f>""</f>
        <v/>
      </c>
      <c r="H2275" t="str">
        <f t="shared" si="32"/>
        <v>SOCIAL SECURITY TAXES</v>
      </c>
    </row>
    <row r="2276" spans="5:8" x14ac:dyDescent="0.25">
      <c r="E2276" t="str">
        <f>"T3 201810044411"</f>
        <v>T3 201810044411</v>
      </c>
      <c r="F2276" t="str">
        <f>"SOCIAL SECURITY TAXES"</f>
        <v>SOCIAL SECURITY TAXES</v>
      </c>
      <c r="G2276" s="3">
        <v>72.08</v>
      </c>
      <c r="H2276" t="str">
        <f t="shared" si="32"/>
        <v>SOCIAL SECURITY TAXES</v>
      </c>
    </row>
    <row r="2277" spans="5:8" x14ac:dyDescent="0.25">
      <c r="E2277" t="str">
        <f>""</f>
        <v/>
      </c>
      <c r="F2277" t="str">
        <f>""</f>
        <v/>
      </c>
      <c r="H2277" t="str">
        <f t="shared" si="32"/>
        <v>SOCIAL SECURITY TAXES</v>
      </c>
    </row>
    <row r="2278" spans="5:8" x14ac:dyDescent="0.25">
      <c r="E2278" t="str">
        <f>"T4 201810034225"</f>
        <v>T4 201810034225</v>
      </c>
      <c r="F2278" t="str">
        <f>"MEDICARE TAXES"</f>
        <v>MEDICARE TAXES</v>
      </c>
      <c r="G2278" s="3">
        <v>24281.38</v>
      </c>
      <c r="H2278" t="str">
        <f t="shared" ref="H2278:H2309" si="33">"MEDICARE TAXES"</f>
        <v>MEDICARE TAXES</v>
      </c>
    </row>
    <row r="2279" spans="5:8" x14ac:dyDescent="0.25">
      <c r="E2279" t="str">
        <f>""</f>
        <v/>
      </c>
      <c r="F2279" t="str">
        <f>""</f>
        <v/>
      </c>
      <c r="H2279" t="str">
        <f t="shared" si="33"/>
        <v>MEDICARE TAXES</v>
      </c>
    </row>
    <row r="2280" spans="5:8" x14ac:dyDescent="0.25">
      <c r="E2280" t="str">
        <f>""</f>
        <v/>
      </c>
      <c r="F2280" t="str">
        <f>""</f>
        <v/>
      </c>
      <c r="H2280" t="str">
        <f t="shared" si="33"/>
        <v>MEDICARE TAXES</v>
      </c>
    </row>
    <row r="2281" spans="5:8" x14ac:dyDescent="0.25">
      <c r="E2281" t="str">
        <f>""</f>
        <v/>
      </c>
      <c r="F2281" t="str">
        <f>""</f>
        <v/>
      </c>
      <c r="H2281" t="str">
        <f t="shared" si="33"/>
        <v>MEDICARE TAXES</v>
      </c>
    </row>
    <row r="2282" spans="5:8" x14ac:dyDescent="0.25">
      <c r="E2282" t="str">
        <f>""</f>
        <v/>
      </c>
      <c r="F2282" t="str">
        <f>""</f>
        <v/>
      </c>
      <c r="H2282" t="str">
        <f t="shared" si="33"/>
        <v>MEDICARE TAXES</v>
      </c>
    </row>
    <row r="2283" spans="5:8" x14ac:dyDescent="0.25">
      <c r="E2283" t="str">
        <f>""</f>
        <v/>
      </c>
      <c r="F2283" t="str">
        <f>""</f>
        <v/>
      </c>
      <c r="H2283" t="str">
        <f t="shared" si="33"/>
        <v>MEDICARE TAXES</v>
      </c>
    </row>
    <row r="2284" spans="5:8" x14ac:dyDescent="0.25">
      <c r="E2284" t="str">
        <f>""</f>
        <v/>
      </c>
      <c r="F2284" t="str">
        <f>""</f>
        <v/>
      </c>
      <c r="H2284" t="str">
        <f t="shared" si="33"/>
        <v>MEDICARE TAXES</v>
      </c>
    </row>
    <row r="2285" spans="5:8" x14ac:dyDescent="0.25">
      <c r="E2285" t="str">
        <f>""</f>
        <v/>
      </c>
      <c r="F2285" t="str">
        <f>""</f>
        <v/>
      </c>
      <c r="H2285" t="str">
        <f t="shared" si="33"/>
        <v>MEDICARE TAXES</v>
      </c>
    </row>
    <row r="2286" spans="5:8" x14ac:dyDescent="0.25">
      <c r="E2286" t="str">
        <f>""</f>
        <v/>
      </c>
      <c r="F2286" t="str">
        <f>""</f>
        <v/>
      </c>
      <c r="H2286" t="str">
        <f t="shared" si="33"/>
        <v>MEDICARE TAXES</v>
      </c>
    </row>
    <row r="2287" spans="5:8" x14ac:dyDescent="0.25">
      <c r="E2287" t="str">
        <f>""</f>
        <v/>
      </c>
      <c r="F2287" t="str">
        <f>""</f>
        <v/>
      </c>
      <c r="H2287" t="str">
        <f t="shared" si="33"/>
        <v>MEDICARE TAXES</v>
      </c>
    </row>
    <row r="2288" spans="5:8" x14ac:dyDescent="0.25">
      <c r="E2288" t="str">
        <f>""</f>
        <v/>
      </c>
      <c r="F2288" t="str">
        <f>""</f>
        <v/>
      </c>
      <c r="H2288" t="str">
        <f t="shared" si="33"/>
        <v>MEDICARE TAXES</v>
      </c>
    </row>
    <row r="2289" spans="5:8" x14ac:dyDescent="0.25">
      <c r="E2289" t="str">
        <f>""</f>
        <v/>
      </c>
      <c r="F2289" t="str">
        <f>""</f>
        <v/>
      </c>
      <c r="H2289" t="str">
        <f t="shared" si="33"/>
        <v>MEDICARE TAXES</v>
      </c>
    </row>
    <row r="2290" spans="5:8" x14ac:dyDescent="0.25">
      <c r="E2290" t="str">
        <f>""</f>
        <v/>
      </c>
      <c r="F2290" t="str">
        <f>""</f>
        <v/>
      </c>
      <c r="H2290" t="str">
        <f t="shared" si="33"/>
        <v>MEDICARE TAXES</v>
      </c>
    </row>
    <row r="2291" spans="5:8" x14ac:dyDescent="0.25">
      <c r="E2291" t="str">
        <f>""</f>
        <v/>
      </c>
      <c r="F2291" t="str">
        <f>""</f>
        <v/>
      </c>
      <c r="H2291" t="str">
        <f t="shared" si="33"/>
        <v>MEDICARE TAXES</v>
      </c>
    </row>
    <row r="2292" spans="5:8" x14ac:dyDescent="0.25">
      <c r="E2292" t="str">
        <f>""</f>
        <v/>
      </c>
      <c r="F2292" t="str">
        <f>""</f>
        <v/>
      </c>
      <c r="H2292" t="str">
        <f t="shared" si="33"/>
        <v>MEDICARE TAXES</v>
      </c>
    </row>
    <row r="2293" spans="5:8" x14ac:dyDescent="0.25">
      <c r="E2293" t="str">
        <f>""</f>
        <v/>
      </c>
      <c r="F2293" t="str">
        <f>""</f>
        <v/>
      </c>
      <c r="H2293" t="str">
        <f t="shared" si="33"/>
        <v>MEDICARE TAXES</v>
      </c>
    </row>
    <row r="2294" spans="5:8" x14ac:dyDescent="0.25">
      <c r="E2294" t="str">
        <f>""</f>
        <v/>
      </c>
      <c r="F2294" t="str">
        <f>""</f>
        <v/>
      </c>
      <c r="H2294" t="str">
        <f t="shared" si="33"/>
        <v>MEDICARE TAXES</v>
      </c>
    </row>
    <row r="2295" spans="5:8" x14ac:dyDescent="0.25">
      <c r="E2295" t="str">
        <f>""</f>
        <v/>
      </c>
      <c r="F2295" t="str">
        <f>""</f>
        <v/>
      </c>
      <c r="H2295" t="str">
        <f t="shared" si="33"/>
        <v>MEDICARE TAXES</v>
      </c>
    </row>
    <row r="2296" spans="5:8" x14ac:dyDescent="0.25">
      <c r="E2296" t="str">
        <f>""</f>
        <v/>
      </c>
      <c r="F2296" t="str">
        <f>""</f>
        <v/>
      </c>
      <c r="H2296" t="str">
        <f t="shared" si="33"/>
        <v>MEDICARE TAXES</v>
      </c>
    </row>
    <row r="2297" spans="5:8" x14ac:dyDescent="0.25">
      <c r="E2297" t="str">
        <f>""</f>
        <v/>
      </c>
      <c r="F2297" t="str">
        <f>""</f>
        <v/>
      </c>
      <c r="H2297" t="str">
        <f t="shared" si="33"/>
        <v>MEDICARE TAXES</v>
      </c>
    </row>
    <row r="2298" spans="5:8" x14ac:dyDescent="0.25">
      <c r="E2298" t="str">
        <f>""</f>
        <v/>
      </c>
      <c r="F2298" t="str">
        <f>""</f>
        <v/>
      </c>
      <c r="H2298" t="str">
        <f t="shared" si="33"/>
        <v>MEDICARE TAXES</v>
      </c>
    </row>
    <row r="2299" spans="5:8" x14ac:dyDescent="0.25">
      <c r="E2299" t="str">
        <f>""</f>
        <v/>
      </c>
      <c r="F2299" t="str">
        <f>""</f>
        <v/>
      </c>
      <c r="H2299" t="str">
        <f t="shared" si="33"/>
        <v>MEDICARE TAXES</v>
      </c>
    </row>
    <row r="2300" spans="5:8" x14ac:dyDescent="0.25">
      <c r="E2300" t="str">
        <f>""</f>
        <v/>
      </c>
      <c r="F2300" t="str">
        <f>""</f>
        <v/>
      </c>
      <c r="H2300" t="str">
        <f t="shared" si="33"/>
        <v>MEDICARE TAXES</v>
      </c>
    </row>
    <row r="2301" spans="5:8" x14ac:dyDescent="0.25">
      <c r="E2301" t="str">
        <f>""</f>
        <v/>
      </c>
      <c r="F2301" t="str">
        <f>""</f>
        <v/>
      </c>
      <c r="H2301" t="str">
        <f t="shared" si="33"/>
        <v>MEDICARE TAXES</v>
      </c>
    </row>
    <row r="2302" spans="5:8" x14ac:dyDescent="0.25">
      <c r="E2302" t="str">
        <f>""</f>
        <v/>
      </c>
      <c r="F2302" t="str">
        <f>""</f>
        <v/>
      </c>
      <c r="H2302" t="str">
        <f t="shared" si="33"/>
        <v>MEDICARE TAXES</v>
      </c>
    </row>
    <row r="2303" spans="5:8" x14ac:dyDescent="0.25">
      <c r="E2303" t="str">
        <f>""</f>
        <v/>
      </c>
      <c r="F2303" t="str">
        <f>""</f>
        <v/>
      </c>
      <c r="H2303" t="str">
        <f t="shared" si="33"/>
        <v>MEDICARE TAXES</v>
      </c>
    </row>
    <row r="2304" spans="5:8" x14ac:dyDescent="0.25">
      <c r="E2304" t="str">
        <f>""</f>
        <v/>
      </c>
      <c r="F2304" t="str">
        <f>""</f>
        <v/>
      </c>
      <c r="H2304" t="str">
        <f t="shared" si="33"/>
        <v>MEDICARE TAXES</v>
      </c>
    </row>
    <row r="2305" spans="5:8" x14ac:dyDescent="0.25">
      <c r="E2305" t="str">
        <f>""</f>
        <v/>
      </c>
      <c r="F2305" t="str">
        <f>""</f>
        <v/>
      </c>
      <c r="H2305" t="str">
        <f t="shared" si="33"/>
        <v>MEDICARE TAXES</v>
      </c>
    </row>
    <row r="2306" spans="5:8" x14ac:dyDescent="0.25">
      <c r="E2306" t="str">
        <f>""</f>
        <v/>
      </c>
      <c r="F2306" t="str">
        <f>""</f>
        <v/>
      </c>
      <c r="H2306" t="str">
        <f t="shared" si="33"/>
        <v>MEDICARE TAXES</v>
      </c>
    </row>
    <row r="2307" spans="5:8" x14ac:dyDescent="0.25">
      <c r="E2307" t="str">
        <f>""</f>
        <v/>
      </c>
      <c r="F2307" t="str">
        <f>""</f>
        <v/>
      </c>
      <c r="H2307" t="str">
        <f t="shared" si="33"/>
        <v>MEDICARE TAXES</v>
      </c>
    </row>
    <row r="2308" spans="5:8" x14ac:dyDescent="0.25">
      <c r="E2308" t="str">
        <f>""</f>
        <v/>
      </c>
      <c r="F2308" t="str">
        <f>""</f>
        <v/>
      </c>
      <c r="H2308" t="str">
        <f t="shared" si="33"/>
        <v>MEDICARE TAXES</v>
      </c>
    </row>
    <row r="2309" spans="5:8" x14ac:dyDescent="0.25">
      <c r="E2309" t="str">
        <f>""</f>
        <v/>
      </c>
      <c r="F2309" t="str">
        <f>""</f>
        <v/>
      </c>
      <c r="H2309" t="str">
        <f t="shared" si="33"/>
        <v>MEDICARE TAXES</v>
      </c>
    </row>
    <row r="2310" spans="5:8" x14ac:dyDescent="0.25">
      <c r="E2310" t="str">
        <f>""</f>
        <v/>
      </c>
      <c r="F2310" t="str">
        <f>""</f>
        <v/>
      </c>
      <c r="H2310" t="str">
        <f t="shared" ref="H2310:H2336" si="34">"MEDICARE TAXES"</f>
        <v>MEDICARE TAXES</v>
      </c>
    </row>
    <row r="2311" spans="5:8" x14ac:dyDescent="0.25">
      <c r="E2311" t="str">
        <f>""</f>
        <v/>
      </c>
      <c r="F2311" t="str">
        <f>""</f>
        <v/>
      </c>
      <c r="H2311" t="str">
        <f t="shared" si="34"/>
        <v>MEDICARE TAXES</v>
      </c>
    </row>
    <row r="2312" spans="5:8" x14ac:dyDescent="0.25">
      <c r="E2312" t="str">
        <f>""</f>
        <v/>
      </c>
      <c r="F2312" t="str">
        <f>""</f>
        <v/>
      </c>
      <c r="H2312" t="str">
        <f t="shared" si="34"/>
        <v>MEDICARE TAXES</v>
      </c>
    </row>
    <row r="2313" spans="5:8" x14ac:dyDescent="0.25">
      <c r="E2313" t="str">
        <f>""</f>
        <v/>
      </c>
      <c r="F2313" t="str">
        <f>""</f>
        <v/>
      </c>
      <c r="H2313" t="str">
        <f t="shared" si="34"/>
        <v>MEDICARE TAXES</v>
      </c>
    </row>
    <row r="2314" spans="5:8" x14ac:dyDescent="0.25">
      <c r="E2314" t="str">
        <f>""</f>
        <v/>
      </c>
      <c r="F2314" t="str">
        <f>""</f>
        <v/>
      </c>
      <c r="H2314" t="str">
        <f t="shared" si="34"/>
        <v>MEDICARE TAXES</v>
      </c>
    </row>
    <row r="2315" spans="5:8" x14ac:dyDescent="0.25">
      <c r="E2315" t="str">
        <f>""</f>
        <v/>
      </c>
      <c r="F2315" t="str">
        <f>""</f>
        <v/>
      </c>
      <c r="H2315" t="str">
        <f t="shared" si="34"/>
        <v>MEDICARE TAXES</v>
      </c>
    </row>
    <row r="2316" spans="5:8" x14ac:dyDescent="0.25">
      <c r="E2316" t="str">
        <f>""</f>
        <v/>
      </c>
      <c r="F2316" t="str">
        <f>""</f>
        <v/>
      </c>
      <c r="H2316" t="str">
        <f t="shared" si="34"/>
        <v>MEDICARE TAXES</v>
      </c>
    </row>
    <row r="2317" spans="5:8" x14ac:dyDescent="0.25">
      <c r="E2317" t="str">
        <f>""</f>
        <v/>
      </c>
      <c r="F2317" t="str">
        <f>""</f>
        <v/>
      </c>
      <c r="H2317" t="str">
        <f t="shared" si="34"/>
        <v>MEDICARE TAXES</v>
      </c>
    </row>
    <row r="2318" spans="5:8" x14ac:dyDescent="0.25">
      <c r="E2318" t="str">
        <f>""</f>
        <v/>
      </c>
      <c r="F2318" t="str">
        <f>""</f>
        <v/>
      </c>
      <c r="H2318" t="str">
        <f t="shared" si="34"/>
        <v>MEDICARE TAXES</v>
      </c>
    </row>
    <row r="2319" spans="5:8" x14ac:dyDescent="0.25">
      <c r="E2319" t="str">
        <f>""</f>
        <v/>
      </c>
      <c r="F2319" t="str">
        <f>""</f>
        <v/>
      </c>
      <c r="H2319" t="str">
        <f t="shared" si="34"/>
        <v>MEDICARE TAXES</v>
      </c>
    </row>
    <row r="2320" spans="5:8" x14ac:dyDescent="0.25">
      <c r="E2320" t="str">
        <f>""</f>
        <v/>
      </c>
      <c r="F2320" t="str">
        <f>""</f>
        <v/>
      </c>
      <c r="H2320" t="str">
        <f t="shared" si="34"/>
        <v>MEDICARE TAXES</v>
      </c>
    </row>
    <row r="2321" spans="5:8" x14ac:dyDescent="0.25">
      <c r="E2321" t="str">
        <f>""</f>
        <v/>
      </c>
      <c r="F2321" t="str">
        <f>""</f>
        <v/>
      </c>
      <c r="H2321" t="str">
        <f t="shared" si="34"/>
        <v>MEDICARE TAXES</v>
      </c>
    </row>
    <row r="2322" spans="5:8" x14ac:dyDescent="0.25">
      <c r="E2322" t="str">
        <f>""</f>
        <v/>
      </c>
      <c r="F2322" t="str">
        <f>""</f>
        <v/>
      </c>
      <c r="H2322" t="str">
        <f t="shared" si="34"/>
        <v>MEDICARE TAXES</v>
      </c>
    </row>
    <row r="2323" spans="5:8" x14ac:dyDescent="0.25">
      <c r="E2323" t="str">
        <f>""</f>
        <v/>
      </c>
      <c r="F2323" t="str">
        <f>""</f>
        <v/>
      </c>
      <c r="H2323" t="str">
        <f t="shared" si="34"/>
        <v>MEDICARE TAXES</v>
      </c>
    </row>
    <row r="2324" spans="5:8" x14ac:dyDescent="0.25">
      <c r="E2324" t="str">
        <f>""</f>
        <v/>
      </c>
      <c r="F2324" t="str">
        <f>""</f>
        <v/>
      </c>
      <c r="H2324" t="str">
        <f t="shared" si="34"/>
        <v>MEDICARE TAXES</v>
      </c>
    </row>
    <row r="2325" spans="5:8" x14ac:dyDescent="0.25">
      <c r="E2325" t="str">
        <f>""</f>
        <v/>
      </c>
      <c r="F2325" t="str">
        <f>""</f>
        <v/>
      </c>
      <c r="H2325" t="str">
        <f t="shared" si="34"/>
        <v>MEDICARE TAXES</v>
      </c>
    </row>
    <row r="2326" spans="5:8" x14ac:dyDescent="0.25">
      <c r="E2326" t="str">
        <f>""</f>
        <v/>
      </c>
      <c r="F2326" t="str">
        <f>""</f>
        <v/>
      </c>
      <c r="H2326" t="str">
        <f t="shared" si="34"/>
        <v>MEDICARE TAXES</v>
      </c>
    </row>
    <row r="2327" spans="5:8" x14ac:dyDescent="0.25">
      <c r="E2327" t="str">
        <f>""</f>
        <v/>
      </c>
      <c r="F2327" t="str">
        <f>""</f>
        <v/>
      </c>
      <c r="H2327" t="str">
        <f t="shared" si="34"/>
        <v>MEDICARE TAXES</v>
      </c>
    </row>
    <row r="2328" spans="5:8" x14ac:dyDescent="0.25">
      <c r="E2328" t="str">
        <f>""</f>
        <v/>
      </c>
      <c r="F2328" t="str">
        <f>""</f>
        <v/>
      </c>
      <c r="H2328" t="str">
        <f t="shared" si="34"/>
        <v>MEDICARE TAXES</v>
      </c>
    </row>
    <row r="2329" spans="5:8" x14ac:dyDescent="0.25">
      <c r="E2329" t="str">
        <f>""</f>
        <v/>
      </c>
      <c r="F2329" t="str">
        <f>""</f>
        <v/>
      </c>
      <c r="H2329" t="str">
        <f t="shared" si="34"/>
        <v>MEDICARE TAXES</v>
      </c>
    </row>
    <row r="2330" spans="5:8" x14ac:dyDescent="0.25">
      <c r="E2330" t="str">
        <f>""</f>
        <v/>
      </c>
      <c r="F2330" t="str">
        <f>""</f>
        <v/>
      </c>
      <c r="H2330" t="str">
        <f t="shared" si="34"/>
        <v>MEDICARE TAXES</v>
      </c>
    </row>
    <row r="2331" spans="5:8" x14ac:dyDescent="0.25">
      <c r="E2331" t="str">
        <f>"T4 201810034226"</f>
        <v>T4 201810034226</v>
      </c>
      <c r="F2331" t="str">
        <f>"MEDICARE TAXES"</f>
        <v>MEDICARE TAXES</v>
      </c>
      <c r="G2331" s="3">
        <v>967.02</v>
      </c>
      <c r="H2331" t="str">
        <f t="shared" si="34"/>
        <v>MEDICARE TAXES</v>
      </c>
    </row>
    <row r="2332" spans="5:8" x14ac:dyDescent="0.25">
      <c r="E2332" t="str">
        <f>""</f>
        <v/>
      </c>
      <c r="F2332" t="str">
        <f>""</f>
        <v/>
      </c>
      <c r="H2332" t="str">
        <f t="shared" si="34"/>
        <v>MEDICARE TAXES</v>
      </c>
    </row>
    <row r="2333" spans="5:8" x14ac:dyDescent="0.25">
      <c r="E2333" t="str">
        <f>"T4 201810034227"</f>
        <v>T4 201810034227</v>
      </c>
      <c r="F2333" t="str">
        <f>"MEDICARE TAXES"</f>
        <v>MEDICARE TAXES</v>
      </c>
      <c r="G2333" s="3">
        <v>1194.76</v>
      </c>
      <c r="H2333" t="str">
        <f t="shared" si="34"/>
        <v>MEDICARE TAXES</v>
      </c>
    </row>
    <row r="2334" spans="5:8" x14ac:dyDescent="0.25">
      <c r="E2334" t="str">
        <f>""</f>
        <v/>
      </c>
      <c r="F2334" t="str">
        <f>""</f>
        <v/>
      </c>
      <c r="H2334" t="str">
        <f t="shared" si="34"/>
        <v>MEDICARE TAXES</v>
      </c>
    </row>
    <row r="2335" spans="5:8" x14ac:dyDescent="0.25">
      <c r="E2335" t="str">
        <f>"T4 201810044411"</f>
        <v>T4 201810044411</v>
      </c>
      <c r="F2335" t="str">
        <f>"MEDICARE TAXES"</f>
        <v>MEDICARE TAXES</v>
      </c>
      <c r="G2335" s="3">
        <v>16.86</v>
      </c>
      <c r="H2335" t="str">
        <f t="shared" si="34"/>
        <v>MEDICARE TAXES</v>
      </c>
    </row>
    <row r="2336" spans="5:8" x14ac:dyDescent="0.25">
      <c r="E2336" t="str">
        <f>""</f>
        <v/>
      </c>
      <c r="F2336" t="str">
        <f>""</f>
        <v/>
      </c>
      <c r="H2336" t="str">
        <f t="shared" si="34"/>
        <v>MEDICARE TAXES</v>
      </c>
    </row>
    <row r="2337" spans="1:8" x14ac:dyDescent="0.25">
      <c r="A2337" t="s">
        <v>568</v>
      </c>
      <c r="B2337">
        <v>0</v>
      </c>
      <c r="C2337" s="2">
        <v>219028.06</v>
      </c>
      <c r="D2337" s="1">
        <v>43392</v>
      </c>
      <c r="E2337" t="str">
        <f>"T1 201810174606"</f>
        <v>T1 201810174606</v>
      </c>
      <c r="F2337" t="str">
        <f>"FEDERAL WITHHOLDING"</f>
        <v>FEDERAL WITHHOLDING</v>
      </c>
      <c r="G2337" s="3">
        <v>71843.86</v>
      </c>
      <c r="H2337" t="str">
        <f>"FEDERAL WITHHOLDING"</f>
        <v>FEDERAL WITHHOLDING</v>
      </c>
    </row>
    <row r="2338" spans="1:8" x14ac:dyDescent="0.25">
      <c r="E2338" t="str">
        <f>"T1 201810174607"</f>
        <v>T1 201810174607</v>
      </c>
      <c r="F2338" t="str">
        <f>"FEDERAL WITHHOLDING"</f>
        <v>FEDERAL WITHHOLDING</v>
      </c>
      <c r="G2338" s="3">
        <v>3011.32</v>
      </c>
      <c r="H2338" t="str">
        <f>"FEDERAL WITHHOLDING"</f>
        <v>FEDERAL WITHHOLDING</v>
      </c>
    </row>
    <row r="2339" spans="1:8" x14ac:dyDescent="0.25">
      <c r="E2339" t="str">
        <f>"T1 201810174608"</f>
        <v>T1 201810174608</v>
      </c>
      <c r="F2339" t="str">
        <f>"FEDERAL WITHHOLDING"</f>
        <v>FEDERAL WITHHOLDING</v>
      </c>
      <c r="G2339" s="3">
        <v>3436.46</v>
      </c>
      <c r="H2339" t="str">
        <f>"FEDERAL WITHHOLDING"</f>
        <v>FEDERAL WITHHOLDING</v>
      </c>
    </row>
    <row r="2340" spans="1:8" x14ac:dyDescent="0.25">
      <c r="E2340" t="str">
        <f>"T3 201810174606"</f>
        <v>T3 201810174606</v>
      </c>
      <c r="F2340" t="str">
        <f>"SOCIAL SECURITY TAXES"</f>
        <v>SOCIAL SECURITY TAXES</v>
      </c>
      <c r="G2340" s="3">
        <v>104640.06</v>
      </c>
      <c r="H2340" t="str">
        <f t="shared" ref="H2340:H2371" si="35">"SOCIAL SECURITY TAXES"</f>
        <v>SOCIAL SECURITY TAXES</v>
      </c>
    </row>
    <row r="2341" spans="1:8" x14ac:dyDescent="0.25">
      <c r="E2341" t="str">
        <f>""</f>
        <v/>
      </c>
      <c r="F2341" t="str">
        <f>""</f>
        <v/>
      </c>
      <c r="H2341" t="str">
        <f t="shared" si="35"/>
        <v>SOCIAL SECURITY TAXES</v>
      </c>
    </row>
    <row r="2342" spans="1:8" x14ac:dyDescent="0.25">
      <c r="E2342" t="str">
        <f>""</f>
        <v/>
      </c>
      <c r="F2342" t="str">
        <f>""</f>
        <v/>
      </c>
      <c r="H2342" t="str">
        <f t="shared" si="35"/>
        <v>SOCIAL SECURITY TAXES</v>
      </c>
    </row>
    <row r="2343" spans="1:8" x14ac:dyDescent="0.25">
      <c r="E2343" t="str">
        <f>""</f>
        <v/>
      </c>
      <c r="F2343" t="str">
        <f>""</f>
        <v/>
      </c>
      <c r="H2343" t="str">
        <f t="shared" si="35"/>
        <v>SOCIAL SECURITY TAXES</v>
      </c>
    </row>
    <row r="2344" spans="1:8" x14ac:dyDescent="0.25">
      <c r="E2344" t="str">
        <f>""</f>
        <v/>
      </c>
      <c r="F2344" t="str">
        <f>""</f>
        <v/>
      </c>
      <c r="H2344" t="str">
        <f t="shared" si="35"/>
        <v>SOCIAL SECURITY TAXES</v>
      </c>
    </row>
    <row r="2345" spans="1:8" x14ac:dyDescent="0.25">
      <c r="E2345" t="str">
        <f>""</f>
        <v/>
      </c>
      <c r="F2345" t="str">
        <f>""</f>
        <v/>
      </c>
      <c r="H2345" t="str">
        <f t="shared" si="35"/>
        <v>SOCIAL SECURITY TAXES</v>
      </c>
    </row>
    <row r="2346" spans="1:8" x14ac:dyDescent="0.25">
      <c r="E2346" t="str">
        <f>""</f>
        <v/>
      </c>
      <c r="F2346" t="str">
        <f>""</f>
        <v/>
      </c>
      <c r="H2346" t="str">
        <f t="shared" si="35"/>
        <v>SOCIAL SECURITY TAXES</v>
      </c>
    </row>
    <row r="2347" spans="1:8" x14ac:dyDescent="0.25">
      <c r="E2347" t="str">
        <f>""</f>
        <v/>
      </c>
      <c r="F2347" t="str">
        <f>""</f>
        <v/>
      </c>
      <c r="H2347" t="str">
        <f t="shared" si="35"/>
        <v>SOCIAL SECURITY TAXES</v>
      </c>
    </row>
    <row r="2348" spans="1:8" x14ac:dyDescent="0.25">
      <c r="E2348" t="str">
        <f>""</f>
        <v/>
      </c>
      <c r="F2348" t="str">
        <f>""</f>
        <v/>
      </c>
      <c r="H2348" t="str">
        <f t="shared" si="35"/>
        <v>SOCIAL SECURITY TAXES</v>
      </c>
    </row>
    <row r="2349" spans="1:8" x14ac:dyDescent="0.25">
      <c r="E2349" t="str">
        <f>""</f>
        <v/>
      </c>
      <c r="F2349" t="str">
        <f>""</f>
        <v/>
      </c>
      <c r="H2349" t="str">
        <f t="shared" si="35"/>
        <v>SOCIAL SECURITY TAXES</v>
      </c>
    </row>
    <row r="2350" spans="1:8" x14ac:dyDescent="0.25">
      <c r="E2350" t="str">
        <f>""</f>
        <v/>
      </c>
      <c r="F2350" t="str">
        <f>""</f>
        <v/>
      </c>
      <c r="H2350" t="str">
        <f t="shared" si="35"/>
        <v>SOCIAL SECURITY TAXES</v>
      </c>
    </row>
    <row r="2351" spans="1:8" x14ac:dyDescent="0.25">
      <c r="E2351" t="str">
        <f>""</f>
        <v/>
      </c>
      <c r="F2351" t="str">
        <f>""</f>
        <v/>
      </c>
      <c r="H2351" t="str">
        <f t="shared" si="35"/>
        <v>SOCIAL SECURITY TAXES</v>
      </c>
    </row>
    <row r="2352" spans="1:8" x14ac:dyDescent="0.25">
      <c r="E2352" t="str">
        <f>""</f>
        <v/>
      </c>
      <c r="F2352" t="str">
        <f>""</f>
        <v/>
      </c>
      <c r="H2352" t="str">
        <f t="shared" si="35"/>
        <v>SOCIAL SECURITY TAXES</v>
      </c>
    </row>
    <row r="2353" spans="5:8" x14ac:dyDescent="0.25">
      <c r="E2353" t="str">
        <f>""</f>
        <v/>
      </c>
      <c r="F2353" t="str">
        <f>""</f>
        <v/>
      </c>
      <c r="H2353" t="str">
        <f t="shared" si="35"/>
        <v>SOCIAL SECURITY TAXES</v>
      </c>
    </row>
    <row r="2354" spans="5:8" x14ac:dyDescent="0.25">
      <c r="E2354" t="str">
        <f>""</f>
        <v/>
      </c>
      <c r="F2354" t="str">
        <f>""</f>
        <v/>
      </c>
      <c r="H2354" t="str">
        <f t="shared" si="35"/>
        <v>SOCIAL SECURITY TAXES</v>
      </c>
    </row>
    <row r="2355" spans="5:8" x14ac:dyDescent="0.25">
      <c r="E2355" t="str">
        <f>""</f>
        <v/>
      </c>
      <c r="F2355" t="str">
        <f>""</f>
        <v/>
      </c>
      <c r="H2355" t="str">
        <f t="shared" si="35"/>
        <v>SOCIAL SECURITY TAXES</v>
      </c>
    </row>
    <row r="2356" spans="5:8" x14ac:dyDescent="0.25">
      <c r="E2356" t="str">
        <f>""</f>
        <v/>
      </c>
      <c r="F2356" t="str">
        <f>""</f>
        <v/>
      </c>
      <c r="H2356" t="str">
        <f t="shared" si="35"/>
        <v>SOCIAL SECURITY TAXES</v>
      </c>
    </row>
    <row r="2357" spans="5:8" x14ac:dyDescent="0.25">
      <c r="E2357" t="str">
        <f>""</f>
        <v/>
      </c>
      <c r="F2357" t="str">
        <f>""</f>
        <v/>
      </c>
      <c r="H2357" t="str">
        <f t="shared" si="35"/>
        <v>SOCIAL SECURITY TAXES</v>
      </c>
    </row>
    <row r="2358" spans="5:8" x14ac:dyDescent="0.25">
      <c r="E2358" t="str">
        <f>""</f>
        <v/>
      </c>
      <c r="F2358" t="str">
        <f>""</f>
        <v/>
      </c>
      <c r="H2358" t="str">
        <f t="shared" si="35"/>
        <v>SOCIAL SECURITY TAXES</v>
      </c>
    </row>
    <row r="2359" spans="5:8" x14ac:dyDescent="0.25">
      <c r="E2359" t="str">
        <f>""</f>
        <v/>
      </c>
      <c r="F2359" t="str">
        <f>""</f>
        <v/>
      </c>
      <c r="H2359" t="str">
        <f t="shared" si="35"/>
        <v>SOCIAL SECURITY TAXES</v>
      </c>
    </row>
    <row r="2360" spans="5:8" x14ac:dyDescent="0.25">
      <c r="E2360" t="str">
        <f>""</f>
        <v/>
      </c>
      <c r="F2360" t="str">
        <f>""</f>
        <v/>
      </c>
      <c r="H2360" t="str">
        <f t="shared" si="35"/>
        <v>SOCIAL SECURITY TAXES</v>
      </c>
    </row>
    <row r="2361" spans="5:8" x14ac:dyDescent="0.25">
      <c r="E2361" t="str">
        <f>""</f>
        <v/>
      </c>
      <c r="F2361" t="str">
        <f>""</f>
        <v/>
      </c>
      <c r="H2361" t="str">
        <f t="shared" si="35"/>
        <v>SOCIAL SECURITY TAXES</v>
      </c>
    </row>
    <row r="2362" spans="5:8" x14ac:dyDescent="0.25">
      <c r="E2362" t="str">
        <f>""</f>
        <v/>
      </c>
      <c r="F2362" t="str">
        <f>""</f>
        <v/>
      </c>
      <c r="H2362" t="str">
        <f t="shared" si="35"/>
        <v>SOCIAL SECURITY TAXES</v>
      </c>
    </row>
    <row r="2363" spans="5:8" x14ac:dyDescent="0.25">
      <c r="E2363" t="str">
        <f>""</f>
        <v/>
      </c>
      <c r="F2363" t="str">
        <f>""</f>
        <v/>
      </c>
      <c r="H2363" t="str">
        <f t="shared" si="35"/>
        <v>SOCIAL SECURITY TAXES</v>
      </c>
    </row>
    <row r="2364" spans="5:8" x14ac:dyDescent="0.25">
      <c r="E2364" t="str">
        <f>""</f>
        <v/>
      </c>
      <c r="F2364" t="str">
        <f>""</f>
        <v/>
      </c>
      <c r="H2364" t="str">
        <f t="shared" si="35"/>
        <v>SOCIAL SECURITY TAXES</v>
      </c>
    </row>
    <row r="2365" spans="5:8" x14ac:dyDescent="0.25">
      <c r="E2365" t="str">
        <f>""</f>
        <v/>
      </c>
      <c r="F2365" t="str">
        <f>""</f>
        <v/>
      </c>
      <c r="H2365" t="str">
        <f t="shared" si="35"/>
        <v>SOCIAL SECURITY TAXES</v>
      </c>
    </row>
    <row r="2366" spans="5:8" x14ac:dyDescent="0.25">
      <c r="E2366" t="str">
        <f>""</f>
        <v/>
      </c>
      <c r="F2366" t="str">
        <f>""</f>
        <v/>
      </c>
      <c r="H2366" t="str">
        <f t="shared" si="35"/>
        <v>SOCIAL SECURITY TAXES</v>
      </c>
    </row>
    <row r="2367" spans="5:8" x14ac:dyDescent="0.25">
      <c r="E2367" t="str">
        <f>""</f>
        <v/>
      </c>
      <c r="F2367" t="str">
        <f>""</f>
        <v/>
      </c>
      <c r="H2367" t="str">
        <f t="shared" si="35"/>
        <v>SOCIAL SECURITY TAXES</v>
      </c>
    </row>
    <row r="2368" spans="5:8" x14ac:dyDescent="0.25">
      <c r="E2368" t="str">
        <f>""</f>
        <v/>
      </c>
      <c r="F2368" t="str">
        <f>""</f>
        <v/>
      </c>
      <c r="H2368" t="str">
        <f t="shared" si="35"/>
        <v>SOCIAL SECURITY TAXES</v>
      </c>
    </row>
    <row r="2369" spans="5:8" x14ac:dyDescent="0.25">
      <c r="E2369" t="str">
        <f>""</f>
        <v/>
      </c>
      <c r="F2369" t="str">
        <f>""</f>
        <v/>
      </c>
      <c r="H2369" t="str">
        <f t="shared" si="35"/>
        <v>SOCIAL SECURITY TAXES</v>
      </c>
    </row>
    <row r="2370" spans="5:8" x14ac:dyDescent="0.25">
      <c r="E2370" t="str">
        <f>""</f>
        <v/>
      </c>
      <c r="F2370" t="str">
        <f>""</f>
        <v/>
      </c>
      <c r="H2370" t="str">
        <f t="shared" si="35"/>
        <v>SOCIAL SECURITY TAXES</v>
      </c>
    </row>
    <row r="2371" spans="5:8" x14ac:dyDescent="0.25">
      <c r="E2371" t="str">
        <f>""</f>
        <v/>
      </c>
      <c r="F2371" t="str">
        <f>""</f>
        <v/>
      </c>
      <c r="H2371" t="str">
        <f t="shared" si="35"/>
        <v>SOCIAL SECURITY TAXES</v>
      </c>
    </row>
    <row r="2372" spans="5:8" x14ac:dyDescent="0.25">
      <c r="E2372" t="str">
        <f>""</f>
        <v/>
      </c>
      <c r="F2372" t="str">
        <f>""</f>
        <v/>
      </c>
      <c r="H2372" t="str">
        <f t="shared" ref="H2372:H2397" si="36">"SOCIAL SECURITY TAXES"</f>
        <v>SOCIAL SECURITY TAXES</v>
      </c>
    </row>
    <row r="2373" spans="5:8" x14ac:dyDescent="0.25">
      <c r="E2373" t="str">
        <f>""</f>
        <v/>
      </c>
      <c r="F2373" t="str">
        <f>""</f>
        <v/>
      </c>
      <c r="H2373" t="str">
        <f t="shared" si="36"/>
        <v>SOCIAL SECURITY TAXES</v>
      </c>
    </row>
    <row r="2374" spans="5:8" x14ac:dyDescent="0.25">
      <c r="E2374" t="str">
        <f>""</f>
        <v/>
      </c>
      <c r="F2374" t="str">
        <f>""</f>
        <v/>
      </c>
      <c r="H2374" t="str">
        <f t="shared" si="36"/>
        <v>SOCIAL SECURITY TAXES</v>
      </c>
    </row>
    <row r="2375" spans="5:8" x14ac:dyDescent="0.25">
      <c r="E2375" t="str">
        <f>""</f>
        <v/>
      </c>
      <c r="F2375" t="str">
        <f>""</f>
        <v/>
      </c>
      <c r="H2375" t="str">
        <f t="shared" si="36"/>
        <v>SOCIAL SECURITY TAXES</v>
      </c>
    </row>
    <row r="2376" spans="5:8" x14ac:dyDescent="0.25">
      <c r="E2376" t="str">
        <f>""</f>
        <v/>
      </c>
      <c r="F2376" t="str">
        <f>""</f>
        <v/>
      </c>
      <c r="H2376" t="str">
        <f t="shared" si="36"/>
        <v>SOCIAL SECURITY TAXES</v>
      </c>
    </row>
    <row r="2377" spans="5:8" x14ac:dyDescent="0.25">
      <c r="E2377" t="str">
        <f>""</f>
        <v/>
      </c>
      <c r="F2377" t="str">
        <f>""</f>
        <v/>
      </c>
      <c r="H2377" t="str">
        <f t="shared" si="36"/>
        <v>SOCIAL SECURITY TAXES</v>
      </c>
    </row>
    <row r="2378" spans="5:8" x14ac:dyDescent="0.25">
      <c r="E2378" t="str">
        <f>""</f>
        <v/>
      </c>
      <c r="F2378" t="str">
        <f>""</f>
        <v/>
      </c>
      <c r="H2378" t="str">
        <f t="shared" si="36"/>
        <v>SOCIAL SECURITY TAXES</v>
      </c>
    </row>
    <row r="2379" spans="5:8" x14ac:dyDescent="0.25">
      <c r="E2379" t="str">
        <f>""</f>
        <v/>
      </c>
      <c r="F2379" t="str">
        <f>""</f>
        <v/>
      </c>
      <c r="H2379" t="str">
        <f t="shared" si="36"/>
        <v>SOCIAL SECURITY TAXES</v>
      </c>
    </row>
    <row r="2380" spans="5:8" x14ac:dyDescent="0.25">
      <c r="E2380" t="str">
        <f>""</f>
        <v/>
      </c>
      <c r="F2380" t="str">
        <f>""</f>
        <v/>
      </c>
      <c r="H2380" t="str">
        <f t="shared" si="36"/>
        <v>SOCIAL SECURITY TAXES</v>
      </c>
    </row>
    <row r="2381" spans="5:8" x14ac:dyDescent="0.25">
      <c r="E2381" t="str">
        <f>""</f>
        <v/>
      </c>
      <c r="F2381" t="str">
        <f>""</f>
        <v/>
      </c>
      <c r="H2381" t="str">
        <f t="shared" si="36"/>
        <v>SOCIAL SECURITY TAXES</v>
      </c>
    </row>
    <row r="2382" spans="5:8" x14ac:dyDescent="0.25">
      <c r="E2382" t="str">
        <f>""</f>
        <v/>
      </c>
      <c r="F2382" t="str">
        <f>""</f>
        <v/>
      </c>
      <c r="H2382" t="str">
        <f t="shared" si="36"/>
        <v>SOCIAL SECURITY TAXES</v>
      </c>
    </row>
    <row r="2383" spans="5:8" x14ac:dyDescent="0.25">
      <c r="E2383" t="str">
        <f>""</f>
        <v/>
      </c>
      <c r="F2383" t="str">
        <f>""</f>
        <v/>
      </c>
      <c r="H2383" t="str">
        <f t="shared" si="36"/>
        <v>SOCIAL SECURITY TAXES</v>
      </c>
    </row>
    <row r="2384" spans="5:8" x14ac:dyDescent="0.25">
      <c r="E2384" t="str">
        <f>""</f>
        <v/>
      </c>
      <c r="F2384" t="str">
        <f>""</f>
        <v/>
      </c>
      <c r="H2384" t="str">
        <f t="shared" si="36"/>
        <v>SOCIAL SECURITY TAXES</v>
      </c>
    </row>
    <row r="2385" spans="5:8" x14ac:dyDescent="0.25">
      <c r="E2385" t="str">
        <f>""</f>
        <v/>
      </c>
      <c r="F2385" t="str">
        <f>""</f>
        <v/>
      </c>
      <c r="H2385" t="str">
        <f t="shared" si="36"/>
        <v>SOCIAL SECURITY TAXES</v>
      </c>
    </row>
    <row r="2386" spans="5:8" x14ac:dyDescent="0.25">
      <c r="E2386" t="str">
        <f>""</f>
        <v/>
      </c>
      <c r="F2386" t="str">
        <f>""</f>
        <v/>
      </c>
      <c r="H2386" t="str">
        <f t="shared" si="36"/>
        <v>SOCIAL SECURITY TAXES</v>
      </c>
    </row>
    <row r="2387" spans="5:8" x14ac:dyDescent="0.25">
      <c r="E2387" t="str">
        <f>""</f>
        <v/>
      </c>
      <c r="F2387" t="str">
        <f>""</f>
        <v/>
      </c>
      <c r="H2387" t="str">
        <f t="shared" si="36"/>
        <v>SOCIAL SECURITY TAXES</v>
      </c>
    </row>
    <row r="2388" spans="5:8" x14ac:dyDescent="0.25">
      <c r="E2388" t="str">
        <f>""</f>
        <v/>
      </c>
      <c r="F2388" t="str">
        <f>""</f>
        <v/>
      </c>
      <c r="H2388" t="str">
        <f t="shared" si="36"/>
        <v>SOCIAL SECURITY TAXES</v>
      </c>
    </row>
    <row r="2389" spans="5:8" x14ac:dyDescent="0.25">
      <c r="E2389" t="str">
        <f>""</f>
        <v/>
      </c>
      <c r="F2389" t="str">
        <f>""</f>
        <v/>
      </c>
      <c r="H2389" t="str">
        <f t="shared" si="36"/>
        <v>SOCIAL SECURITY TAXES</v>
      </c>
    </row>
    <row r="2390" spans="5:8" x14ac:dyDescent="0.25">
      <c r="E2390" t="str">
        <f>""</f>
        <v/>
      </c>
      <c r="F2390" t="str">
        <f>""</f>
        <v/>
      </c>
      <c r="H2390" t="str">
        <f t="shared" si="36"/>
        <v>SOCIAL SECURITY TAXES</v>
      </c>
    </row>
    <row r="2391" spans="5:8" x14ac:dyDescent="0.25">
      <c r="E2391" t="str">
        <f>""</f>
        <v/>
      </c>
      <c r="F2391" t="str">
        <f>""</f>
        <v/>
      </c>
      <c r="H2391" t="str">
        <f t="shared" si="36"/>
        <v>SOCIAL SECURITY TAXES</v>
      </c>
    </row>
    <row r="2392" spans="5:8" x14ac:dyDescent="0.25">
      <c r="E2392" t="str">
        <f>"T3 201810174607"</f>
        <v>T3 201810174607</v>
      </c>
      <c r="F2392" t="str">
        <f>"SOCIAL SECURITY TAXES"</f>
        <v>SOCIAL SECURITY TAXES</v>
      </c>
      <c r="G2392" s="3">
        <v>4187.5600000000004</v>
      </c>
      <c r="H2392" t="str">
        <f t="shared" si="36"/>
        <v>SOCIAL SECURITY TAXES</v>
      </c>
    </row>
    <row r="2393" spans="5:8" x14ac:dyDescent="0.25">
      <c r="E2393" t="str">
        <f>""</f>
        <v/>
      </c>
      <c r="F2393" t="str">
        <f>""</f>
        <v/>
      </c>
      <c r="H2393" t="str">
        <f t="shared" si="36"/>
        <v>SOCIAL SECURITY TAXES</v>
      </c>
    </row>
    <row r="2394" spans="5:8" x14ac:dyDescent="0.25">
      <c r="E2394" t="str">
        <f>"T3 201810174608"</f>
        <v>T3 201810174608</v>
      </c>
      <c r="F2394" t="str">
        <f>"SOCIAL SECURITY TAXES"</f>
        <v>SOCIAL SECURITY TAXES</v>
      </c>
      <c r="G2394" s="3">
        <v>5005.46</v>
      </c>
      <c r="H2394" t="str">
        <f t="shared" si="36"/>
        <v>SOCIAL SECURITY TAXES</v>
      </c>
    </row>
    <row r="2395" spans="5:8" x14ac:dyDescent="0.25">
      <c r="E2395" t="str">
        <f>""</f>
        <v/>
      </c>
      <c r="F2395" t="str">
        <f>""</f>
        <v/>
      </c>
      <c r="H2395" t="str">
        <f t="shared" si="36"/>
        <v>SOCIAL SECURITY TAXES</v>
      </c>
    </row>
    <row r="2396" spans="5:8" x14ac:dyDescent="0.25">
      <c r="E2396" t="str">
        <f>"T3 201810174613"</f>
        <v>T3 201810174613</v>
      </c>
      <c r="F2396" t="str">
        <f>"SOCIAL SECURITY TAXES"</f>
        <v>SOCIAL SECURITY TAXES</v>
      </c>
      <c r="G2396" s="3">
        <v>227.86</v>
      </c>
      <c r="H2396" t="str">
        <f t="shared" si="36"/>
        <v>SOCIAL SECURITY TAXES</v>
      </c>
    </row>
    <row r="2397" spans="5:8" x14ac:dyDescent="0.25">
      <c r="E2397" t="str">
        <f>""</f>
        <v/>
      </c>
      <c r="F2397" t="str">
        <f>""</f>
        <v/>
      </c>
      <c r="H2397" t="str">
        <f t="shared" si="36"/>
        <v>SOCIAL SECURITY TAXES</v>
      </c>
    </row>
    <row r="2398" spans="5:8" x14ac:dyDescent="0.25">
      <c r="E2398" t="str">
        <f>"T4 201810174606"</f>
        <v>T4 201810174606</v>
      </c>
      <c r="F2398" t="str">
        <f>"MEDICARE TAXES"</f>
        <v>MEDICARE TAXES</v>
      </c>
      <c r="G2398" s="3">
        <v>24472.16</v>
      </c>
      <c r="H2398" t="str">
        <f t="shared" ref="H2398:H2429" si="37">"MEDICARE TAXES"</f>
        <v>MEDICARE TAXES</v>
      </c>
    </row>
    <row r="2399" spans="5:8" x14ac:dyDescent="0.25">
      <c r="E2399" t="str">
        <f>""</f>
        <v/>
      </c>
      <c r="F2399" t="str">
        <f>""</f>
        <v/>
      </c>
      <c r="H2399" t="str">
        <f t="shared" si="37"/>
        <v>MEDICARE TAXES</v>
      </c>
    </row>
    <row r="2400" spans="5:8" x14ac:dyDescent="0.25">
      <c r="E2400" t="str">
        <f>""</f>
        <v/>
      </c>
      <c r="F2400" t="str">
        <f>""</f>
        <v/>
      </c>
      <c r="H2400" t="str">
        <f t="shared" si="37"/>
        <v>MEDICARE TAXES</v>
      </c>
    </row>
    <row r="2401" spans="5:8" x14ac:dyDescent="0.25">
      <c r="E2401" t="str">
        <f>""</f>
        <v/>
      </c>
      <c r="F2401" t="str">
        <f>""</f>
        <v/>
      </c>
      <c r="H2401" t="str">
        <f t="shared" si="37"/>
        <v>MEDICARE TAXES</v>
      </c>
    </row>
    <row r="2402" spans="5:8" x14ac:dyDescent="0.25">
      <c r="E2402" t="str">
        <f>""</f>
        <v/>
      </c>
      <c r="F2402" t="str">
        <f>""</f>
        <v/>
      </c>
      <c r="H2402" t="str">
        <f t="shared" si="37"/>
        <v>MEDICARE TAXES</v>
      </c>
    </row>
    <row r="2403" spans="5:8" x14ac:dyDescent="0.25">
      <c r="E2403" t="str">
        <f>""</f>
        <v/>
      </c>
      <c r="F2403" t="str">
        <f>""</f>
        <v/>
      </c>
      <c r="H2403" t="str">
        <f t="shared" si="37"/>
        <v>MEDICARE TAXES</v>
      </c>
    </row>
    <row r="2404" spans="5:8" x14ac:dyDescent="0.25">
      <c r="E2404" t="str">
        <f>""</f>
        <v/>
      </c>
      <c r="F2404" t="str">
        <f>""</f>
        <v/>
      </c>
      <c r="H2404" t="str">
        <f t="shared" si="37"/>
        <v>MEDICARE TAXES</v>
      </c>
    </row>
    <row r="2405" spans="5:8" x14ac:dyDescent="0.25">
      <c r="E2405" t="str">
        <f>""</f>
        <v/>
      </c>
      <c r="F2405" t="str">
        <f>""</f>
        <v/>
      </c>
      <c r="H2405" t="str">
        <f t="shared" si="37"/>
        <v>MEDICARE TAXES</v>
      </c>
    </row>
    <row r="2406" spans="5:8" x14ac:dyDescent="0.25">
      <c r="E2406" t="str">
        <f>""</f>
        <v/>
      </c>
      <c r="F2406" t="str">
        <f>""</f>
        <v/>
      </c>
      <c r="H2406" t="str">
        <f t="shared" si="37"/>
        <v>MEDICARE TAXES</v>
      </c>
    </row>
    <row r="2407" spans="5:8" x14ac:dyDescent="0.25">
      <c r="E2407" t="str">
        <f>""</f>
        <v/>
      </c>
      <c r="F2407" t="str">
        <f>""</f>
        <v/>
      </c>
      <c r="H2407" t="str">
        <f t="shared" si="37"/>
        <v>MEDICARE TAXES</v>
      </c>
    </row>
    <row r="2408" spans="5:8" x14ac:dyDescent="0.25">
      <c r="E2408" t="str">
        <f>""</f>
        <v/>
      </c>
      <c r="F2408" t="str">
        <f>""</f>
        <v/>
      </c>
      <c r="H2408" t="str">
        <f t="shared" si="37"/>
        <v>MEDICARE TAXES</v>
      </c>
    </row>
    <row r="2409" spans="5:8" x14ac:dyDescent="0.25">
      <c r="E2409" t="str">
        <f>""</f>
        <v/>
      </c>
      <c r="F2409" t="str">
        <f>""</f>
        <v/>
      </c>
      <c r="H2409" t="str">
        <f t="shared" si="37"/>
        <v>MEDICARE TAXES</v>
      </c>
    </row>
    <row r="2410" spans="5:8" x14ac:dyDescent="0.25">
      <c r="E2410" t="str">
        <f>""</f>
        <v/>
      </c>
      <c r="F2410" t="str">
        <f>""</f>
        <v/>
      </c>
      <c r="H2410" t="str">
        <f t="shared" si="37"/>
        <v>MEDICARE TAXES</v>
      </c>
    </row>
    <row r="2411" spans="5:8" x14ac:dyDescent="0.25">
      <c r="E2411" t="str">
        <f>""</f>
        <v/>
      </c>
      <c r="F2411" t="str">
        <f>""</f>
        <v/>
      </c>
      <c r="H2411" t="str">
        <f t="shared" si="37"/>
        <v>MEDICARE TAXES</v>
      </c>
    </row>
    <row r="2412" spans="5:8" x14ac:dyDescent="0.25">
      <c r="E2412" t="str">
        <f>""</f>
        <v/>
      </c>
      <c r="F2412" t="str">
        <f>""</f>
        <v/>
      </c>
      <c r="H2412" t="str">
        <f t="shared" si="37"/>
        <v>MEDICARE TAXES</v>
      </c>
    </row>
    <row r="2413" spans="5:8" x14ac:dyDescent="0.25">
      <c r="E2413" t="str">
        <f>""</f>
        <v/>
      </c>
      <c r="F2413" t="str">
        <f>""</f>
        <v/>
      </c>
      <c r="H2413" t="str">
        <f t="shared" si="37"/>
        <v>MEDICARE TAXES</v>
      </c>
    </row>
    <row r="2414" spans="5:8" x14ac:dyDescent="0.25">
      <c r="E2414" t="str">
        <f>""</f>
        <v/>
      </c>
      <c r="F2414" t="str">
        <f>""</f>
        <v/>
      </c>
      <c r="H2414" t="str">
        <f t="shared" si="37"/>
        <v>MEDICARE TAXES</v>
      </c>
    </row>
    <row r="2415" spans="5:8" x14ac:dyDescent="0.25">
      <c r="E2415" t="str">
        <f>""</f>
        <v/>
      </c>
      <c r="F2415" t="str">
        <f>""</f>
        <v/>
      </c>
      <c r="H2415" t="str">
        <f t="shared" si="37"/>
        <v>MEDICARE TAXES</v>
      </c>
    </row>
    <row r="2416" spans="5:8" x14ac:dyDescent="0.25">
      <c r="E2416" t="str">
        <f>""</f>
        <v/>
      </c>
      <c r="F2416" t="str">
        <f>""</f>
        <v/>
      </c>
      <c r="H2416" t="str">
        <f t="shared" si="37"/>
        <v>MEDICARE TAXES</v>
      </c>
    </row>
    <row r="2417" spans="5:8" x14ac:dyDescent="0.25">
      <c r="E2417" t="str">
        <f>""</f>
        <v/>
      </c>
      <c r="F2417" t="str">
        <f>""</f>
        <v/>
      </c>
      <c r="H2417" t="str">
        <f t="shared" si="37"/>
        <v>MEDICARE TAXES</v>
      </c>
    </row>
    <row r="2418" spans="5:8" x14ac:dyDescent="0.25">
      <c r="E2418" t="str">
        <f>""</f>
        <v/>
      </c>
      <c r="F2418" t="str">
        <f>""</f>
        <v/>
      </c>
      <c r="H2418" t="str">
        <f t="shared" si="37"/>
        <v>MEDICARE TAXES</v>
      </c>
    </row>
    <row r="2419" spans="5:8" x14ac:dyDescent="0.25">
      <c r="E2419" t="str">
        <f>""</f>
        <v/>
      </c>
      <c r="F2419" t="str">
        <f>""</f>
        <v/>
      </c>
      <c r="H2419" t="str">
        <f t="shared" si="37"/>
        <v>MEDICARE TAXES</v>
      </c>
    </row>
    <row r="2420" spans="5:8" x14ac:dyDescent="0.25">
      <c r="E2420" t="str">
        <f>""</f>
        <v/>
      </c>
      <c r="F2420" t="str">
        <f>""</f>
        <v/>
      </c>
      <c r="H2420" t="str">
        <f t="shared" si="37"/>
        <v>MEDICARE TAXES</v>
      </c>
    </row>
    <row r="2421" spans="5:8" x14ac:dyDescent="0.25">
      <c r="E2421" t="str">
        <f>""</f>
        <v/>
      </c>
      <c r="F2421" t="str">
        <f>""</f>
        <v/>
      </c>
      <c r="H2421" t="str">
        <f t="shared" si="37"/>
        <v>MEDICARE TAXES</v>
      </c>
    </row>
    <row r="2422" spans="5:8" x14ac:dyDescent="0.25">
      <c r="E2422" t="str">
        <f>""</f>
        <v/>
      </c>
      <c r="F2422" t="str">
        <f>""</f>
        <v/>
      </c>
      <c r="H2422" t="str">
        <f t="shared" si="37"/>
        <v>MEDICARE TAXES</v>
      </c>
    </row>
    <row r="2423" spans="5:8" x14ac:dyDescent="0.25">
      <c r="E2423" t="str">
        <f>""</f>
        <v/>
      </c>
      <c r="F2423" t="str">
        <f>""</f>
        <v/>
      </c>
      <c r="H2423" t="str">
        <f t="shared" si="37"/>
        <v>MEDICARE TAXES</v>
      </c>
    </row>
    <row r="2424" spans="5:8" x14ac:dyDescent="0.25">
      <c r="E2424" t="str">
        <f>""</f>
        <v/>
      </c>
      <c r="F2424" t="str">
        <f>""</f>
        <v/>
      </c>
      <c r="H2424" t="str">
        <f t="shared" si="37"/>
        <v>MEDICARE TAXES</v>
      </c>
    </row>
    <row r="2425" spans="5:8" x14ac:dyDescent="0.25">
      <c r="E2425" t="str">
        <f>""</f>
        <v/>
      </c>
      <c r="F2425" t="str">
        <f>""</f>
        <v/>
      </c>
      <c r="H2425" t="str">
        <f t="shared" si="37"/>
        <v>MEDICARE TAXES</v>
      </c>
    </row>
    <row r="2426" spans="5:8" x14ac:dyDescent="0.25">
      <c r="E2426" t="str">
        <f>""</f>
        <v/>
      </c>
      <c r="F2426" t="str">
        <f>""</f>
        <v/>
      </c>
      <c r="H2426" t="str">
        <f t="shared" si="37"/>
        <v>MEDICARE TAXES</v>
      </c>
    </row>
    <row r="2427" spans="5:8" x14ac:dyDescent="0.25">
      <c r="E2427" t="str">
        <f>""</f>
        <v/>
      </c>
      <c r="F2427" t="str">
        <f>""</f>
        <v/>
      </c>
      <c r="H2427" t="str">
        <f t="shared" si="37"/>
        <v>MEDICARE TAXES</v>
      </c>
    </row>
    <row r="2428" spans="5:8" x14ac:dyDescent="0.25">
      <c r="E2428" t="str">
        <f>""</f>
        <v/>
      </c>
      <c r="F2428" t="str">
        <f>""</f>
        <v/>
      </c>
      <c r="H2428" t="str">
        <f t="shared" si="37"/>
        <v>MEDICARE TAXES</v>
      </c>
    </row>
    <row r="2429" spans="5:8" x14ac:dyDescent="0.25">
      <c r="E2429" t="str">
        <f>""</f>
        <v/>
      </c>
      <c r="F2429" t="str">
        <f>""</f>
        <v/>
      </c>
      <c r="H2429" t="str">
        <f t="shared" si="37"/>
        <v>MEDICARE TAXES</v>
      </c>
    </row>
    <row r="2430" spans="5:8" x14ac:dyDescent="0.25">
      <c r="E2430" t="str">
        <f>""</f>
        <v/>
      </c>
      <c r="F2430" t="str">
        <f>""</f>
        <v/>
      </c>
      <c r="H2430" t="str">
        <f t="shared" ref="H2430:H2455" si="38">"MEDICARE TAXES"</f>
        <v>MEDICARE TAXES</v>
      </c>
    </row>
    <row r="2431" spans="5:8" x14ac:dyDescent="0.25">
      <c r="E2431" t="str">
        <f>""</f>
        <v/>
      </c>
      <c r="F2431" t="str">
        <f>""</f>
        <v/>
      </c>
      <c r="H2431" t="str">
        <f t="shared" si="38"/>
        <v>MEDICARE TAXES</v>
      </c>
    </row>
    <row r="2432" spans="5:8" x14ac:dyDescent="0.25">
      <c r="E2432" t="str">
        <f>""</f>
        <v/>
      </c>
      <c r="F2432" t="str">
        <f>""</f>
        <v/>
      </c>
      <c r="H2432" t="str">
        <f t="shared" si="38"/>
        <v>MEDICARE TAXES</v>
      </c>
    </row>
    <row r="2433" spans="5:8" x14ac:dyDescent="0.25">
      <c r="E2433" t="str">
        <f>""</f>
        <v/>
      </c>
      <c r="F2433" t="str">
        <f>""</f>
        <v/>
      </c>
      <c r="H2433" t="str">
        <f t="shared" si="38"/>
        <v>MEDICARE TAXES</v>
      </c>
    </row>
    <row r="2434" spans="5:8" x14ac:dyDescent="0.25">
      <c r="E2434" t="str">
        <f>""</f>
        <v/>
      </c>
      <c r="F2434" t="str">
        <f>""</f>
        <v/>
      </c>
      <c r="H2434" t="str">
        <f t="shared" si="38"/>
        <v>MEDICARE TAXES</v>
      </c>
    </row>
    <row r="2435" spans="5:8" x14ac:dyDescent="0.25">
      <c r="E2435" t="str">
        <f>""</f>
        <v/>
      </c>
      <c r="F2435" t="str">
        <f>""</f>
        <v/>
      </c>
      <c r="H2435" t="str">
        <f t="shared" si="38"/>
        <v>MEDICARE TAXES</v>
      </c>
    </row>
    <row r="2436" spans="5:8" x14ac:dyDescent="0.25">
      <c r="E2436" t="str">
        <f>""</f>
        <v/>
      </c>
      <c r="F2436" t="str">
        <f>""</f>
        <v/>
      </c>
      <c r="H2436" t="str">
        <f t="shared" si="38"/>
        <v>MEDICARE TAXES</v>
      </c>
    </row>
    <row r="2437" spans="5:8" x14ac:dyDescent="0.25">
      <c r="E2437" t="str">
        <f>""</f>
        <v/>
      </c>
      <c r="F2437" t="str">
        <f>""</f>
        <v/>
      </c>
      <c r="H2437" t="str">
        <f t="shared" si="38"/>
        <v>MEDICARE TAXES</v>
      </c>
    </row>
    <row r="2438" spans="5:8" x14ac:dyDescent="0.25">
      <c r="E2438" t="str">
        <f>""</f>
        <v/>
      </c>
      <c r="F2438" t="str">
        <f>""</f>
        <v/>
      </c>
      <c r="H2438" t="str">
        <f t="shared" si="38"/>
        <v>MEDICARE TAXES</v>
      </c>
    </row>
    <row r="2439" spans="5:8" x14ac:dyDescent="0.25">
      <c r="E2439" t="str">
        <f>""</f>
        <v/>
      </c>
      <c r="F2439" t="str">
        <f>""</f>
        <v/>
      </c>
      <c r="H2439" t="str">
        <f t="shared" si="38"/>
        <v>MEDICARE TAXES</v>
      </c>
    </row>
    <row r="2440" spans="5:8" x14ac:dyDescent="0.25">
      <c r="E2440" t="str">
        <f>""</f>
        <v/>
      </c>
      <c r="F2440" t="str">
        <f>""</f>
        <v/>
      </c>
      <c r="H2440" t="str">
        <f t="shared" si="38"/>
        <v>MEDICARE TAXES</v>
      </c>
    </row>
    <row r="2441" spans="5:8" x14ac:dyDescent="0.25">
      <c r="E2441" t="str">
        <f>""</f>
        <v/>
      </c>
      <c r="F2441" t="str">
        <f>""</f>
        <v/>
      </c>
      <c r="H2441" t="str">
        <f t="shared" si="38"/>
        <v>MEDICARE TAXES</v>
      </c>
    </row>
    <row r="2442" spans="5:8" x14ac:dyDescent="0.25">
      <c r="E2442" t="str">
        <f>""</f>
        <v/>
      </c>
      <c r="F2442" t="str">
        <f>""</f>
        <v/>
      </c>
      <c r="H2442" t="str">
        <f t="shared" si="38"/>
        <v>MEDICARE TAXES</v>
      </c>
    </row>
    <row r="2443" spans="5:8" x14ac:dyDescent="0.25">
      <c r="E2443" t="str">
        <f>""</f>
        <v/>
      </c>
      <c r="F2443" t="str">
        <f>""</f>
        <v/>
      </c>
      <c r="H2443" t="str">
        <f t="shared" si="38"/>
        <v>MEDICARE TAXES</v>
      </c>
    </row>
    <row r="2444" spans="5:8" x14ac:dyDescent="0.25">
      <c r="E2444" t="str">
        <f>""</f>
        <v/>
      </c>
      <c r="F2444" t="str">
        <f>""</f>
        <v/>
      </c>
      <c r="H2444" t="str">
        <f t="shared" si="38"/>
        <v>MEDICARE TAXES</v>
      </c>
    </row>
    <row r="2445" spans="5:8" x14ac:dyDescent="0.25">
      <c r="E2445" t="str">
        <f>""</f>
        <v/>
      </c>
      <c r="F2445" t="str">
        <f>""</f>
        <v/>
      </c>
      <c r="H2445" t="str">
        <f t="shared" si="38"/>
        <v>MEDICARE TAXES</v>
      </c>
    </row>
    <row r="2446" spans="5:8" x14ac:dyDescent="0.25">
      <c r="E2446" t="str">
        <f>""</f>
        <v/>
      </c>
      <c r="F2446" t="str">
        <f>""</f>
        <v/>
      </c>
      <c r="H2446" t="str">
        <f t="shared" si="38"/>
        <v>MEDICARE TAXES</v>
      </c>
    </row>
    <row r="2447" spans="5:8" x14ac:dyDescent="0.25">
      <c r="E2447" t="str">
        <f>""</f>
        <v/>
      </c>
      <c r="F2447" t="str">
        <f>""</f>
        <v/>
      </c>
      <c r="H2447" t="str">
        <f t="shared" si="38"/>
        <v>MEDICARE TAXES</v>
      </c>
    </row>
    <row r="2448" spans="5:8" x14ac:dyDescent="0.25">
      <c r="E2448" t="str">
        <f>""</f>
        <v/>
      </c>
      <c r="F2448" t="str">
        <f>""</f>
        <v/>
      </c>
      <c r="H2448" t="str">
        <f t="shared" si="38"/>
        <v>MEDICARE TAXES</v>
      </c>
    </row>
    <row r="2449" spans="1:8" x14ac:dyDescent="0.25">
      <c r="E2449" t="str">
        <f>""</f>
        <v/>
      </c>
      <c r="F2449" t="str">
        <f>""</f>
        <v/>
      </c>
      <c r="H2449" t="str">
        <f t="shared" si="38"/>
        <v>MEDICARE TAXES</v>
      </c>
    </row>
    <row r="2450" spans="1:8" x14ac:dyDescent="0.25">
      <c r="E2450" t="str">
        <f>"T4 201810174607"</f>
        <v>T4 201810174607</v>
      </c>
      <c r="F2450" t="str">
        <f>"MEDICARE TAXES"</f>
        <v>MEDICARE TAXES</v>
      </c>
      <c r="G2450" s="3">
        <v>979.36</v>
      </c>
      <c r="H2450" t="str">
        <f t="shared" si="38"/>
        <v>MEDICARE TAXES</v>
      </c>
    </row>
    <row r="2451" spans="1:8" x14ac:dyDescent="0.25">
      <c r="E2451" t="str">
        <f>""</f>
        <v/>
      </c>
      <c r="F2451" t="str">
        <f>""</f>
        <v/>
      </c>
      <c r="H2451" t="str">
        <f t="shared" si="38"/>
        <v>MEDICARE TAXES</v>
      </c>
    </row>
    <row r="2452" spans="1:8" x14ac:dyDescent="0.25">
      <c r="E2452" t="str">
        <f>"T4 201810174608"</f>
        <v>T4 201810174608</v>
      </c>
      <c r="F2452" t="str">
        <f>"MEDICARE TAXES"</f>
        <v>MEDICARE TAXES</v>
      </c>
      <c r="G2452" s="3">
        <v>1170.68</v>
      </c>
      <c r="H2452" t="str">
        <f t="shared" si="38"/>
        <v>MEDICARE TAXES</v>
      </c>
    </row>
    <row r="2453" spans="1:8" x14ac:dyDescent="0.25">
      <c r="E2453" t="str">
        <f>""</f>
        <v/>
      </c>
      <c r="F2453" t="str">
        <f>""</f>
        <v/>
      </c>
      <c r="H2453" t="str">
        <f t="shared" si="38"/>
        <v>MEDICARE TAXES</v>
      </c>
    </row>
    <row r="2454" spans="1:8" x14ac:dyDescent="0.25">
      <c r="E2454" t="str">
        <f>"T4 201810174613"</f>
        <v>T4 201810174613</v>
      </c>
      <c r="F2454" t="str">
        <f>"MEDICARE TAXES"</f>
        <v>MEDICARE TAXES</v>
      </c>
      <c r="G2454" s="3">
        <v>53.28</v>
      </c>
      <c r="H2454" t="str">
        <f t="shared" si="38"/>
        <v>MEDICARE TAXES</v>
      </c>
    </row>
    <row r="2455" spans="1:8" x14ac:dyDescent="0.25">
      <c r="E2455" t="str">
        <f>""</f>
        <v/>
      </c>
      <c r="F2455" t="str">
        <f>""</f>
        <v/>
      </c>
      <c r="H2455" t="str">
        <f t="shared" si="38"/>
        <v>MEDICARE TAXES</v>
      </c>
    </row>
    <row r="2456" spans="1:8" x14ac:dyDescent="0.25">
      <c r="A2456" t="s">
        <v>569</v>
      </c>
      <c r="B2456">
        <v>46692</v>
      </c>
      <c r="C2456" s="2">
        <v>19.71</v>
      </c>
      <c r="D2456" s="1">
        <v>43403</v>
      </c>
      <c r="E2456" t="str">
        <f>"201810304757"</f>
        <v>201810304757</v>
      </c>
      <c r="F2456" t="str">
        <f>"KIRSTEN RUEHMAN"</f>
        <v>KIRSTEN RUEHMAN</v>
      </c>
      <c r="G2456" s="3">
        <v>19.71</v>
      </c>
      <c r="H2456" t="str">
        <f>"KIRSTEN RUEHMAN"</f>
        <v>KIRSTEN RUEHMAN</v>
      </c>
    </row>
    <row r="2457" spans="1:8" x14ac:dyDescent="0.25">
      <c r="A2457" t="s">
        <v>570</v>
      </c>
      <c r="B2457">
        <v>46654</v>
      </c>
      <c r="C2457" s="2">
        <v>222.76</v>
      </c>
      <c r="D2457" s="1">
        <v>43378</v>
      </c>
      <c r="E2457" t="str">
        <f>"C64201810034225"</f>
        <v>C64201810034225</v>
      </c>
      <c r="F2457" t="str">
        <f>"CASE #912745322"</f>
        <v>CASE #912745322</v>
      </c>
      <c r="G2457" s="3">
        <v>222.76</v>
      </c>
      <c r="H2457" t="str">
        <f>"CASE #912745322"</f>
        <v>CASE #912745322</v>
      </c>
    </row>
    <row r="2458" spans="1:8" x14ac:dyDescent="0.25">
      <c r="A2458" t="s">
        <v>570</v>
      </c>
      <c r="B2458">
        <v>46685</v>
      </c>
      <c r="C2458" s="2">
        <v>222.76</v>
      </c>
      <c r="D2458" s="1">
        <v>43392</v>
      </c>
      <c r="E2458" t="str">
        <f>"C64201810174606"</f>
        <v>C64201810174606</v>
      </c>
      <c r="F2458" t="str">
        <f>"CASE #912745322"</f>
        <v>CASE #912745322</v>
      </c>
      <c r="G2458" s="3">
        <v>222.76</v>
      </c>
      <c r="H2458" t="str">
        <f>"CASE #912745322"</f>
        <v>CASE #912745322</v>
      </c>
    </row>
    <row r="2459" spans="1:8" x14ac:dyDescent="0.25">
      <c r="A2459" t="s">
        <v>571</v>
      </c>
      <c r="B2459">
        <v>0</v>
      </c>
      <c r="C2459" s="2">
        <v>28999.32</v>
      </c>
      <c r="D2459" s="1">
        <v>43402</v>
      </c>
      <c r="E2459" t="str">
        <f>"201810294689"</f>
        <v>201810294689</v>
      </c>
      <c r="F2459" t="str">
        <f>"October 2018"</f>
        <v>October 2018</v>
      </c>
      <c r="G2459" s="3">
        <v>28999.32</v>
      </c>
      <c r="H2459" t="str">
        <f>"MONUMENTAL LIFE INS CO"</f>
        <v>MONUMENTAL LIFE INS CO</v>
      </c>
    </row>
    <row r="2460" spans="1:8" x14ac:dyDescent="0.25">
      <c r="A2460" t="s">
        <v>572</v>
      </c>
      <c r="B2460">
        <v>46653</v>
      </c>
      <c r="C2460" s="2">
        <v>319.83999999999997</v>
      </c>
      <c r="D2460" s="1">
        <v>43378</v>
      </c>
      <c r="E2460" t="str">
        <f>"C33201810034226"</f>
        <v>C33201810034226</v>
      </c>
      <c r="F2460" t="str">
        <f>"NR58888M1"</f>
        <v>NR58888M1</v>
      </c>
      <c r="G2460" s="3">
        <v>319.83999999999997</v>
      </c>
      <c r="H2460" t="str">
        <f>"NR58888M1"</f>
        <v>NR58888M1</v>
      </c>
    </row>
    <row r="2461" spans="1:8" x14ac:dyDescent="0.25">
      <c r="A2461" t="s">
        <v>572</v>
      </c>
      <c r="B2461">
        <v>46684</v>
      </c>
      <c r="C2461" s="2">
        <v>319.83999999999997</v>
      </c>
      <c r="D2461" s="1">
        <v>43392</v>
      </c>
      <c r="E2461" t="str">
        <f>"C33201810174607"</f>
        <v>C33201810174607</v>
      </c>
      <c r="F2461" t="str">
        <f>"NR58888M1"</f>
        <v>NR58888M1</v>
      </c>
      <c r="G2461" s="3">
        <v>319.83999999999997</v>
      </c>
      <c r="H2461" t="str">
        <f>"NR58888M1"</f>
        <v>NR58888M1</v>
      </c>
    </row>
    <row r="2462" spans="1:8" x14ac:dyDescent="0.25">
      <c r="A2462" t="s">
        <v>573</v>
      </c>
      <c r="B2462">
        <v>0</v>
      </c>
      <c r="C2462" s="2">
        <v>674.82</v>
      </c>
      <c r="D2462" s="1">
        <v>43402</v>
      </c>
      <c r="E2462" t="str">
        <f>"LIX201810034225"</f>
        <v>LIX201810034225</v>
      </c>
      <c r="F2462" t="str">
        <f>"TEXAS LIFE/OLIVO GROUP"</f>
        <v>TEXAS LIFE/OLIVO GROUP</v>
      </c>
      <c r="G2462" s="3">
        <v>337.41</v>
      </c>
      <c r="H2462" t="str">
        <f>"TEXAS LIFE/OLIVO GROUP"</f>
        <v>TEXAS LIFE/OLIVO GROUP</v>
      </c>
    </row>
    <row r="2463" spans="1:8" x14ac:dyDescent="0.25">
      <c r="E2463" t="str">
        <f>"LIX201810174606"</f>
        <v>LIX201810174606</v>
      </c>
      <c r="F2463" t="str">
        <f>"TEXAS LIFE/OLIVO GROUP"</f>
        <v>TEXAS LIFE/OLIVO GROUP</v>
      </c>
      <c r="G2463" s="3">
        <v>337.41</v>
      </c>
      <c r="H2463" t="str">
        <f>"TEXAS LIFE/OLIVO GROUP"</f>
        <v>TEXAS LIFE/OLIVO GROUP</v>
      </c>
    </row>
    <row r="2464" spans="1:8" x14ac:dyDescent="0.25">
      <c r="A2464" t="s">
        <v>574</v>
      </c>
      <c r="B2464">
        <v>46691</v>
      </c>
      <c r="C2464" s="2">
        <v>327476.5</v>
      </c>
      <c r="D2464" s="1">
        <v>43402</v>
      </c>
      <c r="E2464" t="str">
        <f>"201810294687"</f>
        <v>201810294687</v>
      </c>
      <c r="F2464" t="str">
        <f>"Retiree October 2018"</f>
        <v>Retiree October 2018</v>
      </c>
      <c r="G2464" s="3">
        <v>13390.08</v>
      </c>
      <c r="H2464" t="str">
        <f>"TAC HEALTH BENEFITS POOL"</f>
        <v>TAC HEALTH BENEFITS POOL</v>
      </c>
    </row>
    <row r="2465" spans="5:8" x14ac:dyDescent="0.25">
      <c r="E2465" t="str">
        <f>"201810294688"</f>
        <v>201810294688</v>
      </c>
      <c r="F2465" t="str">
        <f>"Kirsten Ruehman Medical COBRA"</f>
        <v>Kirsten Ruehman Medical COBRA</v>
      </c>
      <c r="G2465" s="3">
        <v>632.16</v>
      </c>
      <c r="H2465" t="str">
        <f>"TAC HEALTH BENEFITS POOL"</f>
        <v>TAC HEALTH BENEFITS POOL</v>
      </c>
    </row>
    <row r="2466" spans="5:8" x14ac:dyDescent="0.25">
      <c r="E2466" t="str">
        <f>"2EC201810034225"</f>
        <v>2EC201810034225</v>
      </c>
      <c r="F2466" t="str">
        <f>"BCBS PAYABLE"</f>
        <v>BCBS PAYABLE</v>
      </c>
      <c r="G2466" s="3">
        <v>44748.35</v>
      </c>
      <c r="H2466" t="str">
        <f t="shared" ref="H2466:H2529" si="39">"BCBS PAYABLE"</f>
        <v>BCBS PAYABLE</v>
      </c>
    </row>
    <row r="2467" spans="5:8" x14ac:dyDescent="0.25">
      <c r="E2467" t="str">
        <f>""</f>
        <v/>
      </c>
      <c r="F2467" t="str">
        <f>""</f>
        <v/>
      </c>
      <c r="H2467" t="str">
        <f t="shared" si="39"/>
        <v>BCBS PAYABLE</v>
      </c>
    </row>
    <row r="2468" spans="5:8" x14ac:dyDescent="0.25">
      <c r="E2468" t="str">
        <f>""</f>
        <v/>
      </c>
      <c r="F2468" t="str">
        <f>""</f>
        <v/>
      </c>
      <c r="H2468" t="str">
        <f t="shared" si="39"/>
        <v>BCBS PAYABLE</v>
      </c>
    </row>
    <row r="2469" spans="5:8" x14ac:dyDescent="0.25">
      <c r="E2469" t="str">
        <f>""</f>
        <v/>
      </c>
      <c r="F2469" t="str">
        <f>""</f>
        <v/>
      </c>
      <c r="H2469" t="str">
        <f t="shared" si="39"/>
        <v>BCBS PAYABLE</v>
      </c>
    </row>
    <row r="2470" spans="5:8" x14ac:dyDescent="0.25">
      <c r="E2470" t="str">
        <f>""</f>
        <v/>
      </c>
      <c r="F2470" t="str">
        <f>""</f>
        <v/>
      </c>
      <c r="H2470" t="str">
        <f t="shared" si="39"/>
        <v>BCBS PAYABLE</v>
      </c>
    </row>
    <row r="2471" spans="5:8" x14ac:dyDescent="0.25">
      <c r="E2471" t="str">
        <f>""</f>
        <v/>
      </c>
      <c r="F2471" t="str">
        <f>""</f>
        <v/>
      </c>
      <c r="H2471" t="str">
        <f t="shared" si="39"/>
        <v>BCBS PAYABLE</v>
      </c>
    </row>
    <row r="2472" spans="5:8" x14ac:dyDescent="0.25">
      <c r="E2472" t="str">
        <f>""</f>
        <v/>
      </c>
      <c r="F2472" t="str">
        <f>""</f>
        <v/>
      </c>
      <c r="H2472" t="str">
        <f t="shared" si="39"/>
        <v>BCBS PAYABLE</v>
      </c>
    </row>
    <row r="2473" spans="5:8" x14ac:dyDescent="0.25">
      <c r="E2473" t="str">
        <f>""</f>
        <v/>
      </c>
      <c r="F2473" t="str">
        <f>""</f>
        <v/>
      </c>
      <c r="H2473" t="str">
        <f t="shared" si="39"/>
        <v>BCBS PAYABLE</v>
      </c>
    </row>
    <row r="2474" spans="5:8" x14ac:dyDescent="0.25">
      <c r="E2474" t="str">
        <f>""</f>
        <v/>
      </c>
      <c r="F2474" t="str">
        <f>""</f>
        <v/>
      </c>
      <c r="H2474" t="str">
        <f t="shared" si="39"/>
        <v>BCBS PAYABLE</v>
      </c>
    </row>
    <row r="2475" spans="5:8" x14ac:dyDescent="0.25">
      <c r="E2475" t="str">
        <f>""</f>
        <v/>
      </c>
      <c r="F2475" t="str">
        <f>""</f>
        <v/>
      </c>
      <c r="H2475" t="str">
        <f t="shared" si="39"/>
        <v>BCBS PAYABLE</v>
      </c>
    </row>
    <row r="2476" spans="5:8" x14ac:dyDescent="0.25">
      <c r="E2476" t="str">
        <f>""</f>
        <v/>
      </c>
      <c r="F2476" t="str">
        <f>""</f>
        <v/>
      </c>
      <c r="H2476" t="str">
        <f t="shared" si="39"/>
        <v>BCBS PAYABLE</v>
      </c>
    </row>
    <row r="2477" spans="5:8" x14ac:dyDescent="0.25">
      <c r="E2477" t="str">
        <f>""</f>
        <v/>
      </c>
      <c r="F2477" t="str">
        <f>""</f>
        <v/>
      </c>
      <c r="H2477" t="str">
        <f t="shared" si="39"/>
        <v>BCBS PAYABLE</v>
      </c>
    </row>
    <row r="2478" spans="5:8" x14ac:dyDescent="0.25">
      <c r="E2478" t="str">
        <f>""</f>
        <v/>
      </c>
      <c r="F2478" t="str">
        <f>""</f>
        <v/>
      </c>
      <c r="H2478" t="str">
        <f t="shared" si="39"/>
        <v>BCBS PAYABLE</v>
      </c>
    </row>
    <row r="2479" spans="5:8" x14ac:dyDescent="0.25">
      <c r="E2479" t="str">
        <f>""</f>
        <v/>
      </c>
      <c r="F2479" t="str">
        <f>""</f>
        <v/>
      </c>
      <c r="H2479" t="str">
        <f t="shared" si="39"/>
        <v>BCBS PAYABLE</v>
      </c>
    </row>
    <row r="2480" spans="5:8" x14ac:dyDescent="0.25">
      <c r="E2480" t="str">
        <f>""</f>
        <v/>
      </c>
      <c r="F2480" t="str">
        <f>""</f>
        <v/>
      </c>
      <c r="H2480" t="str">
        <f t="shared" si="39"/>
        <v>BCBS PAYABLE</v>
      </c>
    </row>
    <row r="2481" spans="5:8" x14ac:dyDescent="0.25">
      <c r="E2481" t="str">
        <f>""</f>
        <v/>
      </c>
      <c r="F2481" t="str">
        <f>""</f>
        <v/>
      </c>
      <c r="H2481" t="str">
        <f t="shared" si="39"/>
        <v>BCBS PAYABLE</v>
      </c>
    </row>
    <row r="2482" spans="5:8" x14ac:dyDescent="0.25">
      <c r="E2482" t="str">
        <f>""</f>
        <v/>
      </c>
      <c r="F2482" t="str">
        <f>""</f>
        <v/>
      </c>
      <c r="H2482" t="str">
        <f t="shared" si="39"/>
        <v>BCBS PAYABLE</v>
      </c>
    </row>
    <row r="2483" spans="5:8" x14ac:dyDescent="0.25">
      <c r="E2483" t="str">
        <f>""</f>
        <v/>
      </c>
      <c r="F2483" t="str">
        <f>""</f>
        <v/>
      </c>
      <c r="H2483" t="str">
        <f t="shared" si="39"/>
        <v>BCBS PAYABLE</v>
      </c>
    </row>
    <row r="2484" spans="5:8" x14ac:dyDescent="0.25">
      <c r="E2484" t="str">
        <f>""</f>
        <v/>
      </c>
      <c r="F2484" t="str">
        <f>""</f>
        <v/>
      </c>
      <c r="H2484" t="str">
        <f t="shared" si="39"/>
        <v>BCBS PAYABLE</v>
      </c>
    </row>
    <row r="2485" spans="5:8" x14ac:dyDescent="0.25">
      <c r="E2485" t="str">
        <f>""</f>
        <v/>
      </c>
      <c r="F2485" t="str">
        <f>""</f>
        <v/>
      </c>
      <c r="H2485" t="str">
        <f t="shared" si="39"/>
        <v>BCBS PAYABLE</v>
      </c>
    </row>
    <row r="2486" spans="5:8" x14ac:dyDescent="0.25">
      <c r="E2486" t="str">
        <f>""</f>
        <v/>
      </c>
      <c r="F2486" t="str">
        <f>""</f>
        <v/>
      </c>
      <c r="H2486" t="str">
        <f t="shared" si="39"/>
        <v>BCBS PAYABLE</v>
      </c>
    </row>
    <row r="2487" spans="5:8" x14ac:dyDescent="0.25">
      <c r="E2487" t="str">
        <f>""</f>
        <v/>
      </c>
      <c r="F2487" t="str">
        <f>""</f>
        <v/>
      </c>
      <c r="H2487" t="str">
        <f t="shared" si="39"/>
        <v>BCBS PAYABLE</v>
      </c>
    </row>
    <row r="2488" spans="5:8" x14ac:dyDescent="0.25">
      <c r="E2488" t="str">
        <f>""</f>
        <v/>
      </c>
      <c r="F2488" t="str">
        <f>""</f>
        <v/>
      </c>
      <c r="H2488" t="str">
        <f t="shared" si="39"/>
        <v>BCBS PAYABLE</v>
      </c>
    </row>
    <row r="2489" spans="5:8" x14ac:dyDescent="0.25">
      <c r="E2489" t="str">
        <f>""</f>
        <v/>
      </c>
      <c r="F2489" t="str">
        <f>""</f>
        <v/>
      </c>
      <c r="H2489" t="str">
        <f t="shared" si="39"/>
        <v>BCBS PAYABLE</v>
      </c>
    </row>
    <row r="2490" spans="5:8" x14ac:dyDescent="0.25">
      <c r="E2490" t="str">
        <f>""</f>
        <v/>
      </c>
      <c r="F2490" t="str">
        <f>""</f>
        <v/>
      </c>
      <c r="H2490" t="str">
        <f t="shared" si="39"/>
        <v>BCBS PAYABLE</v>
      </c>
    </row>
    <row r="2491" spans="5:8" x14ac:dyDescent="0.25">
      <c r="E2491" t="str">
        <f>""</f>
        <v/>
      </c>
      <c r="F2491" t="str">
        <f>""</f>
        <v/>
      </c>
      <c r="H2491" t="str">
        <f t="shared" si="39"/>
        <v>BCBS PAYABLE</v>
      </c>
    </row>
    <row r="2492" spans="5:8" x14ac:dyDescent="0.25">
      <c r="E2492" t="str">
        <f>""</f>
        <v/>
      </c>
      <c r="F2492" t="str">
        <f>""</f>
        <v/>
      </c>
      <c r="H2492" t="str">
        <f t="shared" si="39"/>
        <v>BCBS PAYABLE</v>
      </c>
    </row>
    <row r="2493" spans="5:8" x14ac:dyDescent="0.25">
      <c r="E2493" t="str">
        <f>""</f>
        <v/>
      </c>
      <c r="F2493" t="str">
        <f>""</f>
        <v/>
      </c>
      <c r="H2493" t="str">
        <f t="shared" si="39"/>
        <v>BCBS PAYABLE</v>
      </c>
    </row>
    <row r="2494" spans="5:8" x14ac:dyDescent="0.25">
      <c r="E2494" t="str">
        <f>""</f>
        <v/>
      </c>
      <c r="F2494" t="str">
        <f>""</f>
        <v/>
      </c>
      <c r="H2494" t="str">
        <f t="shared" si="39"/>
        <v>BCBS PAYABLE</v>
      </c>
    </row>
    <row r="2495" spans="5:8" x14ac:dyDescent="0.25">
      <c r="E2495" t="str">
        <f>""</f>
        <v/>
      </c>
      <c r="F2495" t="str">
        <f>""</f>
        <v/>
      </c>
      <c r="H2495" t="str">
        <f t="shared" si="39"/>
        <v>BCBS PAYABLE</v>
      </c>
    </row>
    <row r="2496" spans="5:8" x14ac:dyDescent="0.25">
      <c r="E2496" t="str">
        <f>""</f>
        <v/>
      </c>
      <c r="F2496" t="str">
        <f>""</f>
        <v/>
      </c>
      <c r="H2496" t="str">
        <f t="shared" si="39"/>
        <v>BCBS PAYABLE</v>
      </c>
    </row>
    <row r="2497" spans="5:8" x14ac:dyDescent="0.25">
      <c r="E2497" t="str">
        <f>""</f>
        <v/>
      </c>
      <c r="F2497" t="str">
        <f>""</f>
        <v/>
      </c>
      <c r="H2497" t="str">
        <f t="shared" si="39"/>
        <v>BCBS PAYABLE</v>
      </c>
    </row>
    <row r="2498" spans="5:8" x14ac:dyDescent="0.25">
      <c r="E2498" t="str">
        <f>""</f>
        <v/>
      </c>
      <c r="F2498" t="str">
        <f>""</f>
        <v/>
      </c>
      <c r="H2498" t="str">
        <f t="shared" si="39"/>
        <v>BCBS PAYABLE</v>
      </c>
    </row>
    <row r="2499" spans="5:8" x14ac:dyDescent="0.25">
      <c r="E2499" t="str">
        <f>""</f>
        <v/>
      </c>
      <c r="F2499" t="str">
        <f>""</f>
        <v/>
      </c>
      <c r="H2499" t="str">
        <f t="shared" si="39"/>
        <v>BCBS PAYABLE</v>
      </c>
    </row>
    <row r="2500" spans="5:8" x14ac:dyDescent="0.25">
      <c r="E2500" t="str">
        <f>"2EC201810034226"</f>
        <v>2EC201810034226</v>
      </c>
      <c r="F2500" t="str">
        <f>"BCBS PAYABLE"</f>
        <v>BCBS PAYABLE</v>
      </c>
      <c r="G2500" s="3">
        <v>1737.8</v>
      </c>
      <c r="H2500" t="str">
        <f t="shared" si="39"/>
        <v>BCBS PAYABLE</v>
      </c>
    </row>
    <row r="2501" spans="5:8" x14ac:dyDescent="0.25">
      <c r="E2501" t="str">
        <f>""</f>
        <v/>
      </c>
      <c r="F2501" t="str">
        <f>""</f>
        <v/>
      </c>
      <c r="H2501" t="str">
        <f t="shared" si="39"/>
        <v>BCBS PAYABLE</v>
      </c>
    </row>
    <row r="2502" spans="5:8" x14ac:dyDescent="0.25">
      <c r="E2502" t="str">
        <f>"2EC201810174606"</f>
        <v>2EC201810174606</v>
      </c>
      <c r="F2502" t="str">
        <f>"BCBS PAYABLE"</f>
        <v>BCBS PAYABLE</v>
      </c>
      <c r="G2502" s="3">
        <v>44748.35</v>
      </c>
      <c r="H2502" t="str">
        <f t="shared" si="39"/>
        <v>BCBS PAYABLE</v>
      </c>
    </row>
    <row r="2503" spans="5:8" x14ac:dyDescent="0.25">
      <c r="E2503" t="str">
        <f>""</f>
        <v/>
      </c>
      <c r="F2503" t="str">
        <f>""</f>
        <v/>
      </c>
      <c r="H2503" t="str">
        <f t="shared" si="39"/>
        <v>BCBS PAYABLE</v>
      </c>
    </row>
    <row r="2504" spans="5:8" x14ac:dyDescent="0.25">
      <c r="E2504" t="str">
        <f>""</f>
        <v/>
      </c>
      <c r="F2504" t="str">
        <f>""</f>
        <v/>
      </c>
      <c r="H2504" t="str">
        <f t="shared" si="39"/>
        <v>BCBS PAYABLE</v>
      </c>
    </row>
    <row r="2505" spans="5:8" x14ac:dyDescent="0.25">
      <c r="E2505" t="str">
        <f>""</f>
        <v/>
      </c>
      <c r="F2505" t="str">
        <f>""</f>
        <v/>
      </c>
      <c r="H2505" t="str">
        <f t="shared" si="39"/>
        <v>BCBS PAYABLE</v>
      </c>
    </row>
    <row r="2506" spans="5:8" x14ac:dyDescent="0.25">
      <c r="E2506" t="str">
        <f>""</f>
        <v/>
      </c>
      <c r="F2506" t="str">
        <f>""</f>
        <v/>
      </c>
      <c r="H2506" t="str">
        <f t="shared" si="39"/>
        <v>BCBS PAYABLE</v>
      </c>
    </row>
    <row r="2507" spans="5:8" x14ac:dyDescent="0.25">
      <c r="E2507" t="str">
        <f>""</f>
        <v/>
      </c>
      <c r="F2507" t="str">
        <f>""</f>
        <v/>
      </c>
      <c r="H2507" t="str">
        <f t="shared" si="39"/>
        <v>BCBS PAYABLE</v>
      </c>
    </row>
    <row r="2508" spans="5:8" x14ac:dyDescent="0.25">
      <c r="E2508" t="str">
        <f>""</f>
        <v/>
      </c>
      <c r="F2508" t="str">
        <f>""</f>
        <v/>
      </c>
      <c r="H2508" t="str">
        <f t="shared" si="39"/>
        <v>BCBS PAYABLE</v>
      </c>
    </row>
    <row r="2509" spans="5:8" x14ac:dyDescent="0.25">
      <c r="E2509" t="str">
        <f>""</f>
        <v/>
      </c>
      <c r="F2509" t="str">
        <f>""</f>
        <v/>
      </c>
      <c r="H2509" t="str">
        <f t="shared" si="39"/>
        <v>BCBS PAYABLE</v>
      </c>
    </row>
    <row r="2510" spans="5:8" x14ac:dyDescent="0.25">
      <c r="E2510" t="str">
        <f>""</f>
        <v/>
      </c>
      <c r="F2510" t="str">
        <f>""</f>
        <v/>
      </c>
      <c r="H2510" t="str">
        <f t="shared" si="39"/>
        <v>BCBS PAYABLE</v>
      </c>
    </row>
    <row r="2511" spans="5:8" x14ac:dyDescent="0.25">
      <c r="E2511" t="str">
        <f>""</f>
        <v/>
      </c>
      <c r="F2511" t="str">
        <f>""</f>
        <v/>
      </c>
      <c r="H2511" t="str">
        <f t="shared" si="39"/>
        <v>BCBS PAYABLE</v>
      </c>
    </row>
    <row r="2512" spans="5:8" x14ac:dyDescent="0.25">
      <c r="E2512" t="str">
        <f>""</f>
        <v/>
      </c>
      <c r="F2512" t="str">
        <f>""</f>
        <v/>
      </c>
      <c r="H2512" t="str">
        <f t="shared" si="39"/>
        <v>BCBS PAYABLE</v>
      </c>
    </row>
    <row r="2513" spans="5:8" x14ac:dyDescent="0.25">
      <c r="E2513" t="str">
        <f>""</f>
        <v/>
      </c>
      <c r="F2513" t="str">
        <f>""</f>
        <v/>
      </c>
      <c r="H2513" t="str">
        <f t="shared" si="39"/>
        <v>BCBS PAYABLE</v>
      </c>
    </row>
    <row r="2514" spans="5:8" x14ac:dyDescent="0.25">
      <c r="E2514" t="str">
        <f>""</f>
        <v/>
      </c>
      <c r="F2514" t="str">
        <f>""</f>
        <v/>
      </c>
      <c r="H2514" t="str">
        <f t="shared" si="39"/>
        <v>BCBS PAYABLE</v>
      </c>
    </row>
    <row r="2515" spans="5:8" x14ac:dyDescent="0.25">
      <c r="E2515" t="str">
        <f>""</f>
        <v/>
      </c>
      <c r="F2515" t="str">
        <f>""</f>
        <v/>
      </c>
      <c r="H2515" t="str">
        <f t="shared" si="39"/>
        <v>BCBS PAYABLE</v>
      </c>
    </row>
    <row r="2516" spans="5:8" x14ac:dyDescent="0.25">
      <c r="E2516" t="str">
        <f>""</f>
        <v/>
      </c>
      <c r="F2516" t="str">
        <f>""</f>
        <v/>
      </c>
      <c r="H2516" t="str">
        <f t="shared" si="39"/>
        <v>BCBS PAYABLE</v>
      </c>
    </row>
    <row r="2517" spans="5:8" x14ac:dyDescent="0.25">
      <c r="E2517" t="str">
        <f>""</f>
        <v/>
      </c>
      <c r="F2517" t="str">
        <f>""</f>
        <v/>
      </c>
      <c r="H2517" t="str">
        <f t="shared" si="39"/>
        <v>BCBS PAYABLE</v>
      </c>
    </row>
    <row r="2518" spans="5:8" x14ac:dyDescent="0.25">
      <c r="E2518" t="str">
        <f>""</f>
        <v/>
      </c>
      <c r="F2518" t="str">
        <f>""</f>
        <v/>
      </c>
      <c r="H2518" t="str">
        <f t="shared" si="39"/>
        <v>BCBS PAYABLE</v>
      </c>
    </row>
    <row r="2519" spans="5:8" x14ac:dyDescent="0.25">
      <c r="E2519" t="str">
        <f>""</f>
        <v/>
      </c>
      <c r="F2519" t="str">
        <f>""</f>
        <v/>
      </c>
      <c r="H2519" t="str">
        <f t="shared" si="39"/>
        <v>BCBS PAYABLE</v>
      </c>
    </row>
    <row r="2520" spans="5:8" x14ac:dyDescent="0.25">
      <c r="E2520" t="str">
        <f>""</f>
        <v/>
      </c>
      <c r="F2520" t="str">
        <f>""</f>
        <v/>
      </c>
      <c r="H2520" t="str">
        <f t="shared" si="39"/>
        <v>BCBS PAYABLE</v>
      </c>
    </row>
    <row r="2521" spans="5:8" x14ac:dyDescent="0.25">
      <c r="E2521" t="str">
        <f>""</f>
        <v/>
      </c>
      <c r="F2521" t="str">
        <f>""</f>
        <v/>
      </c>
      <c r="H2521" t="str">
        <f t="shared" si="39"/>
        <v>BCBS PAYABLE</v>
      </c>
    </row>
    <row r="2522" spans="5:8" x14ac:dyDescent="0.25">
      <c r="E2522" t="str">
        <f>""</f>
        <v/>
      </c>
      <c r="F2522" t="str">
        <f>""</f>
        <v/>
      </c>
      <c r="H2522" t="str">
        <f t="shared" si="39"/>
        <v>BCBS PAYABLE</v>
      </c>
    </row>
    <row r="2523" spans="5:8" x14ac:dyDescent="0.25">
      <c r="E2523" t="str">
        <f>""</f>
        <v/>
      </c>
      <c r="F2523" t="str">
        <f>""</f>
        <v/>
      </c>
      <c r="H2523" t="str">
        <f t="shared" si="39"/>
        <v>BCBS PAYABLE</v>
      </c>
    </row>
    <row r="2524" spans="5:8" x14ac:dyDescent="0.25">
      <c r="E2524" t="str">
        <f>""</f>
        <v/>
      </c>
      <c r="F2524" t="str">
        <f>""</f>
        <v/>
      </c>
      <c r="H2524" t="str">
        <f t="shared" si="39"/>
        <v>BCBS PAYABLE</v>
      </c>
    </row>
    <row r="2525" spans="5:8" x14ac:dyDescent="0.25">
      <c r="E2525" t="str">
        <f>""</f>
        <v/>
      </c>
      <c r="F2525" t="str">
        <f>""</f>
        <v/>
      </c>
      <c r="H2525" t="str">
        <f t="shared" si="39"/>
        <v>BCBS PAYABLE</v>
      </c>
    </row>
    <row r="2526" spans="5:8" x14ac:dyDescent="0.25">
      <c r="E2526" t="str">
        <f>""</f>
        <v/>
      </c>
      <c r="F2526" t="str">
        <f>""</f>
        <v/>
      </c>
      <c r="H2526" t="str">
        <f t="shared" si="39"/>
        <v>BCBS PAYABLE</v>
      </c>
    </row>
    <row r="2527" spans="5:8" x14ac:dyDescent="0.25">
      <c r="E2527" t="str">
        <f>""</f>
        <v/>
      </c>
      <c r="F2527" t="str">
        <f>""</f>
        <v/>
      </c>
      <c r="H2527" t="str">
        <f t="shared" si="39"/>
        <v>BCBS PAYABLE</v>
      </c>
    </row>
    <row r="2528" spans="5:8" x14ac:dyDescent="0.25">
      <c r="E2528" t="str">
        <f>""</f>
        <v/>
      </c>
      <c r="F2528" t="str">
        <f>""</f>
        <v/>
      </c>
      <c r="H2528" t="str">
        <f t="shared" si="39"/>
        <v>BCBS PAYABLE</v>
      </c>
    </row>
    <row r="2529" spans="5:8" x14ac:dyDescent="0.25">
      <c r="E2529" t="str">
        <f>""</f>
        <v/>
      </c>
      <c r="F2529" t="str">
        <f>""</f>
        <v/>
      </c>
      <c r="H2529" t="str">
        <f t="shared" si="39"/>
        <v>BCBS PAYABLE</v>
      </c>
    </row>
    <row r="2530" spans="5:8" x14ac:dyDescent="0.25">
      <c r="E2530" t="str">
        <f>""</f>
        <v/>
      </c>
      <c r="F2530" t="str">
        <f>""</f>
        <v/>
      </c>
      <c r="H2530" t="str">
        <f t="shared" ref="H2530:H2593" si="40">"BCBS PAYABLE"</f>
        <v>BCBS PAYABLE</v>
      </c>
    </row>
    <row r="2531" spans="5:8" x14ac:dyDescent="0.25">
      <c r="E2531" t="str">
        <f>""</f>
        <v/>
      </c>
      <c r="F2531" t="str">
        <f>""</f>
        <v/>
      </c>
      <c r="H2531" t="str">
        <f t="shared" si="40"/>
        <v>BCBS PAYABLE</v>
      </c>
    </row>
    <row r="2532" spans="5:8" x14ac:dyDescent="0.25">
      <c r="E2532" t="str">
        <f>""</f>
        <v/>
      </c>
      <c r="F2532" t="str">
        <f>""</f>
        <v/>
      </c>
      <c r="H2532" t="str">
        <f t="shared" si="40"/>
        <v>BCBS PAYABLE</v>
      </c>
    </row>
    <row r="2533" spans="5:8" x14ac:dyDescent="0.25">
      <c r="E2533" t="str">
        <f>""</f>
        <v/>
      </c>
      <c r="F2533" t="str">
        <f>""</f>
        <v/>
      </c>
      <c r="H2533" t="str">
        <f t="shared" si="40"/>
        <v>BCBS PAYABLE</v>
      </c>
    </row>
    <row r="2534" spans="5:8" x14ac:dyDescent="0.25">
      <c r="E2534" t="str">
        <f>""</f>
        <v/>
      </c>
      <c r="F2534" t="str">
        <f>""</f>
        <v/>
      </c>
      <c r="H2534" t="str">
        <f t="shared" si="40"/>
        <v>BCBS PAYABLE</v>
      </c>
    </row>
    <row r="2535" spans="5:8" x14ac:dyDescent="0.25">
      <c r="E2535" t="str">
        <f>"2EC201810174607"</f>
        <v>2EC201810174607</v>
      </c>
      <c r="F2535" t="str">
        <f>"BCBS PAYABLE"</f>
        <v>BCBS PAYABLE</v>
      </c>
      <c r="G2535" s="3">
        <v>1737.8</v>
      </c>
      <c r="H2535" t="str">
        <f t="shared" si="40"/>
        <v>BCBS PAYABLE</v>
      </c>
    </row>
    <row r="2536" spans="5:8" x14ac:dyDescent="0.25">
      <c r="E2536" t="str">
        <f>""</f>
        <v/>
      </c>
      <c r="F2536" t="str">
        <f>""</f>
        <v/>
      </c>
      <c r="H2536" t="str">
        <f t="shared" si="40"/>
        <v>BCBS PAYABLE</v>
      </c>
    </row>
    <row r="2537" spans="5:8" x14ac:dyDescent="0.25">
      <c r="E2537" t="str">
        <f>"2EF201810034225"</f>
        <v>2EF201810034225</v>
      </c>
      <c r="F2537" t="str">
        <f>"BCBS PAYABLE"</f>
        <v>BCBS PAYABLE</v>
      </c>
      <c r="G2537" s="3">
        <v>1726.66</v>
      </c>
      <c r="H2537" t="str">
        <f t="shared" si="40"/>
        <v>BCBS PAYABLE</v>
      </c>
    </row>
    <row r="2538" spans="5:8" x14ac:dyDescent="0.25">
      <c r="E2538" t="str">
        <f>""</f>
        <v/>
      </c>
      <c r="F2538" t="str">
        <f>""</f>
        <v/>
      </c>
      <c r="H2538" t="str">
        <f t="shared" si="40"/>
        <v>BCBS PAYABLE</v>
      </c>
    </row>
    <row r="2539" spans="5:8" x14ac:dyDescent="0.25">
      <c r="E2539" t="str">
        <f>""</f>
        <v/>
      </c>
      <c r="F2539" t="str">
        <f>""</f>
        <v/>
      </c>
      <c r="H2539" t="str">
        <f t="shared" si="40"/>
        <v>BCBS PAYABLE</v>
      </c>
    </row>
    <row r="2540" spans="5:8" x14ac:dyDescent="0.25">
      <c r="E2540" t="str">
        <f>"2EF201810174606"</f>
        <v>2EF201810174606</v>
      </c>
      <c r="F2540" t="str">
        <f>"BCBS PAYABLE"</f>
        <v>BCBS PAYABLE</v>
      </c>
      <c r="G2540" s="3">
        <v>1726.66</v>
      </c>
      <c r="H2540" t="str">
        <f t="shared" si="40"/>
        <v>BCBS PAYABLE</v>
      </c>
    </row>
    <row r="2541" spans="5:8" x14ac:dyDescent="0.25">
      <c r="E2541" t="str">
        <f>""</f>
        <v/>
      </c>
      <c r="F2541" t="str">
        <f>""</f>
        <v/>
      </c>
      <c r="H2541" t="str">
        <f t="shared" si="40"/>
        <v>BCBS PAYABLE</v>
      </c>
    </row>
    <row r="2542" spans="5:8" x14ac:dyDescent="0.25">
      <c r="E2542" t="str">
        <f>""</f>
        <v/>
      </c>
      <c r="F2542" t="str">
        <f>""</f>
        <v/>
      </c>
      <c r="H2542" t="str">
        <f t="shared" si="40"/>
        <v>BCBS PAYABLE</v>
      </c>
    </row>
    <row r="2543" spans="5:8" x14ac:dyDescent="0.25">
      <c r="E2543" t="str">
        <f>"2EO201810034225"</f>
        <v>2EO201810034225</v>
      </c>
      <c r="F2543" t="str">
        <f>"BCBS PAYABLE"</f>
        <v>BCBS PAYABLE</v>
      </c>
      <c r="G2543" s="3">
        <v>88818.48</v>
      </c>
      <c r="H2543" t="str">
        <f t="shared" si="40"/>
        <v>BCBS PAYABLE</v>
      </c>
    </row>
    <row r="2544" spans="5:8" x14ac:dyDescent="0.25">
      <c r="E2544" t="str">
        <f>""</f>
        <v/>
      </c>
      <c r="F2544" t="str">
        <f>""</f>
        <v/>
      </c>
      <c r="H2544" t="str">
        <f t="shared" si="40"/>
        <v>BCBS PAYABLE</v>
      </c>
    </row>
    <row r="2545" spans="5:8" x14ac:dyDescent="0.25">
      <c r="E2545" t="str">
        <f>""</f>
        <v/>
      </c>
      <c r="F2545" t="str">
        <f>""</f>
        <v/>
      </c>
      <c r="H2545" t="str">
        <f t="shared" si="40"/>
        <v>BCBS PAYABLE</v>
      </c>
    </row>
    <row r="2546" spans="5:8" x14ac:dyDescent="0.25">
      <c r="E2546" t="str">
        <f>""</f>
        <v/>
      </c>
      <c r="F2546" t="str">
        <f>""</f>
        <v/>
      </c>
      <c r="H2546" t="str">
        <f t="shared" si="40"/>
        <v>BCBS PAYABLE</v>
      </c>
    </row>
    <row r="2547" spans="5:8" x14ac:dyDescent="0.25">
      <c r="E2547" t="str">
        <f>""</f>
        <v/>
      </c>
      <c r="F2547" t="str">
        <f>""</f>
        <v/>
      </c>
      <c r="H2547" t="str">
        <f t="shared" si="40"/>
        <v>BCBS PAYABLE</v>
      </c>
    </row>
    <row r="2548" spans="5:8" x14ac:dyDescent="0.25">
      <c r="E2548" t="str">
        <f>""</f>
        <v/>
      </c>
      <c r="F2548" t="str">
        <f>""</f>
        <v/>
      </c>
      <c r="H2548" t="str">
        <f t="shared" si="40"/>
        <v>BCBS PAYABLE</v>
      </c>
    </row>
    <row r="2549" spans="5:8" x14ac:dyDescent="0.25">
      <c r="E2549" t="str">
        <f>""</f>
        <v/>
      </c>
      <c r="F2549" t="str">
        <f>""</f>
        <v/>
      </c>
      <c r="H2549" t="str">
        <f t="shared" si="40"/>
        <v>BCBS PAYABLE</v>
      </c>
    </row>
    <row r="2550" spans="5:8" x14ac:dyDescent="0.25">
      <c r="E2550" t="str">
        <f>""</f>
        <v/>
      </c>
      <c r="F2550" t="str">
        <f>""</f>
        <v/>
      </c>
      <c r="H2550" t="str">
        <f t="shared" si="40"/>
        <v>BCBS PAYABLE</v>
      </c>
    </row>
    <row r="2551" spans="5:8" x14ac:dyDescent="0.25">
      <c r="E2551" t="str">
        <f>""</f>
        <v/>
      </c>
      <c r="F2551" t="str">
        <f>""</f>
        <v/>
      </c>
      <c r="H2551" t="str">
        <f t="shared" si="40"/>
        <v>BCBS PAYABLE</v>
      </c>
    </row>
    <row r="2552" spans="5:8" x14ac:dyDescent="0.25">
      <c r="E2552" t="str">
        <f>""</f>
        <v/>
      </c>
      <c r="F2552" t="str">
        <f>""</f>
        <v/>
      </c>
      <c r="H2552" t="str">
        <f t="shared" si="40"/>
        <v>BCBS PAYABLE</v>
      </c>
    </row>
    <row r="2553" spans="5:8" x14ac:dyDescent="0.25">
      <c r="E2553" t="str">
        <f>""</f>
        <v/>
      </c>
      <c r="F2553" t="str">
        <f>""</f>
        <v/>
      </c>
      <c r="H2553" t="str">
        <f t="shared" si="40"/>
        <v>BCBS PAYABLE</v>
      </c>
    </row>
    <row r="2554" spans="5:8" x14ac:dyDescent="0.25">
      <c r="E2554" t="str">
        <f>""</f>
        <v/>
      </c>
      <c r="F2554" t="str">
        <f>""</f>
        <v/>
      </c>
      <c r="H2554" t="str">
        <f t="shared" si="40"/>
        <v>BCBS PAYABLE</v>
      </c>
    </row>
    <row r="2555" spans="5:8" x14ac:dyDescent="0.25">
      <c r="E2555" t="str">
        <f>""</f>
        <v/>
      </c>
      <c r="F2555" t="str">
        <f>""</f>
        <v/>
      </c>
      <c r="H2555" t="str">
        <f t="shared" si="40"/>
        <v>BCBS PAYABLE</v>
      </c>
    </row>
    <row r="2556" spans="5:8" x14ac:dyDescent="0.25">
      <c r="E2556" t="str">
        <f>""</f>
        <v/>
      </c>
      <c r="F2556" t="str">
        <f>""</f>
        <v/>
      </c>
      <c r="H2556" t="str">
        <f t="shared" si="40"/>
        <v>BCBS PAYABLE</v>
      </c>
    </row>
    <row r="2557" spans="5:8" x14ac:dyDescent="0.25">
      <c r="E2557" t="str">
        <f>""</f>
        <v/>
      </c>
      <c r="F2557" t="str">
        <f>""</f>
        <v/>
      </c>
      <c r="H2557" t="str">
        <f t="shared" si="40"/>
        <v>BCBS PAYABLE</v>
      </c>
    </row>
    <row r="2558" spans="5:8" x14ac:dyDescent="0.25">
      <c r="E2558" t="str">
        <f>""</f>
        <v/>
      </c>
      <c r="F2558" t="str">
        <f>""</f>
        <v/>
      </c>
      <c r="H2558" t="str">
        <f t="shared" si="40"/>
        <v>BCBS PAYABLE</v>
      </c>
    </row>
    <row r="2559" spans="5:8" x14ac:dyDescent="0.25">
      <c r="E2559" t="str">
        <f>""</f>
        <v/>
      </c>
      <c r="F2559" t="str">
        <f>""</f>
        <v/>
      </c>
      <c r="H2559" t="str">
        <f t="shared" si="40"/>
        <v>BCBS PAYABLE</v>
      </c>
    </row>
    <row r="2560" spans="5:8" x14ac:dyDescent="0.25">
      <c r="E2560" t="str">
        <f>""</f>
        <v/>
      </c>
      <c r="F2560" t="str">
        <f>""</f>
        <v/>
      </c>
      <c r="H2560" t="str">
        <f t="shared" si="40"/>
        <v>BCBS PAYABLE</v>
      </c>
    </row>
    <row r="2561" spans="5:8" x14ac:dyDescent="0.25">
      <c r="E2561" t="str">
        <f>""</f>
        <v/>
      </c>
      <c r="F2561" t="str">
        <f>""</f>
        <v/>
      </c>
      <c r="H2561" t="str">
        <f t="shared" si="40"/>
        <v>BCBS PAYABLE</v>
      </c>
    </row>
    <row r="2562" spans="5:8" x14ac:dyDescent="0.25">
      <c r="E2562" t="str">
        <f>""</f>
        <v/>
      </c>
      <c r="F2562" t="str">
        <f>""</f>
        <v/>
      </c>
      <c r="H2562" t="str">
        <f t="shared" si="40"/>
        <v>BCBS PAYABLE</v>
      </c>
    </row>
    <row r="2563" spans="5:8" x14ac:dyDescent="0.25">
      <c r="E2563" t="str">
        <f>""</f>
        <v/>
      </c>
      <c r="F2563" t="str">
        <f>""</f>
        <v/>
      </c>
      <c r="H2563" t="str">
        <f t="shared" si="40"/>
        <v>BCBS PAYABLE</v>
      </c>
    </row>
    <row r="2564" spans="5:8" x14ac:dyDescent="0.25">
      <c r="E2564" t="str">
        <f>""</f>
        <v/>
      </c>
      <c r="F2564" t="str">
        <f>""</f>
        <v/>
      </c>
      <c r="H2564" t="str">
        <f t="shared" si="40"/>
        <v>BCBS PAYABLE</v>
      </c>
    </row>
    <row r="2565" spans="5:8" x14ac:dyDescent="0.25">
      <c r="E2565" t="str">
        <f>""</f>
        <v/>
      </c>
      <c r="F2565" t="str">
        <f>""</f>
        <v/>
      </c>
      <c r="H2565" t="str">
        <f t="shared" si="40"/>
        <v>BCBS PAYABLE</v>
      </c>
    </row>
    <row r="2566" spans="5:8" x14ac:dyDescent="0.25">
      <c r="E2566" t="str">
        <f>""</f>
        <v/>
      </c>
      <c r="F2566" t="str">
        <f>""</f>
        <v/>
      </c>
      <c r="H2566" t="str">
        <f t="shared" si="40"/>
        <v>BCBS PAYABLE</v>
      </c>
    </row>
    <row r="2567" spans="5:8" x14ac:dyDescent="0.25">
      <c r="E2567" t="str">
        <f>""</f>
        <v/>
      </c>
      <c r="F2567" t="str">
        <f>""</f>
        <v/>
      </c>
      <c r="H2567" t="str">
        <f t="shared" si="40"/>
        <v>BCBS PAYABLE</v>
      </c>
    </row>
    <row r="2568" spans="5:8" x14ac:dyDescent="0.25">
      <c r="E2568" t="str">
        <f>""</f>
        <v/>
      </c>
      <c r="F2568" t="str">
        <f>""</f>
        <v/>
      </c>
      <c r="H2568" t="str">
        <f t="shared" si="40"/>
        <v>BCBS PAYABLE</v>
      </c>
    </row>
    <row r="2569" spans="5:8" x14ac:dyDescent="0.25">
      <c r="E2569" t="str">
        <f>""</f>
        <v/>
      </c>
      <c r="F2569" t="str">
        <f>""</f>
        <v/>
      </c>
      <c r="H2569" t="str">
        <f t="shared" si="40"/>
        <v>BCBS PAYABLE</v>
      </c>
    </row>
    <row r="2570" spans="5:8" x14ac:dyDescent="0.25">
      <c r="E2570" t="str">
        <f>""</f>
        <v/>
      </c>
      <c r="F2570" t="str">
        <f>""</f>
        <v/>
      </c>
      <c r="H2570" t="str">
        <f t="shared" si="40"/>
        <v>BCBS PAYABLE</v>
      </c>
    </row>
    <row r="2571" spans="5:8" x14ac:dyDescent="0.25">
      <c r="E2571" t="str">
        <f>""</f>
        <v/>
      </c>
      <c r="F2571" t="str">
        <f>""</f>
        <v/>
      </c>
      <c r="H2571" t="str">
        <f t="shared" si="40"/>
        <v>BCBS PAYABLE</v>
      </c>
    </row>
    <row r="2572" spans="5:8" x14ac:dyDescent="0.25">
      <c r="E2572" t="str">
        <f>""</f>
        <v/>
      </c>
      <c r="F2572" t="str">
        <f>""</f>
        <v/>
      </c>
      <c r="H2572" t="str">
        <f t="shared" si="40"/>
        <v>BCBS PAYABLE</v>
      </c>
    </row>
    <row r="2573" spans="5:8" x14ac:dyDescent="0.25">
      <c r="E2573" t="str">
        <f>""</f>
        <v/>
      </c>
      <c r="F2573" t="str">
        <f>""</f>
        <v/>
      </c>
      <c r="H2573" t="str">
        <f t="shared" si="40"/>
        <v>BCBS PAYABLE</v>
      </c>
    </row>
    <row r="2574" spans="5:8" x14ac:dyDescent="0.25">
      <c r="E2574" t="str">
        <f>""</f>
        <v/>
      </c>
      <c r="F2574" t="str">
        <f>""</f>
        <v/>
      </c>
      <c r="H2574" t="str">
        <f t="shared" si="40"/>
        <v>BCBS PAYABLE</v>
      </c>
    </row>
    <row r="2575" spans="5:8" x14ac:dyDescent="0.25">
      <c r="E2575" t="str">
        <f>""</f>
        <v/>
      </c>
      <c r="F2575" t="str">
        <f>""</f>
        <v/>
      </c>
      <c r="H2575" t="str">
        <f t="shared" si="40"/>
        <v>BCBS PAYABLE</v>
      </c>
    </row>
    <row r="2576" spans="5:8" x14ac:dyDescent="0.25">
      <c r="E2576" t="str">
        <f>""</f>
        <v/>
      </c>
      <c r="F2576" t="str">
        <f>""</f>
        <v/>
      </c>
      <c r="H2576" t="str">
        <f t="shared" si="40"/>
        <v>BCBS PAYABLE</v>
      </c>
    </row>
    <row r="2577" spans="5:8" x14ac:dyDescent="0.25">
      <c r="E2577" t="str">
        <f>""</f>
        <v/>
      </c>
      <c r="F2577" t="str">
        <f>""</f>
        <v/>
      </c>
      <c r="H2577" t="str">
        <f t="shared" si="40"/>
        <v>BCBS PAYABLE</v>
      </c>
    </row>
    <row r="2578" spans="5:8" x14ac:dyDescent="0.25">
      <c r="E2578" t="str">
        <f>""</f>
        <v/>
      </c>
      <c r="F2578" t="str">
        <f>""</f>
        <v/>
      </c>
      <c r="H2578" t="str">
        <f t="shared" si="40"/>
        <v>BCBS PAYABLE</v>
      </c>
    </row>
    <row r="2579" spans="5:8" x14ac:dyDescent="0.25">
      <c r="E2579" t="str">
        <f>""</f>
        <v/>
      </c>
      <c r="F2579" t="str">
        <f>""</f>
        <v/>
      </c>
      <c r="H2579" t="str">
        <f t="shared" si="40"/>
        <v>BCBS PAYABLE</v>
      </c>
    </row>
    <row r="2580" spans="5:8" x14ac:dyDescent="0.25">
      <c r="E2580" t="str">
        <f>""</f>
        <v/>
      </c>
      <c r="F2580" t="str">
        <f>""</f>
        <v/>
      </c>
      <c r="H2580" t="str">
        <f t="shared" si="40"/>
        <v>BCBS PAYABLE</v>
      </c>
    </row>
    <row r="2581" spans="5:8" x14ac:dyDescent="0.25">
      <c r="E2581" t="str">
        <f>""</f>
        <v/>
      </c>
      <c r="F2581" t="str">
        <f>""</f>
        <v/>
      </c>
      <c r="H2581" t="str">
        <f t="shared" si="40"/>
        <v>BCBS PAYABLE</v>
      </c>
    </row>
    <row r="2582" spans="5:8" x14ac:dyDescent="0.25">
      <c r="E2582" t="str">
        <f>""</f>
        <v/>
      </c>
      <c r="F2582" t="str">
        <f>""</f>
        <v/>
      </c>
      <c r="H2582" t="str">
        <f t="shared" si="40"/>
        <v>BCBS PAYABLE</v>
      </c>
    </row>
    <row r="2583" spans="5:8" x14ac:dyDescent="0.25">
      <c r="E2583" t="str">
        <f>""</f>
        <v/>
      </c>
      <c r="F2583" t="str">
        <f>""</f>
        <v/>
      </c>
      <c r="H2583" t="str">
        <f t="shared" si="40"/>
        <v>BCBS PAYABLE</v>
      </c>
    </row>
    <row r="2584" spans="5:8" x14ac:dyDescent="0.25">
      <c r="E2584" t="str">
        <f>""</f>
        <v/>
      </c>
      <c r="F2584" t="str">
        <f>""</f>
        <v/>
      </c>
      <c r="H2584" t="str">
        <f t="shared" si="40"/>
        <v>BCBS PAYABLE</v>
      </c>
    </row>
    <row r="2585" spans="5:8" x14ac:dyDescent="0.25">
      <c r="E2585" t="str">
        <f>""</f>
        <v/>
      </c>
      <c r="F2585" t="str">
        <f>""</f>
        <v/>
      </c>
      <c r="H2585" t="str">
        <f t="shared" si="40"/>
        <v>BCBS PAYABLE</v>
      </c>
    </row>
    <row r="2586" spans="5:8" x14ac:dyDescent="0.25">
      <c r="E2586" t="str">
        <f>""</f>
        <v/>
      </c>
      <c r="F2586" t="str">
        <f>""</f>
        <v/>
      </c>
      <c r="H2586" t="str">
        <f t="shared" si="40"/>
        <v>BCBS PAYABLE</v>
      </c>
    </row>
    <row r="2587" spans="5:8" x14ac:dyDescent="0.25">
      <c r="E2587" t="str">
        <f>"2EO201810034226"</f>
        <v>2EO201810034226</v>
      </c>
      <c r="F2587" t="str">
        <f>"BCBS PAYABLE"</f>
        <v>BCBS PAYABLE</v>
      </c>
      <c r="G2587" s="3">
        <v>3476.88</v>
      </c>
      <c r="H2587" t="str">
        <f t="shared" si="40"/>
        <v>BCBS PAYABLE</v>
      </c>
    </row>
    <row r="2588" spans="5:8" x14ac:dyDescent="0.25">
      <c r="E2588" t="str">
        <f>"2EO201810174606"</f>
        <v>2EO201810174606</v>
      </c>
      <c r="F2588" t="str">
        <f>"BCBS PAYABLE"</f>
        <v>BCBS PAYABLE</v>
      </c>
      <c r="G2588" s="3">
        <v>90082.8</v>
      </c>
      <c r="H2588" t="str">
        <f t="shared" si="40"/>
        <v>BCBS PAYABLE</v>
      </c>
    </row>
    <row r="2589" spans="5:8" x14ac:dyDescent="0.25">
      <c r="E2589" t="str">
        <f>""</f>
        <v/>
      </c>
      <c r="F2589" t="str">
        <f>""</f>
        <v/>
      </c>
      <c r="H2589" t="str">
        <f t="shared" si="40"/>
        <v>BCBS PAYABLE</v>
      </c>
    </row>
    <row r="2590" spans="5:8" x14ac:dyDescent="0.25">
      <c r="E2590" t="str">
        <f>""</f>
        <v/>
      </c>
      <c r="F2590" t="str">
        <f>""</f>
        <v/>
      </c>
      <c r="H2590" t="str">
        <f t="shared" si="40"/>
        <v>BCBS PAYABLE</v>
      </c>
    </row>
    <row r="2591" spans="5:8" x14ac:dyDescent="0.25">
      <c r="E2591" t="str">
        <f>""</f>
        <v/>
      </c>
      <c r="F2591" t="str">
        <f>""</f>
        <v/>
      </c>
      <c r="H2591" t="str">
        <f t="shared" si="40"/>
        <v>BCBS PAYABLE</v>
      </c>
    </row>
    <row r="2592" spans="5:8" x14ac:dyDescent="0.25">
      <c r="E2592" t="str">
        <f>""</f>
        <v/>
      </c>
      <c r="F2592" t="str">
        <f>""</f>
        <v/>
      </c>
      <c r="H2592" t="str">
        <f t="shared" si="40"/>
        <v>BCBS PAYABLE</v>
      </c>
    </row>
    <row r="2593" spans="5:8" x14ac:dyDescent="0.25">
      <c r="E2593" t="str">
        <f>""</f>
        <v/>
      </c>
      <c r="F2593" t="str">
        <f>""</f>
        <v/>
      </c>
      <c r="H2593" t="str">
        <f t="shared" si="40"/>
        <v>BCBS PAYABLE</v>
      </c>
    </row>
    <row r="2594" spans="5:8" x14ac:dyDescent="0.25">
      <c r="E2594" t="str">
        <f>""</f>
        <v/>
      </c>
      <c r="F2594" t="str">
        <f>""</f>
        <v/>
      </c>
      <c r="H2594" t="str">
        <f t="shared" ref="H2594:H2657" si="41">"BCBS PAYABLE"</f>
        <v>BCBS PAYABLE</v>
      </c>
    </row>
    <row r="2595" spans="5:8" x14ac:dyDescent="0.25">
      <c r="E2595" t="str">
        <f>""</f>
        <v/>
      </c>
      <c r="F2595" t="str">
        <f>""</f>
        <v/>
      </c>
      <c r="H2595" t="str">
        <f t="shared" si="41"/>
        <v>BCBS PAYABLE</v>
      </c>
    </row>
    <row r="2596" spans="5:8" x14ac:dyDescent="0.25">
      <c r="E2596" t="str">
        <f>""</f>
        <v/>
      </c>
      <c r="F2596" t="str">
        <f>""</f>
        <v/>
      </c>
      <c r="H2596" t="str">
        <f t="shared" si="41"/>
        <v>BCBS PAYABLE</v>
      </c>
    </row>
    <row r="2597" spans="5:8" x14ac:dyDescent="0.25">
      <c r="E2597" t="str">
        <f>""</f>
        <v/>
      </c>
      <c r="F2597" t="str">
        <f>""</f>
        <v/>
      </c>
      <c r="H2597" t="str">
        <f t="shared" si="41"/>
        <v>BCBS PAYABLE</v>
      </c>
    </row>
    <row r="2598" spans="5:8" x14ac:dyDescent="0.25">
      <c r="E2598" t="str">
        <f>""</f>
        <v/>
      </c>
      <c r="F2598" t="str">
        <f>""</f>
        <v/>
      </c>
      <c r="H2598" t="str">
        <f t="shared" si="41"/>
        <v>BCBS PAYABLE</v>
      </c>
    </row>
    <row r="2599" spans="5:8" x14ac:dyDescent="0.25">
      <c r="E2599" t="str">
        <f>""</f>
        <v/>
      </c>
      <c r="F2599" t="str">
        <f>""</f>
        <v/>
      </c>
      <c r="H2599" t="str">
        <f t="shared" si="41"/>
        <v>BCBS PAYABLE</v>
      </c>
    </row>
    <row r="2600" spans="5:8" x14ac:dyDescent="0.25">
      <c r="E2600" t="str">
        <f>""</f>
        <v/>
      </c>
      <c r="F2600" t="str">
        <f>""</f>
        <v/>
      </c>
      <c r="H2600" t="str">
        <f t="shared" si="41"/>
        <v>BCBS PAYABLE</v>
      </c>
    </row>
    <row r="2601" spans="5:8" x14ac:dyDescent="0.25">
      <c r="E2601" t="str">
        <f>""</f>
        <v/>
      </c>
      <c r="F2601" t="str">
        <f>""</f>
        <v/>
      </c>
      <c r="H2601" t="str">
        <f t="shared" si="41"/>
        <v>BCBS PAYABLE</v>
      </c>
    </row>
    <row r="2602" spans="5:8" x14ac:dyDescent="0.25">
      <c r="E2602" t="str">
        <f>""</f>
        <v/>
      </c>
      <c r="F2602" t="str">
        <f>""</f>
        <v/>
      </c>
      <c r="H2602" t="str">
        <f t="shared" si="41"/>
        <v>BCBS PAYABLE</v>
      </c>
    </row>
    <row r="2603" spans="5:8" x14ac:dyDescent="0.25">
      <c r="E2603" t="str">
        <f>""</f>
        <v/>
      </c>
      <c r="F2603" t="str">
        <f>""</f>
        <v/>
      </c>
      <c r="H2603" t="str">
        <f t="shared" si="41"/>
        <v>BCBS PAYABLE</v>
      </c>
    </row>
    <row r="2604" spans="5:8" x14ac:dyDescent="0.25">
      <c r="E2604" t="str">
        <f>""</f>
        <v/>
      </c>
      <c r="F2604" t="str">
        <f>""</f>
        <v/>
      </c>
      <c r="H2604" t="str">
        <f t="shared" si="41"/>
        <v>BCBS PAYABLE</v>
      </c>
    </row>
    <row r="2605" spans="5:8" x14ac:dyDescent="0.25">
      <c r="E2605" t="str">
        <f>""</f>
        <v/>
      </c>
      <c r="F2605" t="str">
        <f>""</f>
        <v/>
      </c>
      <c r="H2605" t="str">
        <f t="shared" si="41"/>
        <v>BCBS PAYABLE</v>
      </c>
    </row>
    <row r="2606" spans="5:8" x14ac:dyDescent="0.25">
      <c r="E2606" t="str">
        <f>""</f>
        <v/>
      </c>
      <c r="F2606" t="str">
        <f>""</f>
        <v/>
      </c>
      <c r="H2606" t="str">
        <f t="shared" si="41"/>
        <v>BCBS PAYABLE</v>
      </c>
    </row>
    <row r="2607" spans="5:8" x14ac:dyDescent="0.25">
      <c r="E2607" t="str">
        <f>""</f>
        <v/>
      </c>
      <c r="F2607" t="str">
        <f>""</f>
        <v/>
      </c>
      <c r="H2607" t="str">
        <f t="shared" si="41"/>
        <v>BCBS PAYABLE</v>
      </c>
    </row>
    <row r="2608" spans="5:8" x14ac:dyDescent="0.25">
      <c r="E2608" t="str">
        <f>""</f>
        <v/>
      </c>
      <c r="F2608" t="str">
        <f>""</f>
        <v/>
      </c>
      <c r="H2608" t="str">
        <f t="shared" si="41"/>
        <v>BCBS PAYABLE</v>
      </c>
    </row>
    <row r="2609" spans="5:8" x14ac:dyDescent="0.25">
      <c r="E2609" t="str">
        <f>""</f>
        <v/>
      </c>
      <c r="F2609" t="str">
        <f>""</f>
        <v/>
      </c>
      <c r="H2609" t="str">
        <f t="shared" si="41"/>
        <v>BCBS PAYABLE</v>
      </c>
    </row>
    <row r="2610" spans="5:8" x14ac:dyDescent="0.25">
      <c r="E2610" t="str">
        <f>""</f>
        <v/>
      </c>
      <c r="F2610" t="str">
        <f>""</f>
        <v/>
      </c>
      <c r="H2610" t="str">
        <f t="shared" si="41"/>
        <v>BCBS PAYABLE</v>
      </c>
    </row>
    <row r="2611" spans="5:8" x14ac:dyDescent="0.25">
      <c r="E2611" t="str">
        <f>""</f>
        <v/>
      </c>
      <c r="F2611" t="str">
        <f>""</f>
        <v/>
      </c>
      <c r="H2611" t="str">
        <f t="shared" si="41"/>
        <v>BCBS PAYABLE</v>
      </c>
    </row>
    <row r="2612" spans="5:8" x14ac:dyDescent="0.25">
      <c r="E2612" t="str">
        <f>""</f>
        <v/>
      </c>
      <c r="F2612" t="str">
        <f>""</f>
        <v/>
      </c>
      <c r="H2612" t="str">
        <f t="shared" si="41"/>
        <v>BCBS PAYABLE</v>
      </c>
    </row>
    <row r="2613" spans="5:8" x14ac:dyDescent="0.25">
      <c r="E2613" t="str">
        <f>""</f>
        <v/>
      </c>
      <c r="F2613" t="str">
        <f>""</f>
        <v/>
      </c>
      <c r="H2613" t="str">
        <f t="shared" si="41"/>
        <v>BCBS PAYABLE</v>
      </c>
    </row>
    <row r="2614" spans="5:8" x14ac:dyDescent="0.25">
      <c r="E2614" t="str">
        <f>""</f>
        <v/>
      </c>
      <c r="F2614" t="str">
        <f>""</f>
        <v/>
      </c>
      <c r="H2614" t="str">
        <f t="shared" si="41"/>
        <v>BCBS PAYABLE</v>
      </c>
    </row>
    <row r="2615" spans="5:8" x14ac:dyDescent="0.25">
      <c r="E2615" t="str">
        <f>""</f>
        <v/>
      </c>
      <c r="F2615" t="str">
        <f>""</f>
        <v/>
      </c>
      <c r="H2615" t="str">
        <f t="shared" si="41"/>
        <v>BCBS PAYABLE</v>
      </c>
    </row>
    <row r="2616" spans="5:8" x14ac:dyDescent="0.25">
      <c r="E2616" t="str">
        <f>""</f>
        <v/>
      </c>
      <c r="F2616" t="str">
        <f>""</f>
        <v/>
      </c>
      <c r="H2616" t="str">
        <f t="shared" si="41"/>
        <v>BCBS PAYABLE</v>
      </c>
    </row>
    <row r="2617" spans="5:8" x14ac:dyDescent="0.25">
      <c r="E2617" t="str">
        <f>""</f>
        <v/>
      </c>
      <c r="F2617" t="str">
        <f>""</f>
        <v/>
      </c>
      <c r="H2617" t="str">
        <f t="shared" si="41"/>
        <v>BCBS PAYABLE</v>
      </c>
    </row>
    <row r="2618" spans="5:8" x14ac:dyDescent="0.25">
      <c r="E2618" t="str">
        <f>""</f>
        <v/>
      </c>
      <c r="F2618" t="str">
        <f>""</f>
        <v/>
      </c>
      <c r="H2618" t="str">
        <f t="shared" si="41"/>
        <v>BCBS PAYABLE</v>
      </c>
    </row>
    <row r="2619" spans="5:8" x14ac:dyDescent="0.25">
      <c r="E2619" t="str">
        <f>""</f>
        <v/>
      </c>
      <c r="F2619" t="str">
        <f>""</f>
        <v/>
      </c>
      <c r="H2619" t="str">
        <f t="shared" si="41"/>
        <v>BCBS PAYABLE</v>
      </c>
    </row>
    <row r="2620" spans="5:8" x14ac:dyDescent="0.25">
      <c r="E2620" t="str">
        <f>""</f>
        <v/>
      </c>
      <c r="F2620" t="str">
        <f>""</f>
        <v/>
      </c>
      <c r="H2620" t="str">
        <f t="shared" si="41"/>
        <v>BCBS PAYABLE</v>
      </c>
    </row>
    <row r="2621" spans="5:8" x14ac:dyDescent="0.25">
      <c r="E2621" t="str">
        <f>""</f>
        <v/>
      </c>
      <c r="F2621" t="str">
        <f>""</f>
        <v/>
      </c>
      <c r="H2621" t="str">
        <f t="shared" si="41"/>
        <v>BCBS PAYABLE</v>
      </c>
    </row>
    <row r="2622" spans="5:8" x14ac:dyDescent="0.25">
      <c r="E2622" t="str">
        <f>""</f>
        <v/>
      </c>
      <c r="F2622" t="str">
        <f>""</f>
        <v/>
      </c>
      <c r="H2622" t="str">
        <f t="shared" si="41"/>
        <v>BCBS PAYABLE</v>
      </c>
    </row>
    <row r="2623" spans="5:8" x14ac:dyDescent="0.25">
      <c r="E2623" t="str">
        <f>""</f>
        <v/>
      </c>
      <c r="F2623" t="str">
        <f>""</f>
        <v/>
      </c>
      <c r="H2623" t="str">
        <f t="shared" si="41"/>
        <v>BCBS PAYABLE</v>
      </c>
    </row>
    <row r="2624" spans="5:8" x14ac:dyDescent="0.25">
      <c r="E2624" t="str">
        <f>""</f>
        <v/>
      </c>
      <c r="F2624" t="str">
        <f>""</f>
        <v/>
      </c>
      <c r="H2624" t="str">
        <f t="shared" si="41"/>
        <v>BCBS PAYABLE</v>
      </c>
    </row>
    <row r="2625" spans="5:8" x14ac:dyDescent="0.25">
      <c r="E2625" t="str">
        <f>""</f>
        <v/>
      </c>
      <c r="F2625" t="str">
        <f>""</f>
        <v/>
      </c>
      <c r="H2625" t="str">
        <f t="shared" si="41"/>
        <v>BCBS PAYABLE</v>
      </c>
    </row>
    <row r="2626" spans="5:8" x14ac:dyDescent="0.25">
      <c r="E2626" t="str">
        <f>""</f>
        <v/>
      </c>
      <c r="F2626" t="str">
        <f>""</f>
        <v/>
      </c>
      <c r="H2626" t="str">
        <f t="shared" si="41"/>
        <v>BCBS PAYABLE</v>
      </c>
    </row>
    <row r="2627" spans="5:8" x14ac:dyDescent="0.25">
      <c r="E2627" t="str">
        <f>""</f>
        <v/>
      </c>
      <c r="F2627" t="str">
        <f>""</f>
        <v/>
      </c>
      <c r="H2627" t="str">
        <f t="shared" si="41"/>
        <v>BCBS PAYABLE</v>
      </c>
    </row>
    <row r="2628" spans="5:8" x14ac:dyDescent="0.25">
      <c r="E2628" t="str">
        <f>""</f>
        <v/>
      </c>
      <c r="F2628" t="str">
        <f>""</f>
        <v/>
      </c>
      <c r="H2628" t="str">
        <f t="shared" si="41"/>
        <v>BCBS PAYABLE</v>
      </c>
    </row>
    <row r="2629" spans="5:8" x14ac:dyDescent="0.25">
      <c r="E2629" t="str">
        <f>""</f>
        <v/>
      </c>
      <c r="F2629" t="str">
        <f>""</f>
        <v/>
      </c>
      <c r="H2629" t="str">
        <f t="shared" si="41"/>
        <v>BCBS PAYABLE</v>
      </c>
    </row>
    <row r="2630" spans="5:8" x14ac:dyDescent="0.25">
      <c r="E2630" t="str">
        <f>"2EO201810174607"</f>
        <v>2EO201810174607</v>
      </c>
      <c r="F2630" t="str">
        <f>"BCBS PAYABLE"</f>
        <v>BCBS PAYABLE</v>
      </c>
      <c r="G2630" s="3">
        <v>3476.88</v>
      </c>
      <c r="H2630" t="str">
        <f t="shared" si="41"/>
        <v>BCBS PAYABLE</v>
      </c>
    </row>
    <row r="2631" spans="5:8" x14ac:dyDescent="0.25">
      <c r="E2631" t="str">
        <f>"2ES201810034225"</f>
        <v>2ES201810034225</v>
      </c>
      <c r="F2631" t="str">
        <f>"BCBS PAYABLE"</f>
        <v>BCBS PAYABLE</v>
      </c>
      <c r="G2631" s="3">
        <v>15084.3</v>
      </c>
      <c r="H2631" t="str">
        <f t="shared" si="41"/>
        <v>BCBS PAYABLE</v>
      </c>
    </row>
    <row r="2632" spans="5:8" x14ac:dyDescent="0.25">
      <c r="E2632" t="str">
        <f>""</f>
        <v/>
      </c>
      <c r="F2632" t="str">
        <f>""</f>
        <v/>
      </c>
      <c r="H2632" t="str">
        <f t="shared" si="41"/>
        <v>BCBS PAYABLE</v>
      </c>
    </row>
    <row r="2633" spans="5:8" x14ac:dyDescent="0.25">
      <c r="E2633" t="str">
        <f>""</f>
        <v/>
      </c>
      <c r="F2633" t="str">
        <f>""</f>
        <v/>
      </c>
      <c r="H2633" t="str">
        <f t="shared" si="41"/>
        <v>BCBS PAYABLE</v>
      </c>
    </row>
    <row r="2634" spans="5:8" x14ac:dyDescent="0.25">
      <c r="E2634" t="str">
        <f>""</f>
        <v/>
      </c>
      <c r="F2634" t="str">
        <f>""</f>
        <v/>
      </c>
      <c r="H2634" t="str">
        <f t="shared" si="41"/>
        <v>BCBS PAYABLE</v>
      </c>
    </row>
    <row r="2635" spans="5:8" x14ac:dyDescent="0.25">
      <c r="E2635" t="str">
        <f>""</f>
        <v/>
      </c>
      <c r="F2635" t="str">
        <f>""</f>
        <v/>
      </c>
      <c r="H2635" t="str">
        <f t="shared" si="41"/>
        <v>BCBS PAYABLE</v>
      </c>
    </row>
    <row r="2636" spans="5:8" x14ac:dyDescent="0.25">
      <c r="E2636" t="str">
        <f>""</f>
        <v/>
      </c>
      <c r="F2636" t="str">
        <f>""</f>
        <v/>
      </c>
      <c r="H2636" t="str">
        <f t="shared" si="41"/>
        <v>BCBS PAYABLE</v>
      </c>
    </row>
    <row r="2637" spans="5:8" x14ac:dyDescent="0.25">
      <c r="E2637" t="str">
        <f>""</f>
        <v/>
      </c>
      <c r="F2637" t="str">
        <f>""</f>
        <v/>
      </c>
      <c r="H2637" t="str">
        <f t="shared" si="41"/>
        <v>BCBS PAYABLE</v>
      </c>
    </row>
    <row r="2638" spans="5:8" x14ac:dyDescent="0.25">
      <c r="E2638" t="str">
        <f>""</f>
        <v/>
      </c>
      <c r="F2638" t="str">
        <f>""</f>
        <v/>
      </c>
      <c r="H2638" t="str">
        <f t="shared" si="41"/>
        <v>BCBS PAYABLE</v>
      </c>
    </row>
    <row r="2639" spans="5:8" x14ac:dyDescent="0.25">
      <c r="E2639" t="str">
        <f>""</f>
        <v/>
      </c>
      <c r="F2639" t="str">
        <f>""</f>
        <v/>
      </c>
      <c r="H2639" t="str">
        <f t="shared" si="41"/>
        <v>BCBS PAYABLE</v>
      </c>
    </row>
    <row r="2640" spans="5:8" x14ac:dyDescent="0.25">
      <c r="E2640" t="str">
        <f>""</f>
        <v/>
      </c>
      <c r="F2640" t="str">
        <f>""</f>
        <v/>
      </c>
      <c r="H2640" t="str">
        <f t="shared" si="41"/>
        <v>BCBS PAYABLE</v>
      </c>
    </row>
    <row r="2641" spans="5:8" x14ac:dyDescent="0.25">
      <c r="E2641" t="str">
        <f>""</f>
        <v/>
      </c>
      <c r="F2641" t="str">
        <f>""</f>
        <v/>
      </c>
      <c r="H2641" t="str">
        <f t="shared" si="41"/>
        <v>BCBS PAYABLE</v>
      </c>
    </row>
    <row r="2642" spans="5:8" x14ac:dyDescent="0.25">
      <c r="E2642" t="str">
        <f>""</f>
        <v/>
      </c>
      <c r="F2642" t="str">
        <f>""</f>
        <v/>
      </c>
      <c r="H2642" t="str">
        <f t="shared" si="41"/>
        <v>BCBS PAYABLE</v>
      </c>
    </row>
    <row r="2643" spans="5:8" x14ac:dyDescent="0.25">
      <c r="E2643" t="str">
        <f>""</f>
        <v/>
      </c>
      <c r="F2643" t="str">
        <f>""</f>
        <v/>
      </c>
      <c r="H2643" t="str">
        <f t="shared" si="41"/>
        <v>BCBS PAYABLE</v>
      </c>
    </row>
    <row r="2644" spans="5:8" x14ac:dyDescent="0.25">
      <c r="E2644" t="str">
        <f>""</f>
        <v/>
      </c>
      <c r="F2644" t="str">
        <f>""</f>
        <v/>
      </c>
      <c r="H2644" t="str">
        <f t="shared" si="41"/>
        <v>BCBS PAYABLE</v>
      </c>
    </row>
    <row r="2645" spans="5:8" x14ac:dyDescent="0.25">
      <c r="E2645" t="str">
        <f>""</f>
        <v/>
      </c>
      <c r="F2645" t="str">
        <f>""</f>
        <v/>
      </c>
      <c r="H2645" t="str">
        <f t="shared" si="41"/>
        <v>BCBS PAYABLE</v>
      </c>
    </row>
    <row r="2646" spans="5:8" x14ac:dyDescent="0.25">
      <c r="E2646" t="str">
        <f>""</f>
        <v/>
      </c>
      <c r="F2646" t="str">
        <f>""</f>
        <v/>
      </c>
      <c r="H2646" t="str">
        <f t="shared" si="41"/>
        <v>BCBS PAYABLE</v>
      </c>
    </row>
    <row r="2647" spans="5:8" x14ac:dyDescent="0.25">
      <c r="E2647" t="str">
        <f>""</f>
        <v/>
      </c>
      <c r="F2647" t="str">
        <f>""</f>
        <v/>
      </c>
      <c r="H2647" t="str">
        <f t="shared" si="41"/>
        <v>BCBS PAYABLE</v>
      </c>
    </row>
    <row r="2648" spans="5:8" x14ac:dyDescent="0.25">
      <c r="E2648" t="str">
        <f>""</f>
        <v/>
      </c>
      <c r="F2648" t="str">
        <f>""</f>
        <v/>
      </c>
      <c r="H2648" t="str">
        <f t="shared" si="41"/>
        <v>BCBS PAYABLE</v>
      </c>
    </row>
    <row r="2649" spans="5:8" x14ac:dyDescent="0.25">
      <c r="E2649" t="str">
        <f>""</f>
        <v/>
      </c>
      <c r="F2649" t="str">
        <f>""</f>
        <v/>
      </c>
      <c r="H2649" t="str">
        <f t="shared" si="41"/>
        <v>BCBS PAYABLE</v>
      </c>
    </row>
    <row r="2650" spans="5:8" x14ac:dyDescent="0.25">
      <c r="E2650" t="str">
        <f>"2ES201810034226"</f>
        <v>2ES201810034226</v>
      </c>
      <c r="F2650" t="str">
        <f>"BCBS PAYABLE"</f>
        <v>BCBS PAYABLE</v>
      </c>
      <c r="G2650" s="3">
        <v>502.81</v>
      </c>
      <c r="H2650" t="str">
        <f t="shared" si="41"/>
        <v>BCBS PAYABLE</v>
      </c>
    </row>
    <row r="2651" spans="5:8" x14ac:dyDescent="0.25">
      <c r="E2651" t="str">
        <f>""</f>
        <v/>
      </c>
      <c r="F2651" t="str">
        <f>""</f>
        <v/>
      </c>
      <c r="H2651" t="str">
        <f t="shared" si="41"/>
        <v>BCBS PAYABLE</v>
      </c>
    </row>
    <row r="2652" spans="5:8" x14ac:dyDescent="0.25">
      <c r="E2652" t="str">
        <f>"2ES201810174606"</f>
        <v>2ES201810174606</v>
      </c>
      <c r="F2652" t="str">
        <f>"BCBS PAYABLE"</f>
        <v>BCBS PAYABLE</v>
      </c>
      <c r="G2652" s="3">
        <v>15083.7</v>
      </c>
      <c r="H2652" t="str">
        <f t="shared" si="41"/>
        <v>BCBS PAYABLE</v>
      </c>
    </row>
    <row r="2653" spans="5:8" x14ac:dyDescent="0.25">
      <c r="E2653" t="str">
        <f>""</f>
        <v/>
      </c>
      <c r="F2653" t="str">
        <f>""</f>
        <v/>
      </c>
      <c r="H2653" t="str">
        <f t="shared" si="41"/>
        <v>BCBS PAYABLE</v>
      </c>
    </row>
    <row r="2654" spans="5:8" x14ac:dyDescent="0.25">
      <c r="E2654" t="str">
        <f>""</f>
        <v/>
      </c>
      <c r="F2654" t="str">
        <f>""</f>
        <v/>
      </c>
      <c r="H2654" t="str">
        <f t="shared" si="41"/>
        <v>BCBS PAYABLE</v>
      </c>
    </row>
    <row r="2655" spans="5:8" x14ac:dyDescent="0.25">
      <c r="E2655" t="str">
        <f>""</f>
        <v/>
      </c>
      <c r="F2655" t="str">
        <f>""</f>
        <v/>
      </c>
      <c r="H2655" t="str">
        <f t="shared" si="41"/>
        <v>BCBS PAYABLE</v>
      </c>
    </row>
    <row r="2656" spans="5:8" x14ac:dyDescent="0.25">
      <c r="E2656" t="str">
        <f>""</f>
        <v/>
      </c>
      <c r="F2656" t="str">
        <f>""</f>
        <v/>
      </c>
      <c r="H2656" t="str">
        <f t="shared" si="41"/>
        <v>BCBS PAYABLE</v>
      </c>
    </row>
    <row r="2657" spans="5:8" x14ac:dyDescent="0.25">
      <c r="E2657" t="str">
        <f>""</f>
        <v/>
      </c>
      <c r="F2657" t="str">
        <f>""</f>
        <v/>
      </c>
      <c r="H2657" t="str">
        <f t="shared" si="41"/>
        <v>BCBS PAYABLE</v>
      </c>
    </row>
    <row r="2658" spans="5:8" x14ac:dyDescent="0.25">
      <c r="E2658" t="str">
        <f>""</f>
        <v/>
      </c>
      <c r="F2658" t="str">
        <f>""</f>
        <v/>
      </c>
      <c r="H2658" t="str">
        <f t="shared" ref="H2658:H2672" si="42">"BCBS PAYABLE"</f>
        <v>BCBS PAYABLE</v>
      </c>
    </row>
    <row r="2659" spans="5:8" x14ac:dyDescent="0.25">
      <c r="E2659" t="str">
        <f>""</f>
        <v/>
      </c>
      <c r="F2659" t="str">
        <f>""</f>
        <v/>
      </c>
      <c r="H2659" t="str">
        <f t="shared" si="42"/>
        <v>BCBS PAYABLE</v>
      </c>
    </row>
    <row r="2660" spans="5:8" x14ac:dyDescent="0.25">
      <c r="E2660" t="str">
        <f>""</f>
        <v/>
      </c>
      <c r="F2660" t="str">
        <f>""</f>
        <v/>
      </c>
      <c r="H2660" t="str">
        <f t="shared" si="42"/>
        <v>BCBS PAYABLE</v>
      </c>
    </row>
    <row r="2661" spans="5:8" x14ac:dyDescent="0.25">
      <c r="E2661" t="str">
        <f>""</f>
        <v/>
      </c>
      <c r="F2661" t="str">
        <f>""</f>
        <v/>
      </c>
      <c r="H2661" t="str">
        <f t="shared" si="42"/>
        <v>BCBS PAYABLE</v>
      </c>
    </row>
    <row r="2662" spans="5:8" x14ac:dyDescent="0.25">
      <c r="E2662" t="str">
        <f>""</f>
        <v/>
      </c>
      <c r="F2662" t="str">
        <f>""</f>
        <v/>
      </c>
      <c r="H2662" t="str">
        <f t="shared" si="42"/>
        <v>BCBS PAYABLE</v>
      </c>
    </row>
    <row r="2663" spans="5:8" x14ac:dyDescent="0.25">
      <c r="E2663" t="str">
        <f>""</f>
        <v/>
      </c>
      <c r="F2663" t="str">
        <f>""</f>
        <v/>
      </c>
      <c r="H2663" t="str">
        <f t="shared" si="42"/>
        <v>BCBS PAYABLE</v>
      </c>
    </row>
    <row r="2664" spans="5:8" x14ac:dyDescent="0.25">
      <c r="E2664" t="str">
        <f>""</f>
        <v/>
      </c>
      <c r="F2664" t="str">
        <f>""</f>
        <v/>
      </c>
      <c r="H2664" t="str">
        <f t="shared" si="42"/>
        <v>BCBS PAYABLE</v>
      </c>
    </row>
    <row r="2665" spans="5:8" x14ac:dyDescent="0.25">
      <c r="E2665" t="str">
        <f>""</f>
        <v/>
      </c>
      <c r="F2665" t="str">
        <f>""</f>
        <v/>
      </c>
      <c r="H2665" t="str">
        <f t="shared" si="42"/>
        <v>BCBS PAYABLE</v>
      </c>
    </row>
    <row r="2666" spans="5:8" x14ac:dyDescent="0.25">
      <c r="E2666" t="str">
        <f>""</f>
        <v/>
      </c>
      <c r="F2666" t="str">
        <f>""</f>
        <v/>
      </c>
      <c r="H2666" t="str">
        <f t="shared" si="42"/>
        <v>BCBS PAYABLE</v>
      </c>
    </row>
    <row r="2667" spans="5:8" x14ac:dyDescent="0.25">
      <c r="E2667" t="str">
        <f>""</f>
        <v/>
      </c>
      <c r="F2667" t="str">
        <f>""</f>
        <v/>
      </c>
      <c r="H2667" t="str">
        <f t="shared" si="42"/>
        <v>BCBS PAYABLE</v>
      </c>
    </row>
    <row r="2668" spans="5:8" x14ac:dyDescent="0.25">
      <c r="E2668" t="str">
        <f>""</f>
        <v/>
      </c>
      <c r="F2668" t="str">
        <f>""</f>
        <v/>
      </c>
      <c r="H2668" t="str">
        <f t="shared" si="42"/>
        <v>BCBS PAYABLE</v>
      </c>
    </row>
    <row r="2669" spans="5:8" x14ac:dyDescent="0.25">
      <c r="E2669" t="str">
        <f>""</f>
        <v/>
      </c>
      <c r="F2669" t="str">
        <f>""</f>
        <v/>
      </c>
      <c r="H2669" t="str">
        <f t="shared" si="42"/>
        <v>BCBS PAYABLE</v>
      </c>
    </row>
    <row r="2670" spans="5:8" x14ac:dyDescent="0.25">
      <c r="E2670" t="str">
        <f>""</f>
        <v/>
      </c>
      <c r="F2670" t="str">
        <f>""</f>
        <v/>
      </c>
      <c r="H2670" t="str">
        <f t="shared" si="42"/>
        <v>BCBS PAYABLE</v>
      </c>
    </row>
    <row r="2671" spans="5:8" x14ac:dyDescent="0.25">
      <c r="E2671" t="str">
        <f>"2ES201810174607"</f>
        <v>2ES201810174607</v>
      </c>
      <c r="F2671" t="str">
        <f>"BCBS PAYABLE"</f>
        <v>BCBS PAYABLE</v>
      </c>
      <c r="G2671" s="3">
        <v>502.79</v>
      </c>
      <c r="H2671" t="str">
        <f t="shared" si="42"/>
        <v>BCBS PAYABLE</v>
      </c>
    </row>
    <row r="2672" spans="5:8" x14ac:dyDescent="0.25">
      <c r="E2672" t="str">
        <f>""</f>
        <v/>
      </c>
      <c r="F2672" t="str">
        <f>""</f>
        <v/>
      </c>
      <c r="H2672" t="str">
        <f t="shared" si="42"/>
        <v>BCBS PAYABLE</v>
      </c>
    </row>
    <row r="2673" spans="1:8" x14ac:dyDescent="0.25">
      <c r="A2673" t="s">
        <v>482</v>
      </c>
      <c r="B2673">
        <v>0</v>
      </c>
      <c r="C2673" s="2">
        <v>182779.16</v>
      </c>
      <c r="D2673" s="1">
        <v>43378</v>
      </c>
      <c r="E2673" t="str">
        <f>"201810044413"</f>
        <v>201810044413</v>
      </c>
      <c r="F2673" t="str">
        <f>"Dep Care Sept 2018"</f>
        <v>Dep Care Sept 2018</v>
      </c>
      <c r="G2673" s="3">
        <v>497.29</v>
      </c>
      <c r="H2673" t="str">
        <f>"Dep Care Sept 2018"</f>
        <v>Dep Care Sept 2018</v>
      </c>
    </row>
    <row r="2674" spans="1:8" x14ac:dyDescent="0.25">
      <c r="E2674" t="str">
        <f>"FSA201810034225"</f>
        <v>FSA201810034225</v>
      </c>
      <c r="F2674" t="str">
        <f>"TASC FSA"</f>
        <v>TASC FSA</v>
      </c>
      <c r="G2674" s="3">
        <v>7810.62</v>
      </c>
      <c r="H2674" t="str">
        <f>"TASC FSA"</f>
        <v>TASC FSA</v>
      </c>
    </row>
    <row r="2675" spans="1:8" x14ac:dyDescent="0.25">
      <c r="E2675" t="str">
        <f>"FSA201810034226"</f>
        <v>FSA201810034226</v>
      </c>
      <c r="F2675" t="str">
        <f>"TASC FSA"</f>
        <v>TASC FSA</v>
      </c>
      <c r="G2675" s="3">
        <v>618.25</v>
      </c>
      <c r="H2675" t="str">
        <f>"TASC FSA"</f>
        <v>TASC FSA</v>
      </c>
    </row>
    <row r="2676" spans="1:8" x14ac:dyDescent="0.25">
      <c r="E2676" t="str">
        <f>"FSF201810034225"</f>
        <v>FSF201810034225</v>
      </c>
      <c r="F2676" t="str">
        <f>"TASC - FSA  FEES"</f>
        <v>TASC - FSA  FEES</v>
      </c>
      <c r="G2676" s="3">
        <v>264.60000000000002</v>
      </c>
      <c r="H2676" t="str">
        <f t="shared" ref="H2676:H2717" si="43">"TASC - FSA  FEES"</f>
        <v>TASC - FSA  FEES</v>
      </c>
    </row>
    <row r="2677" spans="1:8" x14ac:dyDescent="0.25">
      <c r="E2677" t="str">
        <f>""</f>
        <v/>
      </c>
      <c r="F2677" t="str">
        <f>""</f>
        <v/>
      </c>
      <c r="H2677" t="str">
        <f t="shared" si="43"/>
        <v>TASC - FSA  FEES</v>
      </c>
    </row>
    <row r="2678" spans="1:8" x14ac:dyDescent="0.25">
      <c r="E2678" t="str">
        <f>""</f>
        <v/>
      </c>
      <c r="F2678" t="str">
        <f>""</f>
        <v/>
      </c>
      <c r="H2678" t="str">
        <f t="shared" si="43"/>
        <v>TASC - FSA  FEES</v>
      </c>
    </row>
    <row r="2679" spans="1:8" x14ac:dyDescent="0.25">
      <c r="E2679" t="str">
        <f>""</f>
        <v/>
      </c>
      <c r="F2679" t="str">
        <f>""</f>
        <v/>
      </c>
      <c r="H2679" t="str">
        <f t="shared" si="43"/>
        <v>TASC - FSA  FEES</v>
      </c>
    </row>
    <row r="2680" spans="1:8" x14ac:dyDescent="0.25">
      <c r="E2680" t="str">
        <f>""</f>
        <v/>
      </c>
      <c r="F2680" t="str">
        <f>""</f>
        <v/>
      </c>
      <c r="H2680" t="str">
        <f t="shared" si="43"/>
        <v>TASC - FSA  FEES</v>
      </c>
    </row>
    <row r="2681" spans="1:8" x14ac:dyDescent="0.25">
      <c r="E2681" t="str">
        <f>""</f>
        <v/>
      </c>
      <c r="F2681" t="str">
        <f>""</f>
        <v/>
      </c>
      <c r="H2681" t="str">
        <f t="shared" si="43"/>
        <v>TASC - FSA  FEES</v>
      </c>
    </row>
    <row r="2682" spans="1:8" x14ac:dyDescent="0.25">
      <c r="E2682" t="str">
        <f>""</f>
        <v/>
      </c>
      <c r="F2682" t="str">
        <f>""</f>
        <v/>
      </c>
      <c r="H2682" t="str">
        <f t="shared" si="43"/>
        <v>TASC - FSA  FEES</v>
      </c>
    </row>
    <row r="2683" spans="1:8" x14ac:dyDescent="0.25">
      <c r="E2683" t="str">
        <f>""</f>
        <v/>
      </c>
      <c r="F2683" t="str">
        <f>""</f>
        <v/>
      </c>
      <c r="H2683" t="str">
        <f t="shared" si="43"/>
        <v>TASC - FSA  FEES</v>
      </c>
    </row>
    <row r="2684" spans="1:8" x14ac:dyDescent="0.25">
      <c r="E2684" t="str">
        <f>""</f>
        <v/>
      </c>
      <c r="F2684" t="str">
        <f>""</f>
        <v/>
      </c>
      <c r="H2684" t="str">
        <f t="shared" si="43"/>
        <v>TASC - FSA  FEES</v>
      </c>
    </row>
    <row r="2685" spans="1:8" x14ac:dyDescent="0.25">
      <c r="E2685" t="str">
        <f>""</f>
        <v/>
      </c>
      <c r="F2685" t="str">
        <f>""</f>
        <v/>
      </c>
      <c r="H2685" t="str">
        <f t="shared" si="43"/>
        <v>TASC - FSA  FEES</v>
      </c>
    </row>
    <row r="2686" spans="1:8" x14ac:dyDescent="0.25">
      <c r="E2686" t="str">
        <f>""</f>
        <v/>
      </c>
      <c r="F2686" t="str">
        <f>""</f>
        <v/>
      </c>
      <c r="H2686" t="str">
        <f t="shared" si="43"/>
        <v>TASC - FSA  FEES</v>
      </c>
    </row>
    <row r="2687" spans="1:8" x14ac:dyDescent="0.25">
      <c r="E2687" t="str">
        <f>""</f>
        <v/>
      </c>
      <c r="F2687" t="str">
        <f>""</f>
        <v/>
      </c>
      <c r="H2687" t="str">
        <f t="shared" si="43"/>
        <v>TASC - FSA  FEES</v>
      </c>
    </row>
    <row r="2688" spans="1:8" x14ac:dyDescent="0.25">
      <c r="E2688" t="str">
        <f>""</f>
        <v/>
      </c>
      <c r="F2688" t="str">
        <f>""</f>
        <v/>
      </c>
      <c r="H2688" t="str">
        <f t="shared" si="43"/>
        <v>TASC - FSA  FEES</v>
      </c>
    </row>
    <row r="2689" spans="5:8" x14ac:dyDescent="0.25">
      <c r="E2689" t="str">
        <f>""</f>
        <v/>
      </c>
      <c r="F2689" t="str">
        <f>""</f>
        <v/>
      </c>
      <c r="H2689" t="str">
        <f t="shared" si="43"/>
        <v>TASC - FSA  FEES</v>
      </c>
    </row>
    <row r="2690" spans="5:8" x14ac:dyDescent="0.25">
      <c r="E2690" t="str">
        <f>""</f>
        <v/>
      </c>
      <c r="F2690" t="str">
        <f>""</f>
        <v/>
      </c>
      <c r="H2690" t="str">
        <f t="shared" si="43"/>
        <v>TASC - FSA  FEES</v>
      </c>
    </row>
    <row r="2691" spans="5:8" x14ac:dyDescent="0.25">
      <c r="E2691" t="str">
        <f>""</f>
        <v/>
      </c>
      <c r="F2691" t="str">
        <f>""</f>
        <v/>
      </c>
      <c r="H2691" t="str">
        <f t="shared" si="43"/>
        <v>TASC - FSA  FEES</v>
      </c>
    </row>
    <row r="2692" spans="5:8" x14ac:dyDescent="0.25">
      <c r="E2692" t="str">
        <f>""</f>
        <v/>
      </c>
      <c r="F2692" t="str">
        <f>""</f>
        <v/>
      </c>
      <c r="H2692" t="str">
        <f t="shared" si="43"/>
        <v>TASC - FSA  FEES</v>
      </c>
    </row>
    <row r="2693" spans="5:8" x14ac:dyDescent="0.25">
      <c r="E2693" t="str">
        <f>""</f>
        <v/>
      </c>
      <c r="F2693" t="str">
        <f>""</f>
        <v/>
      </c>
      <c r="H2693" t="str">
        <f t="shared" si="43"/>
        <v>TASC - FSA  FEES</v>
      </c>
    </row>
    <row r="2694" spans="5:8" x14ac:dyDescent="0.25">
      <c r="E2694" t="str">
        <f>""</f>
        <v/>
      </c>
      <c r="F2694" t="str">
        <f>""</f>
        <v/>
      </c>
      <c r="H2694" t="str">
        <f t="shared" si="43"/>
        <v>TASC - FSA  FEES</v>
      </c>
    </row>
    <row r="2695" spans="5:8" x14ac:dyDescent="0.25">
      <c r="E2695" t="str">
        <f>""</f>
        <v/>
      </c>
      <c r="F2695" t="str">
        <f>""</f>
        <v/>
      </c>
      <c r="H2695" t="str">
        <f t="shared" si="43"/>
        <v>TASC - FSA  FEES</v>
      </c>
    </row>
    <row r="2696" spans="5:8" x14ac:dyDescent="0.25">
      <c r="E2696" t="str">
        <f>""</f>
        <v/>
      </c>
      <c r="F2696" t="str">
        <f>""</f>
        <v/>
      </c>
      <c r="H2696" t="str">
        <f t="shared" si="43"/>
        <v>TASC - FSA  FEES</v>
      </c>
    </row>
    <row r="2697" spans="5:8" x14ac:dyDescent="0.25">
      <c r="E2697" t="str">
        <f>""</f>
        <v/>
      </c>
      <c r="F2697" t="str">
        <f>""</f>
        <v/>
      </c>
      <c r="H2697" t="str">
        <f t="shared" si="43"/>
        <v>TASC - FSA  FEES</v>
      </c>
    </row>
    <row r="2698" spans="5:8" x14ac:dyDescent="0.25">
      <c r="E2698" t="str">
        <f>""</f>
        <v/>
      </c>
      <c r="F2698" t="str">
        <f>""</f>
        <v/>
      </c>
      <c r="H2698" t="str">
        <f t="shared" si="43"/>
        <v>TASC - FSA  FEES</v>
      </c>
    </row>
    <row r="2699" spans="5:8" x14ac:dyDescent="0.25">
      <c r="E2699" t="str">
        <f>""</f>
        <v/>
      </c>
      <c r="F2699" t="str">
        <f>""</f>
        <v/>
      </c>
      <c r="H2699" t="str">
        <f t="shared" si="43"/>
        <v>TASC - FSA  FEES</v>
      </c>
    </row>
    <row r="2700" spans="5:8" x14ac:dyDescent="0.25">
      <c r="E2700" t="str">
        <f>""</f>
        <v/>
      </c>
      <c r="F2700" t="str">
        <f>""</f>
        <v/>
      </c>
      <c r="H2700" t="str">
        <f t="shared" si="43"/>
        <v>TASC - FSA  FEES</v>
      </c>
    </row>
    <row r="2701" spans="5:8" x14ac:dyDescent="0.25">
      <c r="E2701" t="str">
        <f>""</f>
        <v/>
      </c>
      <c r="F2701" t="str">
        <f>""</f>
        <v/>
      </c>
      <c r="H2701" t="str">
        <f t="shared" si="43"/>
        <v>TASC - FSA  FEES</v>
      </c>
    </row>
    <row r="2702" spans="5:8" x14ac:dyDescent="0.25">
      <c r="E2702" t="str">
        <f>""</f>
        <v/>
      </c>
      <c r="F2702" t="str">
        <f>""</f>
        <v/>
      </c>
      <c r="H2702" t="str">
        <f t="shared" si="43"/>
        <v>TASC - FSA  FEES</v>
      </c>
    </row>
    <row r="2703" spans="5:8" x14ac:dyDescent="0.25">
      <c r="E2703" t="str">
        <f>""</f>
        <v/>
      </c>
      <c r="F2703" t="str">
        <f>""</f>
        <v/>
      </c>
      <c r="H2703" t="str">
        <f t="shared" si="43"/>
        <v>TASC - FSA  FEES</v>
      </c>
    </row>
    <row r="2704" spans="5:8" x14ac:dyDescent="0.25">
      <c r="E2704" t="str">
        <f>""</f>
        <v/>
      </c>
      <c r="F2704" t="str">
        <f>""</f>
        <v/>
      </c>
      <c r="H2704" t="str">
        <f t="shared" si="43"/>
        <v>TASC - FSA  FEES</v>
      </c>
    </row>
    <row r="2705" spans="5:8" x14ac:dyDescent="0.25">
      <c r="E2705" t="str">
        <f>""</f>
        <v/>
      </c>
      <c r="F2705" t="str">
        <f>""</f>
        <v/>
      </c>
      <c r="H2705" t="str">
        <f t="shared" si="43"/>
        <v>TASC - FSA  FEES</v>
      </c>
    </row>
    <row r="2706" spans="5:8" x14ac:dyDescent="0.25">
      <c r="E2706" t="str">
        <f>""</f>
        <v/>
      </c>
      <c r="F2706" t="str">
        <f>""</f>
        <v/>
      </c>
      <c r="H2706" t="str">
        <f t="shared" si="43"/>
        <v>TASC - FSA  FEES</v>
      </c>
    </row>
    <row r="2707" spans="5:8" x14ac:dyDescent="0.25">
      <c r="E2707" t="str">
        <f>""</f>
        <v/>
      </c>
      <c r="F2707" t="str">
        <f>""</f>
        <v/>
      </c>
      <c r="H2707" t="str">
        <f t="shared" si="43"/>
        <v>TASC - FSA  FEES</v>
      </c>
    </row>
    <row r="2708" spans="5:8" x14ac:dyDescent="0.25">
      <c r="E2708" t="str">
        <f>""</f>
        <v/>
      </c>
      <c r="F2708" t="str">
        <f>""</f>
        <v/>
      </c>
      <c r="H2708" t="str">
        <f t="shared" si="43"/>
        <v>TASC - FSA  FEES</v>
      </c>
    </row>
    <row r="2709" spans="5:8" x14ac:dyDescent="0.25">
      <c r="E2709" t="str">
        <f>""</f>
        <v/>
      </c>
      <c r="F2709" t="str">
        <f>""</f>
        <v/>
      </c>
      <c r="H2709" t="str">
        <f t="shared" si="43"/>
        <v>TASC - FSA  FEES</v>
      </c>
    </row>
    <row r="2710" spans="5:8" x14ac:dyDescent="0.25">
      <c r="E2710" t="str">
        <f>""</f>
        <v/>
      </c>
      <c r="F2710" t="str">
        <f>""</f>
        <v/>
      </c>
      <c r="H2710" t="str">
        <f t="shared" si="43"/>
        <v>TASC - FSA  FEES</v>
      </c>
    </row>
    <row r="2711" spans="5:8" x14ac:dyDescent="0.25">
      <c r="E2711" t="str">
        <f>""</f>
        <v/>
      </c>
      <c r="F2711" t="str">
        <f>""</f>
        <v/>
      </c>
      <c r="H2711" t="str">
        <f t="shared" si="43"/>
        <v>TASC - FSA  FEES</v>
      </c>
    </row>
    <row r="2712" spans="5:8" x14ac:dyDescent="0.25">
      <c r="E2712" t="str">
        <f>""</f>
        <v/>
      </c>
      <c r="F2712" t="str">
        <f>""</f>
        <v/>
      </c>
      <c r="H2712" t="str">
        <f t="shared" si="43"/>
        <v>TASC - FSA  FEES</v>
      </c>
    </row>
    <row r="2713" spans="5:8" x14ac:dyDescent="0.25">
      <c r="E2713" t="str">
        <f>""</f>
        <v/>
      </c>
      <c r="F2713" t="str">
        <f>""</f>
        <v/>
      </c>
      <c r="H2713" t="str">
        <f t="shared" si="43"/>
        <v>TASC - FSA  FEES</v>
      </c>
    </row>
    <row r="2714" spans="5:8" x14ac:dyDescent="0.25">
      <c r="E2714" t="str">
        <f>""</f>
        <v/>
      </c>
      <c r="F2714" t="str">
        <f>""</f>
        <v/>
      </c>
      <c r="H2714" t="str">
        <f t="shared" si="43"/>
        <v>TASC - FSA  FEES</v>
      </c>
    </row>
    <row r="2715" spans="5:8" x14ac:dyDescent="0.25">
      <c r="E2715" t="str">
        <f>""</f>
        <v/>
      </c>
      <c r="F2715" t="str">
        <f>""</f>
        <v/>
      </c>
      <c r="H2715" t="str">
        <f t="shared" si="43"/>
        <v>TASC - FSA  FEES</v>
      </c>
    </row>
    <row r="2716" spans="5:8" x14ac:dyDescent="0.25">
      <c r="E2716" t="str">
        <f>""</f>
        <v/>
      </c>
      <c r="F2716" t="str">
        <f>""</f>
        <v/>
      </c>
      <c r="H2716" t="str">
        <f t="shared" si="43"/>
        <v>TASC - FSA  FEES</v>
      </c>
    </row>
    <row r="2717" spans="5:8" x14ac:dyDescent="0.25">
      <c r="E2717" t="str">
        <f>"FSF201810034226"</f>
        <v>FSF201810034226</v>
      </c>
      <c r="F2717" t="str">
        <f>"TASC - FSA  FEES"</f>
        <v>TASC - FSA  FEES</v>
      </c>
      <c r="G2717" s="3">
        <v>14.4</v>
      </c>
      <c r="H2717" t="str">
        <f t="shared" si="43"/>
        <v>TASC - FSA  FEES</v>
      </c>
    </row>
    <row r="2718" spans="5:8" x14ac:dyDescent="0.25">
      <c r="E2718" t="str">
        <f>"HRA201810034225"</f>
        <v>HRA201810034225</v>
      </c>
      <c r="F2718" t="str">
        <f>"TASC HRA"</f>
        <v>TASC HRA</v>
      </c>
      <c r="G2718" s="3">
        <v>166400</v>
      </c>
      <c r="H2718" t="str">
        <f t="shared" ref="H2718:H2749" si="44">"TASC HRA"</f>
        <v>TASC HRA</v>
      </c>
    </row>
    <row r="2719" spans="5:8" x14ac:dyDescent="0.25">
      <c r="E2719" t="str">
        <f>""</f>
        <v/>
      </c>
      <c r="F2719" t="str">
        <f>""</f>
        <v/>
      </c>
      <c r="H2719" t="str">
        <f t="shared" si="44"/>
        <v>TASC HRA</v>
      </c>
    </row>
    <row r="2720" spans="5:8" x14ac:dyDescent="0.25">
      <c r="E2720" t="str">
        <f>""</f>
        <v/>
      </c>
      <c r="F2720" t="str">
        <f>""</f>
        <v/>
      </c>
      <c r="H2720" t="str">
        <f t="shared" si="44"/>
        <v>TASC HRA</v>
      </c>
    </row>
    <row r="2721" spans="5:8" x14ac:dyDescent="0.25">
      <c r="E2721" t="str">
        <f>""</f>
        <v/>
      </c>
      <c r="F2721" t="str">
        <f>""</f>
        <v/>
      </c>
      <c r="H2721" t="str">
        <f t="shared" si="44"/>
        <v>TASC HRA</v>
      </c>
    </row>
    <row r="2722" spans="5:8" x14ac:dyDescent="0.25">
      <c r="E2722" t="str">
        <f>""</f>
        <v/>
      </c>
      <c r="F2722" t="str">
        <f>""</f>
        <v/>
      </c>
      <c r="H2722" t="str">
        <f t="shared" si="44"/>
        <v>TASC HRA</v>
      </c>
    </row>
    <row r="2723" spans="5:8" x14ac:dyDescent="0.25">
      <c r="E2723" t="str">
        <f>""</f>
        <v/>
      </c>
      <c r="F2723" t="str">
        <f>""</f>
        <v/>
      </c>
      <c r="H2723" t="str">
        <f t="shared" si="44"/>
        <v>TASC HRA</v>
      </c>
    </row>
    <row r="2724" spans="5:8" x14ac:dyDescent="0.25">
      <c r="E2724" t="str">
        <f>""</f>
        <v/>
      </c>
      <c r="F2724" t="str">
        <f>""</f>
        <v/>
      </c>
      <c r="H2724" t="str">
        <f t="shared" si="44"/>
        <v>TASC HRA</v>
      </c>
    </row>
    <row r="2725" spans="5:8" x14ac:dyDescent="0.25">
      <c r="E2725" t="str">
        <f>""</f>
        <v/>
      </c>
      <c r="F2725" t="str">
        <f>""</f>
        <v/>
      </c>
      <c r="H2725" t="str">
        <f t="shared" si="44"/>
        <v>TASC HRA</v>
      </c>
    </row>
    <row r="2726" spans="5:8" x14ac:dyDescent="0.25">
      <c r="E2726" t="str">
        <f>""</f>
        <v/>
      </c>
      <c r="F2726" t="str">
        <f>""</f>
        <v/>
      </c>
      <c r="H2726" t="str">
        <f t="shared" si="44"/>
        <v>TASC HRA</v>
      </c>
    </row>
    <row r="2727" spans="5:8" x14ac:dyDescent="0.25">
      <c r="E2727" t="str">
        <f>""</f>
        <v/>
      </c>
      <c r="F2727" t="str">
        <f>""</f>
        <v/>
      </c>
      <c r="H2727" t="str">
        <f t="shared" si="44"/>
        <v>TASC HRA</v>
      </c>
    </row>
    <row r="2728" spans="5:8" x14ac:dyDescent="0.25">
      <c r="E2728" t="str">
        <f>""</f>
        <v/>
      </c>
      <c r="F2728" t="str">
        <f>""</f>
        <v/>
      </c>
      <c r="H2728" t="str">
        <f t="shared" si="44"/>
        <v>TASC HRA</v>
      </c>
    </row>
    <row r="2729" spans="5:8" x14ac:dyDescent="0.25">
      <c r="E2729" t="str">
        <f>""</f>
        <v/>
      </c>
      <c r="F2729" t="str">
        <f>""</f>
        <v/>
      </c>
      <c r="H2729" t="str">
        <f t="shared" si="44"/>
        <v>TASC HRA</v>
      </c>
    </row>
    <row r="2730" spans="5:8" x14ac:dyDescent="0.25">
      <c r="E2730" t="str">
        <f>""</f>
        <v/>
      </c>
      <c r="F2730" t="str">
        <f>""</f>
        <v/>
      </c>
      <c r="H2730" t="str">
        <f t="shared" si="44"/>
        <v>TASC HRA</v>
      </c>
    </row>
    <row r="2731" spans="5:8" x14ac:dyDescent="0.25">
      <c r="E2731" t="str">
        <f>""</f>
        <v/>
      </c>
      <c r="F2731" t="str">
        <f>""</f>
        <v/>
      </c>
      <c r="H2731" t="str">
        <f t="shared" si="44"/>
        <v>TASC HRA</v>
      </c>
    </row>
    <row r="2732" spans="5:8" x14ac:dyDescent="0.25">
      <c r="E2732" t="str">
        <f>""</f>
        <v/>
      </c>
      <c r="F2732" t="str">
        <f>""</f>
        <v/>
      </c>
      <c r="H2732" t="str">
        <f t="shared" si="44"/>
        <v>TASC HRA</v>
      </c>
    </row>
    <row r="2733" spans="5:8" x14ac:dyDescent="0.25">
      <c r="E2733" t="str">
        <f>""</f>
        <v/>
      </c>
      <c r="F2733" t="str">
        <f>""</f>
        <v/>
      </c>
      <c r="H2733" t="str">
        <f t="shared" si="44"/>
        <v>TASC HRA</v>
      </c>
    </row>
    <row r="2734" spans="5:8" x14ac:dyDescent="0.25">
      <c r="E2734" t="str">
        <f>""</f>
        <v/>
      </c>
      <c r="F2734" t="str">
        <f>""</f>
        <v/>
      </c>
      <c r="H2734" t="str">
        <f t="shared" si="44"/>
        <v>TASC HRA</v>
      </c>
    </row>
    <row r="2735" spans="5:8" x14ac:dyDescent="0.25">
      <c r="E2735" t="str">
        <f>""</f>
        <v/>
      </c>
      <c r="F2735" t="str">
        <f>""</f>
        <v/>
      </c>
      <c r="H2735" t="str">
        <f t="shared" si="44"/>
        <v>TASC HRA</v>
      </c>
    </row>
    <row r="2736" spans="5:8" x14ac:dyDescent="0.25">
      <c r="E2736" t="str">
        <f>""</f>
        <v/>
      </c>
      <c r="F2736" t="str">
        <f>""</f>
        <v/>
      </c>
      <c r="H2736" t="str">
        <f t="shared" si="44"/>
        <v>TASC HRA</v>
      </c>
    </row>
    <row r="2737" spans="5:8" x14ac:dyDescent="0.25">
      <c r="E2737" t="str">
        <f>""</f>
        <v/>
      </c>
      <c r="F2737" t="str">
        <f>""</f>
        <v/>
      </c>
      <c r="H2737" t="str">
        <f t="shared" si="44"/>
        <v>TASC HRA</v>
      </c>
    </row>
    <row r="2738" spans="5:8" x14ac:dyDescent="0.25">
      <c r="E2738" t="str">
        <f>""</f>
        <v/>
      </c>
      <c r="F2738" t="str">
        <f>""</f>
        <v/>
      </c>
      <c r="H2738" t="str">
        <f t="shared" si="44"/>
        <v>TASC HRA</v>
      </c>
    </row>
    <row r="2739" spans="5:8" x14ac:dyDescent="0.25">
      <c r="E2739" t="str">
        <f>""</f>
        <v/>
      </c>
      <c r="F2739" t="str">
        <f>""</f>
        <v/>
      </c>
      <c r="H2739" t="str">
        <f t="shared" si="44"/>
        <v>TASC HRA</v>
      </c>
    </row>
    <row r="2740" spans="5:8" x14ac:dyDescent="0.25">
      <c r="E2740" t="str">
        <f>""</f>
        <v/>
      </c>
      <c r="F2740" t="str">
        <f>""</f>
        <v/>
      </c>
      <c r="H2740" t="str">
        <f t="shared" si="44"/>
        <v>TASC HRA</v>
      </c>
    </row>
    <row r="2741" spans="5:8" x14ac:dyDescent="0.25">
      <c r="E2741" t="str">
        <f>""</f>
        <v/>
      </c>
      <c r="F2741" t="str">
        <f>""</f>
        <v/>
      </c>
      <c r="H2741" t="str">
        <f t="shared" si="44"/>
        <v>TASC HRA</v>
      </c>
    </row>
    <row r="2742" spans="5:8" x14ac:dyDescent="0.25">
      <c r="E2742" t="str">
        <f>""</f>
        <v/>
      </c>
      <c r="F2742" t="str">
        <f>""</f>
        <v/>
      </c>
      <c r="H2742" t="str">
        <f t="shared" si="44"/>
        <v>TASC HRA</v>
      </c>
    </row>
    <row r="2743" spans="5:8" x14ac:dyDescent="0.25">
      <c r="E2743" t="str">
        <f>""</f>
        <v/>
      </c>
      <c r="F2743" t="str">
        <f>""</f>
        <v/>
      </c>
      <c r="H2743" t="str">
        <f t="shared" si="44"/>
        <v>TASC HRA</v>
      </c>
    </row>
    <row r="2744" spans="5:8" x14ac:dyDescent="0.25">
      <c r="E2744" t="str">
        <f>""</f>
        <v/>
      </c>
      <c r="F2744" t="str">
        <f>""</f>
        <v/>
      </c>
      <c r="H2744" t="str">
        <f t="shared" si="44"/>
        <v>TASC HRA</v>
      </c>
    </row>
    <row r="2745" spans="5:8" x14ac:dyDescent="0.25">
      <c r="E2745" t="str">
        <f>""</f>
        <v/>
      </c>
      <c r="F2745" t="str">
        <f>""</f>
        <v/>
      </c>
      <c r="H2745" t="str">
        <f t="shared" si="44"/>
        <v>TASC HRA</v>
      </c>
    </row>
    <row r="2746" spans="5:8" x14ac:dyDescent="0.25">
      <c r="E2746" t="str">
        <f>""</f>
        <v/>
      </c>
      <c r="F2746" t="str">
        <f>""</f>
        <v/>
      </c>
      <c r="H2746" t="str">
        <f t="shared" si="44"/>
        <v>TASC HRA</v>
      </c>
    </row>
    <row r="2747" spans="5:8" x14ac:dyDescent="0.25">
      <c r="E2747" t="str">
        <f>""</f>
        <v/>
      </c>
      <c r="F2747" t="str">
        <f>""</f>
        <v/>
      </c>
      <c r="H2747" t="str">
        <f t="shared" si="44"/>
        <v>TASC HRA</v>
      </c>
    </row>
    <row r="2748" spans="5:8" x14ac:dyDescent="0.25">
      <c r="E2748" t="str">
        <f>""</f>
        <v/>
      </c>
      <c r="F2748" t="str">
        <f>""</f>
        <v/>
      </c>
      <c r="H2748" t="str">
        <f t="shared" si="44"/>
        <v>TASC HRA</v>
      </c>
    </row>
    <row r="2749" spans="5:8" x14ac:dyDescent="0.25">
      <c r="E2749" t="str">
        <f>""</f>
        <v/>
      </c>
      <c r="F2749" t="str">
        <f>""</f>
        <v/>
      </c>
      <c r="H2749" t="str">
        <f t="shared" si="44"/>
        <v>TASC HRA</v>
      </c>
    </row>
    <row r="2750" spans="5:8" x14ac:dyDescent="0.25">
      <c r="E2750" t="str">
        <f>""</f>
        <v/>
      </c>
      <c r="F2750" t="str">
        <f>""</f>
        <v/>
      </c>
      <c r="H2750" t="str">
        <f t="shared" ref="H2750:H2768" si="45">"TASC HRA"</f>
        <v>TASC HRA</v>
      </c>
    </row>
    <row r="2751" spans="5:8" x14ac:dyDescent="0.25">
      <c r="E2751" t="str">
        <f>""</f>
        <v/>
      </c>
      <c r="F2751" t="str">
        <f>""</f>
        <v/>
      </c>
      <c r="H2751" t="str">
        <f t="shared" si="45"/>
        <v>TASC HRA</v>
      </c>
    </row>
    <row r="2752" spans="5:8" x14ac:dyDescent="0.25">
      <c r="E2752" t="str">
        <f>""</f>
        <v/>
      </c>
      <c r="F2752" t="str">
        <f>""</f>
        <v/>
      </c>
      <c r="H2752" t="str">
        <f t="shared" si="45"/>
        <v>TASC HRA</v>
      </c>
    </row>
    <row r="2753" spans="5:8" x14ac:dyDescent="0.25">
      <c r="E2753" t="str">
        <f>""</f>
        <v/>
      </c>
      <c r="F2753" t="str">
        <f>""</f>
        <v/>
      </c>
      <c r="H2753" t="str">
        <f t="shared" si="45"/>
        <v>TASC HRA</v>
      </c>
    </row>
    <row r="2754" spans="5:8" x14ac:dyDescent="0.25">
      <c r="E2754" t="str">
        <f>""</f>
        <v/>
      </c>
      <c r="F2754" t="str">
        <f>""</f>
        <v/>
      </c>
      <c r="H2754" t="str">
        <f t="shared" si="45"/>
        <v>TASC HRA</v>
      </c>
    </row>
    <row r="2755" spans="5:8" x14ac:dyDescent="0.25">
      <c r="E2755" t="str">
        <f>""</f>
        <v/>
      </c>
      <c r="F2755" t="str">
        <f>""</f>
        <v/>
      </c>
      <c r="H2755" t="str">
        <f t="shared" si="45"/>
        <v>TASC HRA</v>
      </c>
    </row>
    <row r="2756" spans="5:8" x14ac:dyDescent="0.25">
      <c r="E2756" t="str">
        <f>""</f>
        <v/>
      </c>
      <c r="F2756" t="str">
        <f>""</f>
        <v/>
      </c>
      <c r="H2756" t="str">
        <f t="shared" si="45"/>
        <v>TASC HRA</v>
      </c>
    </row>
    <row r="2757" spans="5:8" x14ac:dyDescent="0.25">
      <c r="E2757" t="str">
        <f>""</f>
        <v/>
      </c>
      <c r="F2757" t="str">
        <f>""</f>
        <v/>
      </c>
      <c r="H2757" t="str">
        <f t="shared" si="45"/>
        <v>TASC HRA</v>
      </c>
    </row>
    <row r="2758" spans="5:8" x14ac:dyDescent="0.25">
      <c r="E2758" t="str">
        <f>""</f>
        <v/>
      </c>
      <c r="F2758" t="str">
        <f>""</f>
        <v/>
      </c>
      <c r="H2758" t="str">
        <f t="shared" si="45"/>
        <v>TASC HRA</v>
      </c>
    </row>
    <row r="2759" spans="5:8" x14ac:dyDescent="0.25">
      <c r="E2759" t="str">
        <f>""</f>
        <v/>
      </c>
      <c r="F2759" t="str">
        <f>""</f>
        <v/>
      </c>
      <c r="H2759" t="str">
        <f t="shared" si="45"/>
        <v>TASC HRA</v>
      </c>
    </row>
    <row r="2760" spans="5:8" x14ac:dyDescent="0.25">
      <c r="E2760" t="str">
        <f>""</f>
        <v/>
      </c>
      <c r="F2760" t="str">
        <f>""</f>
        <v/>
      </c>
      <c r="H2760" t="str">
        <f t="shared" si="45"/>
        <v>TASC HRA</v>
      </c>
    </row>
    <row r="2761" spans="5:8" x14ac:dyDescent="0.25">
      <c r="E2761" t="str">
        <f>""</f>
        <v/>
      </c>
      <c r="F2761" t="str">
        <f>""</f>
        <v/>
      </c>
      <c r="H2761" t="str">
        <f t="shared" si="45"/>
        <v>TASC HRA</v>
      </c>
    </row>
    <row r="2762" spans="5:8" x14ac:dyDescent="0.25">
      <c r="E2762" t="str">
        <f>""</f>
        <v/>
      </c>
      <c r="F2762" t="str">
        <f>""</f>
        <v/>
      </c>
      <c r="H2762" t="str">
        <f t="shared" si="45"/>
        <v>TASC HRA</v>
      </c>
    </row>
    <row r="2763" spans="5:8" x14ac:dyDescent="0.25">
      <c r="E2763" t="str">
        <f>""</f>
        <v/>
      </c>
      <c r="F2763" t="str">
        <f>""</f>
        <v/>
      </c>
      <c r="H2763" t="str">
        <f t="shared" si="45"/>
        <v>TASC HRA</v>
      </c>
    </row>
    <row r="2764" spans="5:8" x14ac:dyDescent="0.25">
      <c r="E2764" t="str">
        <f>""</f>
        <v/>
      </c>
      <c r="F2764" t="str">
        <f>""</f>
        <v/>
      </c>
      <c r="H2764" t="str">
        <f t="shared" si="45"/>
        <v>TASC HRA</v>
      </c>
    </row>
    <row r="2765" spans="5:8" x14ac:dyDescent="0.25">
      <c r="E2765" t="str">
        <f>""</f>
        <v/>
      </c>
      <c r="F2765" t="str">
        <f>""</f>
        <v/>
      </c>
      <c r="H2765" t="str">
        <f t="shared" si="45"/>
        <v>TASC HRA</v>
      </c>
    </row>
    <row r="2766" spans="5:8" x14ac:dyDescent="0.25">
      <c r="E2766" t="str">
        <f>""</f>
        <v/>
      </c>
      <c r="F2766" t="str">
        <f>""</f>
        <v/>
      </c>
      <c r="H2766" t="str">
        <f t="shared" si="45"/>
        <v>TASC HRA</v>
      </c>
    </row>
    <row r="2767" spans="5:8" x14ac:dyDescent="0.25">
      <c r="E2767" t="str">
        <f>""</f>
        <v/>
      </c>
      <c r="F2767" t="str">
        <f>""</f>
        <v/>
      </c>
      <c r="H2767" t="str">
        <f t="shared" si="45"/>
        <v>TASC HRA</v>
      </c>
    </row>
    <row r="2768" spans="5:8" x14ac:dyDescent="0.25">
      <c r="E2768" t="str">
        <f>"HRA201810034226"</f>
        <v>HRA201810034226</v>
      </c>
      <c r="F2768" t="str">
        <f>"TASC HRA"</f>
        <v>TASC HRA</v>
      </c>
      <c r="G2768" s="3">
        <v>6400</v>
      </c>
      <c r="H2768" t="str">
        <f t="shared" si="45"/>
        <v>TASC HRA</v>
      </c>
    </row>
    <row r="2769" spans="5:8" x14ac:dyDescent="0.25">
      <c r="E2769" t="str">
        <f>"HRF201810034225"</f>
        <v>HRF201810034225</v>
      </c>
      <c r="F2769" t="str">
        <f>"TASC - HRA FEES"</f>
        <v>TASC - HRA FEES</v>
      </c>
      <c r="G2769" s="3">
        <v>745.2</v>
      </c>
      <c r="H2769" t="str">
        <f t="shared" ref="H2769:H2800" si="46">"TASC - HRA FEES"</f>
        <v>TASC - HRA FEES</v>
      </c>
    </row>
    <row r="2770" spans="5:8" x14ac:dyDescent="0.25">
      <c r="E2770" t="str">
        <f>""</f>
        <v/>
      </c>
      <c r="F2770" t="str">
        <f>""</f>
        <v/>
      </c>
      <c r="H2770" t="str">
        <f t="shared" si="46"/>
        <v>TASC - HRA FEES</v>
      </c>
    </row>
    <row r="2771" spans="5:8" x14ac:dyDescent="0.25">
      <c r="E2771" t="str">
        <f>""</f>
        <v/>
      </c>
      <c r="F2771" t="str">
        <f>""</f>
        <v/>
      </c>
      <c r="H2771" t="str">
        <f t="shared" si="46"/>
        <v>TASC - HRA FEES</v>
      </c>
    </row>
    <row r="2772" spans="5:8" x14ac:dyDescent="0.25">
      <c r="E2772" t="str">
        <f>""</f>
        <v/>
      </c>
      <c r="F2772" t="str">
        <f>""</f>
        <v/>
      </c>
      <c r="H2772" t="str">
        <f t="shared" si="46"/>
        <v>TASC - HRA FEES</v>
      </c>
    </row>
    <row r="2773" spans="5:8" x14ac:dyDescent="0.25">
      <c r="E2773" t="str">
        <f>""</f>
        <v/>
      </c>
      <c r="F2773" t="str">
        <f>""</f>
        <v/>
      </c>
      <c r="H2773" t="str">
        <f t="shared" si="46"/>
        <v>TASC - HRA FEES</v>
      </c>
    </row>
    <row r="2774" spans="5:8" x14ac:dyDescent="0.25">
      <c r="E2774" t="str">
        <f>""</f>
        <v/>
      </c>
      <c r="F2774" t="str">
        <f>""</f>
        <v/>
      </c>
      <c r="H2774" t="str">
        <f t="shared" si="46"/>
        <v>TASC - HRA FEES</v>
      </c>
    </row>
    <row r="2775" spans="5:8" x14ac:dyDescent="0.25">
      <c r="E2775" t="str">
        <f>""</f>
        <v/>
      </c>
      <c r="F2775" t="str">
        <f>""</f>
        <v/>
      </c>
      <c r="H2775" t="str">
        <f t="shared" si="46"/>
        <v>TASC - HRA FEES</v>
      </c>
    </row>
    <row r="2776" spans="5:8" x14ac:dyDescent="0.25">
      <c r="E2776" t="str">
        <f>""</f>
        <v/>
      </c>
      <c r="F2776" t="str">
        <f>""</f>
        <v/>
      </c>
      <c r="H2776" t="str">
        <f t="shared" si="46"/>
        <v>TASC - HRA FEES</v>
      </c>
    </row>
    <row r="2777" spans="5:8" x14ac:dyDescent="0.25">
      <c r="E2777" t="str">
        <f>""</f>
        <v/>
      </c>
      <c r="F2777" t="str">
        <f>""</f>
        <v/>
      </c>
      <c r="H2777" t="str">
        <f t="shared" si="46"/>
        <v>TASC - HRA FEES</v>
      </c>
    </row>
    <row r="2778" spans="5:8" x14ac:dyDescent="0.25">
      <c r="E2778" t="str">
        <f>""</f>
        <v/>
      </c>
      <c r="F2778" t="str">
        <f>""</f>
        <v/>
      </c>
      <c r="H2778" t="str">
        <f t="shared" si="46"/>
        <v>TASC - HRA FEES</v>
      </c>
    </row>
    <row r="2779" spans="5:8" x14ac:dyDescent="0.25">
      <c r="E2779" t="str">
        <f>""</f>
        <v/>
      </c>
      <c r="F2779" t="str">
        <f>""</f>
        <v/>
      </c>
      <c r="H2779" t="str">
        <f t="shared" si="46"/>
        <v>TASC - HRA FEES</v>
      </c>
    </row>
    <row r="2780" spans="5:8" x14ac:dyDescent="0.25">
      <c r="E2780" t="str">
        <f>""</f>
        <v/>
      </c>
      <c r="F2780" t="str">
        <f>""</f>
        <v/>
      </c>
      <c r="H2780" t="str">
        <f t="shared" si="46"/>
        <v>TASC - HRA FEES</v>
      </c>
    </row>
    <row r="2781" spans="5:8" x14ac:dyDescent="0.25">
      <c r="E2781" t="str">
        <f>""</f>
        <v/>
      </c>
      <c r="F2781" t="str">
        <f>""</f>
        <v/>
      </c>
      <c r="H2781" t="str">
        <f t="shared" si="46"/>
        <v>TASC - HRA FEES</v>
      </c>
    </row>
    <row r="2782" spans="5:8" x14ac:dyDescent="0.25">
      <c r="E2782" t="str">
        <f>""</f>
        <v/>
      </c>
      <c r="F2782" t="str">
        <f>""</f>
        <v/>
      </c>
      <c r="H2782" t="str">
        <f t="shared" si="46"/>
        <v>TASC - HRA FEES</v>
      </c>
    </row>
    <row r="2783" spans="5:8" x14ac:dyDescent="0.25">
      <c r="E2783" t="str">
        <f>""</f>
        <v/>
      </c>
      <c r="F2783" t="str">
        <f>""</f>
        <v/>
      </c>
      <c r="H2783" t="str">
        <f t="shared" si="46"/>
        <v>TASC - HRA FEES</v>
      </c>
    </row>
    <row r="2784" spans="5:8" x14ac:dyDescent="0.25">
      <c r="E2784" t="str">
        <f>""</f>
        <v/>
      </c>
      <c r="F2784" t="str">
        <f>""</f>
        <v/>
      </c>
      <c r="H2784" t="str">
        <f t="shared" si="46"/>
        <v>TASC - HRA FEES</v>
      </c>
    </row>
    <row r="2785" spans="5:8" x14ac:dyDescent="0.25">
      <c r="E2785" t="str">
        <f>""</f>
        <v/>
      </c>
      <c r="F2785" t="str">
        <f>""</f>
        <v/>
      </c>
      <c r="H2785" t="str">
        <f t="shared" si="46"/>
        <v>TASC - HRA FEES</v>
      </c>
    </row>
    <row r="2786" spans="5:8" x14ac:dyDescent="0.25">
      <c r="E2786" t="str">
        <f>""</f>
        <v/>
      </c>
      <c r="F2786" t="str">
        <f>""</f>
        <v/>
      </c>
      <c r="H2786" t="str">
        <f t="shared" si="46"/>
        <v>TASC - HRA FEES</v>
      </c>
    </row>
    <row r="2787" spans="5:8" x14ac:dyDescent="0.25">
      <c r="E2787" t="str">
        <f>""</f>
        <v/>
      </c>
      <c r="F2787" t="str">
        <f>""</f>
        <v/>
      </c>
      <c r="H2787" t="str">
        <f t="shared" si="46"/>
        <v>TASC - HRA FEES</v>
      </c>
    </row>
    <row r="2788" spans="5:8" x14ac:dyDescent="0.25">
      <c r="E2788" t="str">
        <f>""</f>
        <v/>
      </c>
      <c r="F2788" t="str">
        <f>""</f>
        <v/>
      </c>
      <c r="H2788" t="str">
        <f t="shared" si="46"/>
        <v>TASC - HRA FEES</v>
      </c>
    </row>
    <row r="2789" spans="5:8" x14ac:dyDescent="0.25">
      <c r="E2789" t="str">
        <f>""</f>
        <v/>
      </c>
      <c r="F2789" t="str">
        <f>""</f>
        <v/>
      </c>
      <c r="H2789" t="str">
        <f t="shared" si="46"/>
        <v>TASC - HRA FEES</v>
      </c>
    </row>
    <row r="2790" spans="5:8" x14ac:dyDescent="0.25">
      <c r="E2790" t="str">
        <f>""</f>
        <v/>
      </c>
      <c r="F2790" t="str">
        <f>""</f>
        <v/>
      </c>
      <c r="H2790" t="str">
        <f t="shared" si="46"/>
        <v>TASC - HRA FEES</v>
      </c>
    </row>
    <row r="2791" spans="5:8" x14ac:dyDescent="0.25">
      <c r="E2791" t="str">
        <f>""</f>
        <v/>
      </c>
      <c r="F2791" t="str">
        <f>""</f>
        <v/>
      </c>
      <c r="H2791" t="str">
        <f t="shared" si="46"/>
        <v>TASC - HRA FEES</v>
      </c>
    </row>
    <row r="2792" spans="5:8" x14ac:dyDescent="0.25">
      <c r="E2792" t="str">
        <f>""</f>
        <v/>
      </c>
      <c r="F2792" t="str">
        <f>""</f>
        <v/>
      </c>
      <c r="H2792" t="str">
        <f t="shared" si="46"/>
        <v>TASC - HRA FEES</v>
      </c>
    </row>
    <row r="2793" spans="5:8" x14ac:dyDescent="0.25">
      <c r="E2793" t="str">
        <f>""</f>
        <v/>
      </c>
      <c r="F2793" t="str">
        <f>""</f>
        <v/>
      </c>
      <c r="H2793" t="str">
        <f t="shared" si="46"/>
        <v>TASC - HRA FEES</v>
      </c>
    </row>
    <row r="2794" spans="5:8" x14ac:dyDescent="0.25">
      <c r="E2794" t="str">
        <f>""</f>
        <v/>
      </c>
      <c r="F2794" t="str">
        <f>""</f>
        <v/>
      </c>
      <c r="H2794" t="str">
        <f t="shared" si="46"/>
        <v>TASC - HRA FEES</v>
      </c>
    </row>
    <row r="2795" spans="5:8" x14ac:dyDescent="0.25">
      <c r="E2795" t="str">
        <f>""</f>
        <v/>
      </c>
      <c r="F2795" t="str">
        <f>""</f>
        <v/>
      </c>
      <c r="H2795" t="str">
        <f t="shared" si="46"/>
        <v>TASC - HRA FEES</v>
      </c>
    </row>
    <row r="2796" spans="5:8" x14ac:dyDescent="0.25">
      <c r="E2796" t="str">
        <f>""</f>
        <v/>
      </c>
      <c r="F2796" t="str">
        <f>""</f>
        <v/>
      </c>
      <c r="H2796" t="str">
        <f t="shared" si="46"/>
        <v>TASC - HRA FEES</v>
      </c>
    </row>
    <row r="2797" spans="5:8" x14ac:dyDescent="0.25">
      <c r="E2797" t="str">
        <f>""</f>
        <v/>
      </c>
      <c r="F2797" t="str">
        <f>""</f>
        <v/>
      </c>
      <c r="H2797" t="str">
        <f t="shared" si="46"/>
        <v>TASC - HRA FEES</v>
      </c>
    </row>
    <row r="2798" spans="5:8" x14ac:dyDescent="0.25">
      <c r="E2798" t="str">
        <f>""</f>
        <v/>
      </c>
      <c r="F2798" t="str">
        <f>""</f>
        <v/>
      </c>
      <c r="H2798" t="str">
        <f t="shared" si="46"/>
        <v>TASC - HRA FEES</v>
      </c>
    </row>
    <row r="2799" spans="5:8" x14ac:dyDescent="0.25">
      <c r="E2799" t="str">
        <f>""</f>
        <v/>
      </c>
      <c r="F2799" t="str">
        <f>""</f>
        <v/>
      </c>
      <c r="H2799" t="str">
        <f t="shared" si="46"/>
        <v>TASC - HRA FEES</v>
      </c>
    </row>
    <row r="2800" spans="5:8" x14ac:dyDescent="0.25">
      <c r="E2800" t="str">
        <f>""</f>
        <v/>
      </c>
      <c r="F2800" t="str">
        <f>""</f>
        <v/>
      </c>
      <c r="H2800" t="str">
        <f t="shared" si="46"/>
        <v>TASC - HRA FEES</v>
      </c>
    </row>
    <row r="2801" spans="5:8" x14ac:dyDescent="0.25">
      <c r="E2801" t="str">
        <f>""</f>
        <v/>
      </c>
      <c r="F2801" t="str">
        <f>""</f>
        <v/>
      </c>
      <c r="H2801" t="str">
        <f t="shared" ref="H2801:H2819" si="47">"TASC - HRA FEES"</f>
        <v>TASC - HRA FEES</v>
      </c>
    </row>
    <row r="2802" spans="5:8" x14ac:dyDescent="0.25">
      <c r="E2802" t="str">
        <f>""</f>
        <v/>
      </c>
      <c r="F2802" t="str">
        <f>""</f>
        <v/>
      </c>
      <c r="H2802" t="str">
        <f t="shared" si="47"/>
        <v>TASC - HRA FEES</v>
      </c>
    </row>
    <row r="2803" spans="5:8" x14ac:dyDescent="0.25">
      <c r="E2803" t="str">
        <f>""</f>
        <v/>
      </c>
      <c r="F2803" t="str">
        <f>""</f>
        <v/>
      </c>
      <c r="H2803" t="str">
        <f t="shared" si="47"/>
        <v>TASC - HRA FEES</v>
      </c>
    </row>
    <row r="2804" spans="5:8" x14ac:dyDescent="0.25">
      <c r="E2804" t="str">
        <f>""</f>
        <v/>
      </c>
      <c r="F2804" t="str">
        <f>""</f>
        <v/>
      </c>
      <c r="H2804" t="str">
        <f t="shared" si="47"/>
        <v>TASC - HRA FEES</v>
      </c>
    </row>
    <row r="2805" spans="5:8" x14ac:dyDescent="0.25">
      <c r="E2805" t="str">
        <f>""</f>
        <v/>
      </c>
      <c r="F2805" t="str">
        <f>""</f>
        <v/>
      </c>
      <c r="H2805" t="str">
        <f t="shared" si="47"/>
        <v>TASC - HRA FEES</v>
      </c>
    </row>
    <row r="2806" spans="5:8" x14ac:dyDescent="0.25">
      <c r="E2806" t="str">
        <f>""</f>
        <v/>
      </c>
      <c r="F2806" t="str">
        <f>""</f>
        <v/>
      </c>
      <c r="H2806" t="str">
        <f t="shared" si="47"/>
        <v>TASC - HRA FEES</v>
      </c>
    </row>
    <row r="2807" spans="5:8" x14ac:dyDescent="0.25">
      <c r="E2807" t="str">
        <f>""</f>
        <v/>
      </c>
      <c r="F2807" t="str">
        <f>""</f>
        <v/>
      </c>
      <c r="H2807" t="str">
        <f t="shared" si="47"/>
        <v>TASC - HRA FEES</v>
      </c>
    </row>
    <row r="2808" spans="5:8" x14ac:dyDescent="0.25">
      <c r="E2808" t="str">
        <f>""</f>
        <v/>
      </c>
      <c r="F2808" t="str">
        <f>""</f>
        <v/>
      </c>
      <c r="H2808" t="str">
        <f t="shared" si="47"/>
        <v>TASC - HRA FEES</v>
      </c>
    </row>
    <row r="2809" spans="5:8" x14ac:dyDescent="0.25">
      <c r="E2809" t="str">
        <f>""</f>
        <v/>
      </c>
      <c r="F2809" t="str">
        <f>""</f>
        <v/>
      </c>
      <c r="H2809" t="str">
        <f t="shared" si="47"/>
        <v>TASC - HRA FEES</v>
      </c>
    </row>
    <row r="2810" spans="5:8" x14ac:dyDescent="0.25">
      <c r="E2810" t="str">
        <f>""</f>
        <v/>
      </c>
      <c r="F2810" t="str">
        <f>""</f>
        <v/>
      </c>
      <c r="H2810" t="str">
        <f t="shared" si="47"/>
        <v>TASC - HRA FEES</v>
      </c>
    </row>
    <row r="2811" spans="5:8" x14ac:dyDescent="0.25">
      <c r="E2811" t="str">
        <f>""</f>
        <v/>
      </c>
      <c r="F2811" t="str">
        <f>""</f>
        <v/>
      </c>
      <c r="H2811" t="str">
        <f t="shared" si="47"/>
        <v>TASC - HRA FEES</v>
      </c>
    </row>
    <row r="2812" spans="5:8" x14ac:dyDescent="0.25">
      <c r="E2812" t="str">
        <f>""</f>
        <v/>
      </c>
      <c r="F2812" t="str">
        <f>""</f>
        <v/>
      </c>
      <c r="H2812" t="str">
        <f t="shared" si="47"/>
        <v>TASC - HRA FEES</v>
      </c>
    </row>
    <row r="2813" spans="5:8" x14ac:dyDescent="0.25">
      <c r="E2813" t="str">
        <f>""</f>
        <v/>
      </c>
      <c r="F2813" t="str">
        <f>""</f>
        <v/>
      </c>
      <c r="H2813" t="str">
        <f t="shared" si="47"/>
        <v>TASC - HRA FEES</v>
      </c>
    </row>
    <row r="2814" spans="5:8" x14ac:dyDescent="0.25">
      <c r="E2814" t="str">
        <f>""</f>
        <v/>
      </c>
      <c r="F2814" t="str">
        <f>""</f>
        <v/>
      </c>
      <c r="H2814" t="str">
        <f t="shared" si="47"/>
        <v>TASC - HRA FEES</v>
      </c>
    </row>
    <row r="2815" spans="5:8" x14ac:dyDescent="0.25">
      <c r="E2815" t="str">
        <f>""</f>
        <v/>
      </c>
      <c r="F2815" t="str">
        <f>""</f>
        <v/>
      </c>
      <c r="H2815" t="str">
        <f t="shared" si="47"/>
        <v>TASC - HRA FEES</v>
      </c>
    </row>
    <row r="2816" spans="5:8" x14ac:dyDescent="0.25">
      <c r="E2816" t="str">
        <f>""</f>
        <v/>
      </c>
      <c r="F2816" t="str">
        <f>""</f>
        <v/>
      </c>
      <c r="H2816" t="str">
        <f t="shared" si="47"/>
        <v>TASC - HRA FEES</v>
      </c>
    </row>
    <row r="2817" spans="1:8" x14ac:dyDescent="0.25">
      <c r="E2817" t="str">
        <f>""</f>
        <v/>
      </c>
      <c r="F2817" t="str">
        <f>""</f>
        <v/>
      </c>
      <c r="H2817" t="str">
        <f t="shared" si="47"/>
        <v>TASC - HRA FEES</v>
      </c>
    </row>
    <row r="2818" spans="1:8" x14ac:dyDescent="0.25">
      <c r="E2818" t="str">
        <f>""</f>
        <v/>
      </c>
      <c r="F2818" t="str">
        <f>""</f>
        <v/>
      </c>
      <c r="H2818" t="str">
        <f t="shared" si="47"/>
        <v>TASC - HRA FEES</v>
      </c>
    </row>
    <row r="2819" spans="1:8" x14ac:dyDescent="0.25">
      <c r="E2819" t="str">
        <f>"HRF201810034226"</f>
        <v>HRF201810034226</v>
      </c>
      <c r="F2819" t="str">
        <f>"TASC - HRA FEES"</f>
        <v>TASC - HRA FEES</v>
      </c>
      <c r="G2819" s="3">
        <v>28.8</v>
      </c>
      <c r="H2819" t="str">
        <f t="shared" si="47"/>
        <v>TASC - HRA FEES</v>
      </c>
    </row>
    <row r="2820" spans="1:8" x14ac:dyDescent="0.25">
      <c r="A2820" t="s">
        <v>482</v>
      </c>
      <c r="B2820">
        <v>0</v>
      </c>
      <c r="C2820" s="2">
        <v>17345.48</v>
      </c>
      <c r="D2820" s="1">
        <v>43392</v>
      </c>
      <c r="E2820" t="str">
        <f>"FSA201810174606"</f>
        <v>FSA201810174606</v>
      </c>
      <c r="F2820" t="str">
        <f>"TASC FSA"</f>
        <v>TASC FSA</v>
      </c>
      <c r="G2820" s="3">
        <v>7953.56</v>
      </c>
      <c r="H2820" t="str">
        <f>"TASC FSA"</f>
        <v>TASC FSA</v>
      </c>
    </row>
    <row r="2821" spans="1:8" x14ac:dyDescent="0.25">
      <c r="E2821" t="str">
        <f>"FSA201810174607"</f>
        <v>FSA201810174607</v>
      </c>
      <c r="F2821" t="str">
        <f>"TASC FSA"</f>
        <v>TASC FSA</v>
      </c>
      <c r="G2821" s="3">
        <v>618.23</v>
      </c>
      <c r="H2821" t="str">
        <f>"TASC FSA"</f>
        <v>TASC FSA</v>
      </c>
    </row>
    <row r="2822" spans="1:8" x14ac:dyDescent="0.25">
      <c r="E2822" t="str">
        <f>"FSC201810174606"</f>
        <v>FSC201810174606</v>
      </c>
      <c r="F2822" t="str">
        <f>"TASC DEPENDENT CARE"</f>
        <v>TASC DEPENDENT CARE</v>
      </c>
      <c r="G2822" s="3">
        <v>497.29</v>
      </c>
      <c r="H2822" t="str">
        <f>"TASC DEPENDENT CARE"</f>
        <v>TASC DEPENDENT CARE</v>
      </c>
    </row>
    <row r="2823" spans="1:8" x14ac:dyDescent="0.25">
      <c r="E2823" t="str">
        <f>"FSF201810174606"</f>
        <v>FSF201810174606</v>
      </c>
      <c r="F2823" t="str">
        <f>"TASC - FSA  FEES"</f>
        <v>TASC - FSA  FEES</v>
      </c>
      <c r="G2823" s="3">
        <v>279</v>
      </c>
      <c r="H2823" t="str">
        <f t="shared" ref="H2823:H2862" si="48">"TASC - FSA  FEES"</f>
        <v>TASC - FSA  FEES</v>
      </c>
    </row>
    <row r="2824" spans="1:8" x14ac:dyDescent="0.25">
      <c r="E2824" t="str">
        <f>""</f>
        <v/>
      </c>
      <c r="F2824" t="str">
        <f>""</f>
        <v/>
      </c>
      <c r="H2824" t="str">
        <f t="shared" si="48"/>
        <v>TASC - FSA  FEES</v>
      </c>
    </row>
    <row r="2825" spans="1:8" x14ac:dyDescent="0.25">
      <c r="E2825" t="str">
        <f>""</f>
        <v/>
      </c>
      <c r="F2825" t="str">
        <f>""</f>
        <v/>
      </c>
      <c r="H2825" t="str">
        <f t="shared" si="48"/>
        <v>TASC - FSA  FEES</v>
      </c>
    </row>
    <row r="2826" spans="1:8" x14ac:dyDescent="0.25">
      <c r="E2826" t="str">
        <f>""</f>
        <v/>
      </c>
      <c r="F2826" t="str">
        <f>""</f>
        <v/>
      </c>
      <c r="H2826" t="str">
        <f t="shared" si="48"/>
        <v>TASC - FSA  FEES</v>
      </c>
    </row>
    <row r="2827" spans="1:8" x14ac:dyDescent="0.25">
      <c r="E2827" t="str">
        <f>""</f>
        <v/>
      </c>
      <c r="F2827" t="str">
        <f>""</f>
        <v/>
      </c>
      <c r="H2827" t="str">
        <f t="shared" si="48"/>
        <v>TASC - FSA  FEES</v>
      </c>
    </row>
    <row r="2828" spans="1:8" x14ac:dyDescent="0.25">
      <c r="E2828" t="str">
        <f>""</f>
        <v/>
      </c>
      <c r="F2828" t="str">
        <f>""</f>
        <v/>
      </c>
      <c r="H2828" t="str">
        <f t="shared" si="48"/>
        <v>TASC - FSA  FEES</v>
      </c>
    </row>
    <row r="2829" spans="1:8" x14ac:dyDescent="0.25">
      <c r="E2829" t="str">
        <f>""</f>
        <v/>
      </c>
      <c r="F2829" t="str">
        <f>""</f>
        <v/>
      </c>
      <c r="H2829" t="str">
        <f t="shared" si="48"/>
        <v>TASC - FSA  FEES</v>
      </c>
    </row>
    <row r="2830" spans="1:8" x14ac:dyDescent="0.25">
      <c r="E2830" t="str">
        <f>""</f>
        <v/>
      </c>
      <c r="F2830" t="str">
        <f>""</f>
        <v/>
      </c>
      <c r="H2830" t="str">
        <f t="shared" si="48"/>
        <v>TASC - FSA  FEES</v>
      </c>
    </row>
    <row r="2831" spans="1:8" x14ac:dyDescent="0.25">
      <c r="E2831" t="str">
        <f>""</f>
        <v/>
      </c>
      <c r="F2831" t="str">
        <f>""</f>
        <v/>
      </c>
      <c r="H2831" t="str">
        <f t="shared" si="48"/>
        <v>TASC - FSA  FEES</v>
      </c>
    </row>
    <row r="2832" spans="1:8" x14ac:dyDescent="0.25">
      <c r="E2832" t="str">
        <f>""</f>
        <v/>
      </c>
      <c r="F2832" t="str">
        <f>""</f>
        <v/>
      </c>
      <c r="H2832" t="str">
        <f t="shared" si="48"/>
        <v>TASC - FSA  FEES</v>
      </c>
    </row>
    <row r="2833" spans="5:8" x14ac:dyDescent="0.25">
      <c r="E2833" t="str">
        <f>""</f>
        <v/>
      </c>
      <c r="F2833" t="str">
        <f>""</f>
        <v/>
      </c>
      <c r="H2833" t="str">
        <f t="shared" si="48"/>
        <v>TASC - FSA  FEES</v>
      </c>
    </row>
    <row r="2834" spans="5:8" x14ac:dyDescent="0.25">
      <c r="E2834" t="str">
        <f>""</f>
        <v/>
      </c>
      <c r="F2834" t="str">
        <f>""</f>
        <v/>
      </c>
      <c r="H2834" t="str">
        <f t="shared" si="48"/>
        <v>TASC - FSA  FEES</v>
      </c>
    </row>
    <row r="2835" spans="5:8" x14ac:dyDescent="0.25">
      <c r="E2835" t="str">
        <f>""</f>
        <v/>
      </c>
      <c r="F2835" t="str">
        <f>""</f>
        <v/>
      </c>
      <c r="H2835" t="str">
        <f t="shared" si="48"/>
        <v>TASC - FSA  FEES</v>
      </c>
    </row>
    <row r="2836" spans="5:8" x14ac:dyDescent="0.25">
      <c r="E2836" t="str">
        <f>""</f>
        <v/>
      </c>
      <c r="F2836" t="str">
        <f>""</f>
        <v/>
      </c>
      <c r="H2836" t="str">
        <f t="shared" si="48"/>
        <v>TASC - FSA  FEES</v>
      </c>
    </row>
    <row r="2837" spans="5:8" x14ac:dyDescent="0.25">
      <c r="E2837" t="str">
        <f>""</f>
        <v/>
      </c>
      <c r="F2837" t="str">
        <f>""</f>
        <v/>
      </c>
      <c r="H2837" t="str">
        <f t="shared" si="48"/>
        <v>TASC - FSA  FEES</v>
      </c>
    </row>
    <row r="2838" spans="5:8" x14ac:dyDescent="0.25">
      <c r="E2838" t="str">
        <f>""</f>
        <v/>
      </c>
      <c r="F2838" t="str">
        <f>""</f>
        <v/>
      </c>
      <c r="H2838" t="str">
        <f t="shared" si="48"/>
        <v>TASC - FSA  FEES</v>
      </c>
    </row>
    <row r="2839" spans="5:8" x14ac:dyDescent="0.25">
      <c r="E2839" t="str">
        <f>""</f>
        <v/>
      </c>
      <c r="F2839" t="str">
        <f>""</f>
        <v/>
      </c>
      <c r="H2839" t="str">
        <f t="shared" si="48"/>
        <v>TASC - FSA  FEES</v>
      </c>
    </row>
    <row r="2840" spans="5:8" x14ac:dyDescent="0.25">
      <c r="E2840" t="str">
        <f>""</f>
        <v/>
      </c>
      <c r="F2840" t="str">
        <f>""</f>
        <v/>
      </c>
      <c r="H2840" t="str">
        <f t="shared" si="48"/>
        <v>TASC - FSA  FEES</v>
      </c>
    </row>
    <row r="2841" spans="5:8" x14ac:dyDescent="0.25">
      <c r="E2841" t="str">
        <f>""</f>
        <v/>
      </c>
      <c r="F2841" t="str">
        <f>""</f>
        <v/>
      </c>
      <c r="H2841" t="str">
        <f t="shared" si="48"/>
        <v>TASC - FSA  FEES</v>
      </c>
    </row>
    <row r="2842" spans="5:8" x14ac:dyDescent="0.25">
      <c r="E2842" t="str">
        <f>""</f>
        <v/>
      </c>
      <c r="F2842" t="str">
        <f>""</f>
        <v/>
      </c>
      <c r="H2842" t="str">
        <f t="shared" si="48"/>
        <v>TASC - FSA  FEES</v>
      </c>
    </row>
    <row r="2843" spans="5:8" x14ac:dyDescent="0.25">
      <c r="E2843" t="str">
        <f>""</f>
        <v/>
      </c>
      <c r="F2843" t="str">
        <f>""</f>
        <v/>
      </c>
      <c r="H2843" t="str">
        <f t="shared" si="48"/>
        <v>TASC - FSA  FEES</v>
      </c>
    </row>
    <row r="2844" spans="5:8" x14ac:dyDescent="0.25">
      <c r="E2844" t="str">
        <f>""</f>
        <v/>
      </c>
      <c r="F2844" t="str">
        <f>""</f>
        <v/>
      </c>
      <c r="H2844" t="str">
        <f t="shared" si="48"/>
        <v>TASC - FSA  FEES</v>
      </c>
    </row>
    <row r="2845" spans="5:8" x14ac:dyDescent="0.25">
      <c r="E2845" t="str">
        <f>""</f>
        <v/>
      </c>
      <c r="F2845" t="str">
        <f>""</f>
        <v/>
      </c>
      <c r="H2845" t="str">
        <f t="shared" si="48"/>
        <v>TASC - FSA  FEES</v>
      </c>
    </row>
    <row r="2846" spans="5:8" x14ac:dyDescent="0.25">
      <c r="E2846" t="str">
        <f>""</f>
        <v/>
      </c>
      <c r="F2846" t="str">
        <f>""</f>
        <v/>
      </c>
      <c r="H2846" t="str">
        <f t="shared" si="48"/>
        <v>TASC - FSA  FEES</v>
      </c>
    </row>
    <row r="2847" spans="5:8" x14ac:dyDescent="0.25">
      <c r="E2847" t="str">
        <f>""</f>
        <v/>
      </c>
      <c r="F2847" t="str">
        <f>""</f>
        <v/>
      </c>
      <c r="H2847" t="str">
        <f t="shared" si="48"/>
        <v>TASC - FSA  FEES</v>
      </c>
    </row>
    <row r="2848" spans="5:8" x14ac:dyDescent="0.25">
      <c r="E2848" t="str">
        <f>""</f>
        <v/>
      </c>
      <c r="F2848" t="str">
        <f>""</f>
        <v/>
      </c>
      <c r="H2848" t="str">
        <f t="shared" si="48"/>
        <v>TASC - FSA  FEES</v>
      </c>
    </row>
    <row r="2849" spans="5:8" x14ac:dyDescent="0.25">
      <c r="E2849" t="str">
        <f>""</f>
        <v/>
      </c>
      <c r="F2849" t="str">
        <f>""</f>
        <v/>
      </c>
      <c r="H2849" t="str">
        <f t="shared" si="48"/>
        <v>TASC - FSA  FEES</v>
      </c>
    </row>
    <row r="2850" spans="5:8" x14ac:dyDescent="0.25">
      <c r="E2850" t="str">
        <f>""</f>
        <v/>
      </c>
      <c r="F2850" t="str">
        <f>""</f>
        <v/>
      </c>
      <c r="H2850" t="str">
        <f t="shared" si="48"/>
        <v>TASC - FSA  FEES</v>
      </c>
    </row>
    <row r="2851" spans="5:8" x14ac:dyDescent="0.25">
      <c r="E2851" t="str">
        <f>""</f>
        <v/>
      </c>
      <c r="F2851" t="str">
        <f>""</f>
        <v/>
      </c>
      <c r="H2851" t="str">
        <f t="shared" si="48"/>
        <v>TASC - FSA  FEES</v>
      </c>
    </row>
    <row r="2852" spans="5:8" x14ac:dyDescent="0.25">
      <c r="E2852" t="str">
        <f>""</f>
        <v/>
      </c>
      <c r="F2852" t="str">
        <f>""</f>
        <v/>
      </c>
      <c r="H2852" t="str">
        <f t="shared" si="48"/>
        <v>TASC - FSA  FEES</v>
      </c>
    </row>
    <row r="2853" spans="5:8" x14ac:dyDescent="0.25">
      <c r="E2853" t="str">
        <f>""</f>
        <v/>
      </c>
      <c r="F2853" t="str">
        <f>""</f>
        <v/>
      </c>
      <c r="H2853" t="str">
        <f t="shared" si="48"/>
        <v>TASC - FSA  FEES</v>
      </c>
    </row>
    <row r="2854" spans="5:8" x14ac:dyDescent="0.25">
      <c r="E2854" t="str">
        <f>""</f>
        <v/>
      </c>
      <c r="F2854" t="str">
        <f>""</f>
        <v/>
      </c>
      <c r="H2854" t="str">
        <f t="shared" si="48"/>
        <v>TASC - FSA  FEES</v>
      </c>
    </row>
    <row r="2855" spans="5:8" x14ac:dyDescent="0.25">
      <c r="E2855" t="str">
        <f>""</f>
        <v/>
      </c>
      <c r="F2855" t="str">
        <f>""</f>
        <v/>
      </c>
      <c r="H2855" t="str">
        <f t="shared" si="48"/>
        <v>TASC - FSA  FEES</v>
      </c>
    </row>
    <row r="2856" spans="5:8" x14ac:dyDescent="0.25">
      <c r="E2856" t="str">
        <f>""</f>
        <v/>
      </c>
      <c r="F2856" t="str">
        <f>""</f>
        <v/>
      </c>
      <c r="H2856" t="str">
        <f t="shared" si="48"/>
        <v>TASC - FSA  FEES</v>
      </c>
    </row>
    <row r="2857" spans="5:8" x14ac:dyDescent="0.25">
      <c r="E2857" t="str">
        <f>""</f>
        <v/>
      </c>
      <c r="F2857" t="str">
        <f>""</f>
        <v/>
      </c>
      <c r="H2857" t="str">
        <f t="shared" si="48"/>
        <v>TASC - FSA  FEES</v>
      </c>
    </row>
    <row r="2858" spans="5:8" x14ac:dyDescent="0.25">
      <c r="E2858" t="str">
        <f>""</f>
        <v/>
      </c>
      <c r="F2858" t="str">
        <f>""</f>
        <v/>
      </c>
      <c r="H2858" t="str">
        <f t="shared" si="48"/>
        <v>TASC - FSA  FEES</v>
      </c>
    </row>
    <row r="2859" spans="5:8" x14ac:dyDescent="0.25">
      <c r="E2859" t="str">
        <f>""</f>
        <v/>
      </c>
      <c r="F2859" t="str">
        <f>""</f>
        <v/>
      </c>
      <c r="H2859" t="str">
        <f t="shared" si="48"/>
        <v>TASC - FSA  FEES</v>
      </c>
    </row>
    <row r="2860" spans="5:8" x14ac:dyDescent="0.25">
      <c r="E2860" t="str">
        <f>""</f>
        <v/>
      </c>
      <c r="F2860" t="str">
        <f>""</f>
        <v/>
      </c>
      <c r="H2860" t="str">
        <f t="shared" si="48"/>
        <v>TASC - FSA  FEES</v>
      </c>
    </row>
    <row r="2861" spans="5:8" x14ac:dyDescent="0.25">
      <c r="E2861" t="str">
        <f>""</f>
        <v/>
      </c>
      <c r="F2861" t="str">
        <f>""</f>
        <v/>
      </c>
      <c r="H2861" t="str">
        <f t="shared" si="48"/>
        <v>TASC - FSA  FEES</v>
      </c>
    </row>
    <row r="2862" spans="5:8" x14ac:dyDescent="0.25">
      <c r="E2862" t="str">
        <f>"FSF201810174607"</f>
        <v>FSF201810174607</v>
      </c>
      <c r="F2862" t="str">
        <f>"TASC - FSA  FEES"</f>
        <v>TASC - FSA  FEES</v>
      </c>
      <c r="G2862" s="3">
        <v>14.4</v>
      </c>
      <c r="H2862" t="str">
        <f t="shared" si="48"/>
        <v>TASC - FSA  FEES</v>
      </c>
    </row>
    <row r="2863" spans="5:8" x14ac:dyDescent="0.25">
      <c r="E2863" t="str">
        <f>"HRA201810174606"</f>
        <v>HRA201810174606</v>
      </c>
      <c r="F2863" t="str">
        <f>"TASC HRA"</f>
        <v>TASC HRA</v>
      </c>
      <c r="G2863" s="3">
        <v>800</v>
      </c>
      <c r="H2863" t="str">
        <f>"TASC HRA"</f>
        <v>TASC HRA</v>
      </c>
    </row>
    <row r="2864" spans="5:8" x14ac:dyDescent="0.25">
      <c r="E2864" t="str">
        <f>""</f>
        <v/>
      </c>
      <c r="F2864" t="str">
        <f>""</f>
        <v/>
      </c>
      <c r="H2864" t="str">
        <f>"TASC HRA"</f>
        <v>TASC HRA</v>
      </c>
    </row>
    <row r="2865" spans="5:8" x14ac:dyDescent="0.25">
      <c r="E2865" t="str">
        <f>""</f>
        <v/>
      </c>
      <c r="F2865" t="str">
        <f>""</f>
        <v/>
      </c>
      <c r="H2865" t="str">
        <f>"TASC HRA"</f>
        <v>TASC HRA</v>
      </c>
    </row>
    <row r="2866" spans="5:8" x14ac:dyDescent="0.25">
      <c r="E2866" t="str">
        <f>"HRA201810174607"</f>
        <v>HRA201810174607</v>
      </c>
      <c r="F2866" t="str">
        <f>"TASC HRA"</f>
        <v>TASC HRA</v>
      </c>
      <c r="G2866" s="3">
        <v>6400</v>
      </c>
      <c r="H2866" t="str">
        <f>"TASC HRA"</f>
        <v>TASC HRA</v>
      </c>
    </row>
    <row r="2867" spans="5:8" x14ac:dyDescent="0.25">
      <c r="E2867" t="str">
        <f>"HRF201810174606"</f>
        <v>HRF201810174606</v>
      </c>
      <c r="F2867" t="str">
        <f>"TASC - HRA FEES"</f>
        <v>TASC - HRA FEES</v>
      </c>
      <c r="G2867" s="3">
        <v>754.2</v>
      </c>
      <c r="H2867" t="str">
        <f t="shared" ref="H2867:H2898" si="49">"TASC - HRA FEES"</f>
        <v>TASC - HRA FEES</v>
      </c>
    </row>
    <row r="2868" spans="5:8" x14ac:dyDescent="0.25">
      <c r="E2868" t="str">
        <f>""</f>
        <v/>
      </c>
      <c r="F2868" t="str">
        <f>""</f>
        <v/>
      </c>
      <c r="H2868" t="str">
        <f t="shared" si="49"/>
        <v>TASC - HRA FEES</v>
      </c>
    </row>
    <row r="2869" spans="5:8" x14ac:dyDescent="0.25">
      <c r="E2869" t="str">
        <f>""</f>
        <v/>
      </c>
      <c r="F2869" t="str">
        <f>""</f>
        <v/>
      </c>
      <c r="H2869" t="str">
        <f t="shared" si="49"/>
        <v>TASC - HRA FEES</v>
      </c>
    </row>
    <row r="2870" spans="5:8" x14ac:dyDescent="0.25">
      <c r="E2870" t="str">
        <f>""</f>
        <v/>
      </c>
      <c r="F2870" t="str">
        <f>""</f>
        <v/>
      </c>
      <c r="H2870" t="str">
        <f t="shared" si="49"/>
        <v>TASC - HRA FEES</v>
      </c>
    </row>
    <row r="2871" spans="5:8" x14ac:dyDescent="0.25">
      <c r="E2871" t="str">
        <f>""</f>
        <v/>
      </c>
      <c r="F2871" t="str">
        <f>""</f>
        <v/>
      </c>
      <c r="H2871" t="str">
        <f t="shared" si="49"/>
        <v>TASC - HRA FEES</v>
      </c>
    </row>
    <row r="2872" spans="5:8" x14ac:dyDescent="0.25">
      <c r="E2872" t="str">
        <f>""</f>
        <v/>
      </c>
      <c r="F2872" t="str">
        <f>""</f>
        <v/>
      </c>
      <c r="H2872" t="str">
        <f t="shared" si="49"/>
        <v>TASC - HRA FEES</v>
      </c>
    </row>
    <row r="2873" spans="5:8" x14ac:dyDescent="0.25">
      <c r="E2873" t="str">
        <f>""</f>
        <v/>
      </c>
      <c r="F2873" t="str">
        <f>""</f>
        <v/>
      </c>
      <c r="H2873" t="str">
        <f t="shared" si="49"/>
        <v>TASC - HRA FEES</v>
      </c>
    </row>
    <row r="2874" spans="5:8" x14ac:dyDescent="0.25">
      <c r="E2874" t="str">
        <f>""</f>
        <v/>
      </c>
      <c r="F2874" t="str">
        <f>""</f>
        <v/>
      </c>
      <c r="H2874" t="str">
        <f t="shared" si="49"/>
        <v>TASC - HRA FEES</v>
      </c>
    </row>
    <row r="2875" spans="5:8" x14ac:dyDescent="0.25">
      <c r="E2875" t="str">
        <f>""</f>
        <v/>
      </c>
      <c r="F2875" t="str">
        <f>""</f>
        <v/>
      </c>
      <c r="H2875" t="str">
        <f t="shared" si="49"/>
        <v>TASC - HRA FEES</v>
      </c>
    </row>
    <row r="2876" spans="5:8" x14ac:dyDescent="0.25">
      <c r="E2876" t="str">
        <f>""</f>
        <v/>
      </c>
      <c r="F2876" t="str">
        <f>""</f>
        <v/>
      </c>
      <c r="H2876" t="str">
        <f t="shared" si="49"/>
        <v>TASC - HRA FEES</v>
      </c>
    </row>
    <row r="2877" spans="5:8" x14ac:dyDescent="0.25">
      <c r="E2877" t="str">
        <f>""</f>
        <v/>
      </c>
      <c r="F2877" t="str">
        <f>""</f>
        <v/>
      </c>
      <c r="H2877" t="str">
        <f t="shared" si="49"/>
        <v>TASC - HRA FEES</v>
      </c>
    </row>
    <row r="2878" spans="5:8" x14ac:dyDescent="0.25">
      <c r="E2878" t="str">
        <f>""</f>
        <v/>
      </c>
      <c r="F2878" t="str">
        <f>""</f>
        <v/>
      </c>
      <c r="H2878" t="str">
        <f t="shared" si="49"/>
        <v>TASC - HRA FEES</v>
      </c>
    </row>
    <row r="2879" spans="5:8" x14ac:dyDescent="0.25">
      <c r="E2879" t="str">
        <f>""</f>
        <v/>
      </c>
      <c r="F2879" t="str">
        <f>""</f>
        <v/>
      </c>
      <c r="H2879" t="str">
        <f t="shared" si="49"/>
        <v>TASC - HRA FEES</v>
      </c>
    </row>
    <row r="2880" spans="5:8" x14ac:dyDescent="0.25">
      <c r="E2880" t="str">
        <f>""</f>
        <v/>
      </c>
      <c r="F2880" t="str">
        <f>""</f>
        <v/>
      </c>
      <c r="H2880" t="str">
        <f t="shared" si="49"/>
        <v>TASC - HRA FEES</v>
      </c>
    </row>
    <row r="2881" spans="5:8" x14ac:dyDescent="0.25">
      <c r="E2881" t="str">
        <f>""</f>
        <v/>
      </c>
      <c r="F2881" t="str">
        <f>""</f>
        <v/>
      </c>
      <c r="H2881" t="str">
        <f t="shared" si="49"/>
        <v>TASC - HRA FEES</v>
      </c>
    </row>
    <row r="2882" spans="5:8" x14ac:dyDescent="0.25">
      <c r="E2882" t="str">
        <f>""</f>
        <v/>
      </c>
      <c r="F2882" t="str">
        <f>""</f>
        <v/>
      </c>
      <c r="H2882" t="str">
        <f t="shared" si="49"/>
        <v>TASC - HRA FEES</v>
      </c>
    </row>
    <row r="2883" spans="5:8" x14ac:dyDescent="0.25">
      <c r="E2883" t="str">
        <f>""</f>
        <v/>
      </c>
      <c r="F2883" t="str">
        <f>""</f>
        <v/>
      </c>
      <c r="H2883" t="str">
        <f t="shared" si="49"/>
        <v>TASC - HRA FEES</v>
      </c>
    </row>
    <row r="2884" spans="5:8" x14ac:dyDescent="0.25">
      <c r="E2884" t="str">
        <f>""</f>
        <v/>
      </c>
      <c r="F2884" t="str">
        <f>""</f>
        <v/>
      </c>
      <c r="H2884" t="str">
        <f t="shared" si="49"/>
        <v>TASC - HRA FEES</v>
      </c>
    </row>
    <row r="2885" spans="5:8" x14ac:dyDescent="0.25">
      <c r="E2885" t="str">
        <f>""</f>
        <v/>
      </c>
      <c r="F2885" t="str">
        <f>""</f>
        <v/>
      </c>
      <c r="H2885" t="str">
        <f t="shared" si="49"/>
        <v>TASC - HRA FEES</v>
      </c>
    </row>
    <row r="2886" spans="5:8" x14ac:dyDescent="0.25">
      <c r="E2886" t="str">
        <f>""</f>
        <v/>
      </c>
      <c r="F2886" t="str">
        <f>""</f>
        <v/>
      </c>
      <c r="H2886" t="str">
        <f t="shared" si="49"/>
        <v>TASC - HRA FEES</v>
      </c>
    </row>
    <row r="2887" spans="5:8" x14ac:dyDescent="0.25">
      <c r="E2887" t="str">
        <f>""</f>
        <v/>
      </c>
      <c r="F2887" t="str">
        <f>""</f>
        <v/>
      </c>
      <c r="H2887" t="str">
        <f t="shared" si="49"/>
        <v>TASC - HRA FEES</v>
      </c>
    </row>
    <row r="2888" spans="5:8" x14ac:dyDescent="0.25">
      <c r="E2888" t="str">
        <f>""</f>
        <v/>
      </c>
      <c r="F2888" t="str">
        <f>""</f>
        <v/>
      </c>
      <c r="H2888" t="str">
        <f t="shared" si="49"/>
        <v>TASC - HRA FEES</v>
      </c>
    </row>
    <row r="2889" spans="5:8" x14ac:dyDescent="0.25">
      <c r="E2889" t="str">
        <f>""</f>
        <v/>
      </c>
      <c r="F2889" t="str">
        <f>""</f>
        <v/>
      </c>
      <c r="H2889" t="str">
        <f t="shared" si="49"/>
        <v>TASC - HRA FEES</v>
      </c>
    </row>
    <row r="2890" spans="5:8" x14ac:dyDescent="0.25">
      <c r="E2890" t="str">
        <f>""</f>
        <v/>
      </c>
      <c r="F2890" t="str">
        <f>""</f>
        <v/>
      </c>
      <c r="H2890" t="str">
        <f t="shared" si="49"/>
        <v>TASC - HRA FEES</v>
      </c>
    </row>
    <row r="2891" spans="5:8" x14ac:dyDescent="0.25">
      <c r="E2891" t="str">
        <f>""</f>
        <v/>
      </c>
      <c r="F2891" t="str">
        <f>""</f>
        <v/>
      </c>
      <c r="H2891" t="str">
        <f t="shared" si="49"/>
        <v>TASC - HRA FEES</v>
      </c>
    </row>
    <row r="2892" spans="5:8" x14ac:dyDescent="0.25">
      <c r="E2892" t="str">
        <f>""</f>
        <v/>
      </c>
      <c r="F2892" t="str">
        <f>""</f>
        <v/>
      </c>
      <c r="H2892" t="str">
        <f t="shared" si="49"/>
        <v>TASC - HRA FEES</v>
      </c>
    </row>
    <row r="2893" spans="5:8" x14ac:dyDescent="0.25">
      <c r="E2893" t="str">
        <f>""</f>
        <v/>
      </c>
      <c r="F2893" t="str">
        <f>""</f>
        <v/>
      </c>
      <c r="H2893" t="str">
        <f t="shared" si="49"/>
        <v>TASC - HRA FEES</v>
      </c>
    </row>
    <row r="2894" spans="5:8" x14ac:dyDescent="0.25">
      <c r="E2894" t="str">
        <f>""</f>
        <v/>
      </c>
      <c r="F2894" t="str">
        <f>""</f>
        <v/>
      </c>
      <c r="H2894" t="str">
        <f t="shared" si="49"/>
        <v>TASC - HRA FEES</v>
      </c>
    </row>
    <row r="2895" spans="5:8" x14ac:dyDescent="0.25">
      <c r="E2895" t="str">
        <f>""</f>
        <v/>
      </c>
      <c r="F2895" t="str">
        <f>""</f>
        <v/>
      </c>
      <c r="H2895" t="str">
        <f t="shared" si="49"/>
        <v>TASC - HRA FEES</v>
      </c>
    </row>
    <row r="2896" spans="5:8" x14ac:dyDescent="0.25">
      <c r="E2896" t="str">
        <f>""</f>
        <v/>
      </c>
      <c r="F2896" t="str">
        <f>""</f>
        <v/>
      </c>
      <c r="H2896" t="str">
        <f t="shared" si="49"/>
        <v>TASC - HRA FEES</v>
      </c>
    </row>
    <row r="2897" spans="5:8" x14ac:dyDescent="0.25">
      <c r="E2897" t="str">
        <f>""</f>
        <v/>
      </c>
      <c r="F2897" t="str">
        <f>""</f>
        <v/>
      </c>
      <c r="H2897" t="str">
        <f t="shared" si="49"/>
        <v>TASC - HRA FEES</v>
      </c>
    </row>
    <row r="2898" spans="5:8" x14ac:dyDescent="0.25">
      <c r="E2898" t="str">
        <f>""</f>
        <v/>
      </c>
      <c r="F2898" t="str">
        <f>""</f>
        <v/>
      </c>
      <c r="H2898" t="str">
        <f t="shared" si="49"/>
        <v>TASC - HRA FEES</v>
      </c>
    </row>
    <row r="2899" spans="5:8" x14ac:dyDescent="0.25">
      <c r="E2899" t="str">
        <f>""</f>
        <v/>
      </c>
      <c r="F2899" t="str">
        <f>""</f>
        <v/>
      </c>
      <c r="H2899" t="str">
        <f t="shared" ref="H2899:H2915" si="50">"TASC - HRA FEES"</f>
        <v>TASC - HRA FEES</v>
      </c>
    </row>
    <row r="2900" spans="5:8" x14ac:dyDescent="0.25">
      <c r="E2900" t="str">
        <f>""</f>
        <v/>
      </c>
      <c r="F2900" t="str">
        <f>""</f>
        <v/>
      </c>
      <c r="H2900" t="str">
        <f t="shared" si="50"/>
        <v>TASC - HRA FEES</v>
      </c>
    </row>
    <row r="2901" spans="5:8" x14ac:dyDescent="0.25">
      <c r="E2901" t="str">
        <f>""</f>
        <v/>
      </c>
      <c r="F2901" t="str">
        <f>""</f>
        <v/>
      </c>
      <c r="H2901" t="str">
        <f t="shared" si="50"/>
        <v>TASC - HRA FEES</v>
      </c>
    </row>
    <row r="2902" spans="5:8" x14ac:dyDescent="0.25">
      <c r="E2902" t="str">
        <f>""</f>
        <v/>
      </c>
      <c r="F2902" t="str">
        <f>""</f>
        <v/>
      </c>
      <c r="H2902" t="str">
        <f t="shared" si="50"/>
        <v>TASC - HRA FEES</v>
      </c>
    </row>
    <row r="2903" spans="5:8" x14ac:dyDescent="0.25">
      <c r="E2903" t="str">
        <f>""</f>
        <v/>
      </c>
      <c r="F2903" t="str">
        <f>""</f>
        <v/>
      </c>
      <c r="H2903" t="str">
        <f t="shared" si="50"/>
        <v>TASC - HRA FEES</v>
      </c>
    </row>
    <row r="2904" spans="5:8" x14ac:dyDescent="0.25">
      <c r="E2904" t="str">
        <f>""</f>
        <v/>
      </c>
      <c r="F2904" t="str">
        <f>""</f>
        <v/>
      </c>
      <c r="H2904" t="str">
        <f t="shared" si="50"/>
        <v>TASC - HRA FEES</v>
      </c>
    </row>
    <row r="2905" spans="5:8" x14ac:dyDescent="0.25">
      <c r="E2905" t="str">
        <f>""</f>
        <v/>
      </c>
      <c r="F2905" t="str">
        <f>""</f>
        <v/>
      </c>
      <c r="H2905" t="str">
        <f t="shared" si="50"/>
        <v>TASC - HRA FEES</v>
      </c>
    </row>
    <row r="2906" spans="5:8" x14ac:dyDescent="0.25">
      <c r="E2906" t="str">
        <f>""</f>
        <v/>
      </c>
      <c r="F2906" t="str">
        <f>""</f>
        <v/>
      </c>
      <c r="H2906" t="str">
        <f t="shared" si="50"/>
        <v>TASC - HRA FEES</v>
      </c>
    </row>
    <row r="2907" spans="5:8" x14ac:dyDescent="0.25">
      <c r="E2907" t="str">
        <f>""</f>
        <v/>
      </c>
      <c r="F2907" t="str">
        <f>""</f>
        <v/>
      </c>
      <c r="H2907" t="str">
        <f t="shared" si="50"/>
        <v>TASC - HRA FEES</v>
      </c>
    </row>
    <row r="2908" spans="5:8" x14ac:dyDescent="0.25">
      <c r="E2908" t="str">
        <f>""</f>
        <v/>
      </c>
      <c r="F2908" t="str">
        <f>""</f>
        <v/>
      </c>
      <c r="H2908" t="str">
        <f t="shared" si="50"/>
        <v>TASC - HRA FEES</v>
      </c>
    </row>
    <row r="2909" spans="5:8" x14ac:dyDescent="0.25">
      <c r="E2909" t="str">
        <f>""</f>
        <v/>
      </c>
      <c r="F2909" t="str">
        <f>""</f>
        <v/>
      </c>
      <c r="H2909" t="str">
        <f t="shared" si="50"/>
        <v>TASC - HRA FEES</v>
      </c>
    </row>
    <row r="2910" spans="5:8" x14ac:dyDescent="0.25">
      <c r="E2910" t="str">
        <f>""</f>
        <v/>
      </c>
      <c r="F2910" t="str">
        <f>""</f>
        <v/>
      </c>
      <c r="H2910" t="str">
        <f t="shared" si="50"/>
        <v>TASC - HRA FEES</v>
      </c>
    </row>
    <row r="2911" spans="5:8" x14ac:dyDescent="0.25">
      <c r="E2911" t="str">
        <f>""</f>
        <v/>
      </c>
      <c r="F2911" t="str">
        <f>""</f>
        <v/>
      </c>
      <c r="H2911" t="str">
        <f t="shared" si="50"/>
        <v>TASC - HRA FEES</v>
      </c>
    </row>
    <row r="2912" spans="5:8" x14ac:dyDescent="0.25">
      <c r="E2912" t="str">
        <f>""</f>
        <v/>
      </c>
      <c r="F2912" t="str">
        <f>""</f>
        <v/>
      </c>
      <c r="H2912" t="str">
        <f t="shared" si="50"/>
        <v>TASC - HRA FEES</v>
      </c>
    </row>
    <row r="2913" spans="1:8" x14ac:dyDescent="0.25">
      <c r="E2913" t="str">
        <f>""</f>
        <v/>
      </c>
      <c r="F2913" t="str">
        <f>""</f>
        <v/>
      </c>
      <c r="H2913" t="str">
        <f t="shared" si="50"/>
        <v>TASC - HRA FEES</v>
      </c>
    </row>
    <row r="2914" spans="1:8" x14ac:dyDescent="0.25">
      <c r="E2914" t="str">
        <f>""</f>
        <v/>
      </c>
      <c r="F2914" t="str">
        <f>""</f>
        <v/>
      </c>
      <c r="H2914" t="str">
        <f t="shared" si="50"/>
        <v>TASC - HRA FEES</v>
      </c>
    </row>
    <row r="2915" spans="1:8" x14ac:dyDescent="0.25">
      <c r="E2915" t="str">
        <f>"HRF201810174607"</f>
        <v>HRF201810174607</v>
      </c>
      <c r="F2915" t="str">
        <f>"TASC - HRA FEES"</f>
        <v>TASC - HRA FEES</v>
      </c>
      <c r="G2915" s="3">
        <v>28.8</v>
      </c>
      <c r="H2915" t="str">
        <f t="shared" si="50"/>
        <v>TASC - HRA FEES</v>
      </c>
    </row>
    <row r="2916" spans="1:8" x14ac:dyDescent="0.25">
      <c r="A2916" t="s">
        <v>575</v>
      </c>
      <c r="B2916">
        <v>0</v>
      </c>
      <c r="C2916" s="2">
        <v>3852.94</v>
      </c>
      <c r="D2916" s="1">
        <v>43378</v>
      </c>
      <c r="E2916" t="str">
        <f>"C18201810034226"</f>
        <v>C18201810034226</v>
      </c>
      <c r="F2916" t="str">
        <f>"CAUSE# 0011635329"</f>
        <v>CAUSE# 0011635329</v>
      </c>
      <c r="G2916" s="3">
        <v>603.23</v>
      </c>
      <c r="H2916" t="str">
        <f>"CAUSE# 0011635329"</f>
        <v>CAUSE# 0011635329</v>
      </c>
    </row>
    <row r="2917" spans="1:8" x14ac:dyDescent="0.25">
      <c r="E2917" t="str">
        <f>"C2 201810034226"</f>
        <v>C2 201810034226</v>
      </c>
      <c r="F2917" t="str">
        <f>"0012982132CCL7445"</f>
        <v>0012982132CCL7445</v>
      </c>
      <c r="G2917" s="3">
        <v>692.31</v>
      </c>
      <c r="H2917" t="str">
        <f>"0012982132CCL7445"</f>
        <v>0012982132CCL7445</v>
      </c>
    </row>
    <row r="2918" spans="1:8" x14ac:dyDescent="0.25">
      <c r="E2918" t="str">
        <f>"C20201810034225"</f>
        <v>C20201810034225</v>
      </c>
      <c r="F2918" t="str">
        <f>"001003981107-12252"</f>
        <v>001003981107-12252</v>
      </c>
      <c r="G2918" s="3">
        <v>115.39</v>
      </c>
      <c r="H2918" t="str">
        <f>"001003981107-12252"</f>
        <v>001003981107-12252</v>
      </c>
    </row>
    <row r="2919" spans="1:8" x14ac:dyDescent="0.25">
      <c r="E2919" t="str">
        <f>"C42201810034225"</f>
        <v>C42201810034225</v>
      </c>
      <c r="F2919" t="str">
        <f>"001236769211-14410"</f>
        <v>001236769211-14410</v>
      </c>
      <c r="G2919" s="3">
        <v>230.31</v>
      </c>
      <c r="H2919" t="str">
        <f>"001236769211-14410"</f>
        <v>001236769211-14410</v>
      </c>
    </row>
    <row r="2920" spans="1:8" x14ac:dyDescent="0.25">
      <c r="E2920" t="str">
        <f>"C46201810034225"</f>
        <v>C46201810034225</v>
      </c>
      <c r="F2920" t="str">
        <f>"CAUSE# 11-14911"</f>
        <v>CAUSE# 11-14911</v>
      </c>
      <c r="G2920" s="3">
        <v>238.62</v>
      </c>
      <c r="H2920" t="str">
        <f>"CAUSE# 11-14911"</f>
        <v>CAUSE# 11-14911</v>
      </c>
    </row>
    <row r="2921" spans="1:8" x14ac:dyDescent="0.25">
      <c r="E2921" t="str">
        <f>"C53201810034225"</f>
        <v>C53201810034225</v>
      </c>
      <c r="F2921" t="str">
        <f>"0012453366"</f>
        <v>0012453366</v>
      </c>
      <c r="G2921" s="3">
        <v>138.46</v>
      </c>
      <c r="H2921" t="str">
        <f>"0012453366"</f>
        <v>0012453366</v>
      </c>
    </row>
    <row r="2922" spans="1:8" x14ac:dyDescent="0.25">
      <c r="E2922" t="str">
        <f>"C60201810034225"</f>
        <v>C60201810034225</v>
      </c>
      <c r="F2922" t="str">
        <f>"00130730762012V300"</f>
        <v>00130730762012V300</v>
      </c>
      <c r="G2922" s="3">
        <v>399.32</v>
      </c>
      <c r="H2922" t="str">
        <f>"00130730762012V300"</f>
        <v>00130730762012V300</v>
      </c>
    </row>
    <row r="2923" spans="1:8" x14ac:dyDescent="0.25">
      <c r="E2923" t="str">
        <f>"C62201810034225"</f>
        <v>C62201810034225</v>
      </c>
      <c r="F2923" t="str">
        <f>"# 0012128865"</f>
        <v># 0012128865</v>
      </c>
      <c r="G2923" s="3">
        <v>243.23</v>
      </c>
      <c r="H2923" t="str">
        <f>"# 0012128865"</f>
        <v># 0012128865</v>
      </c>
    </row>
    <row r="2924" spans="1:8" x14ac:dyDescent="0.25">
      <c r="E2924" t="str">
        <f>"C66201810034225"</f>
        <v>C66201810034225</v>
      </c>
      <c r="F2924" t="str">
        <f>"# 0012871801"</f>
        <v># 0012871801</v>
      </c>
      <c r="G2924" s="3">
        <v>90</v>
      </c>
      <c r="H2924" t="str">
        <f>"# 0012871801"</f>
        <v># 0012871801</v>
      </c>
    </row>
    <row r="2925" spans="1:8" x14ac:dyDescent="0.25">
      <c r="E2925" t="str">
        <f>"C66201810034227"</f>
        <v>C66201810034227</v>
      </c>
      <c r="F2925" t="str">
        <f>"CAUSE#D1FM13007058"</f>
        <v>CAUSE#D1FM13007058</v>
      </c>
      <c r="G2925" s="3">
        <v>138.46</v>
      </c>
      <c r="H2925" t="str">
        <f>"CAUSE#D1FM13007058"</f>
        <v>CAUSE#D1FM13007058</v>
      </c>
    </row>
    <row r="2926" spans="1:8" x14ac:dyDescent="0.25">
      <c r="E2926" t="str">
        <f>"C69201810034225"</f>
        <v>C69201810034225</v>
      </c>
      <c r="F2926" t="str">
        <f>"0012046911423672"</f>
        <v>0012046911423672</v>
      </c>
      <c r="G2926" s="3">
        <v>187.38</v>
      </c>
      <c r="H2926" t="str">
        <f>"0012046911423672"</f>
        <v>0012046911423672</v>
      </c>
    </row>
    <row r="2927" spans="1:8" x14ac:dyDescent="0.25">
      <c r="E2927" t="str">
        <f>"C70201810034225"</f>
        <v>C70201810034225</v>
      </c>
      <c r="F2927" t="str">
        <f>"00136881334235026"</f>
        <v>00136881334235026</v>
      </c>
      <c r="G2927" s="3">
        <v>257.45999999999998</v>
      </c>
      <c r="H2927" t="str">
        <f>"00136881334235026"</f>
        <v>00136881334235026</v>
      </c>
    </row>
    <row r="2928" spans="1:8" x14ac:dyDescent="0.25">
      <c r="E2928" t="str">
        <f>"C71201810034225"</f>
        <v>C71201810034225</v>
      </c>
      <c r="F2928" t="str">
        <f>"00137390532018V215"</f>
        <v>00137390532018V215</v>
      </c>
      <c r="G2928" s="3">
        <v>276.92</v>
      </c>
      <c r="H2928" t="str">
        <f>"00137390532018V215"</f>
        <v>00137390532018V215</v>
      </c>
    </row>
    <row r="2929" spans="1:8" x14ac:dyDescent="0.25">
      <c r="E2929" t="str">
        <f>"C72201810034225"</f>
        <v>C72201810034225</v>
      </c>
      <c r="F2929" t="str">
        <f>"0012797601C20130529B"</f>
        <v>0012797601C20130529B</v>
      </c>
      <c r="G2929" s="3">
        <v>241.85</v>
      </c>
      <c r="H2929" t="str">
        <f>"0012797601C20130529B"</f>
        <v>0012797601C20130529B</v>
      </c>
    </row>
    <row r="2930" spans="1:8" x14ac:dyDescent="0.25">
      <c r="A2930" t="s">
        <v>575</v>
      </c>
      <c r="B2930">
        <v>0</v>
      </c>
      <c r="C2930" s="2">
        <v>4264.63</v>
      </c>
      <c r="D2930" s="1">
        <v>43392</v>
      </c>
      <c r="E2930" t="str">
        <f>"C18201810174607"</f>
        <v>C18201810174607</v>
      </c>
      <c r="F2930" t="str">
        <f>"CAUSE# 0011635329"</f>
        <v>CAUSE# 0011635329</v>
      </c>
      <c r="G2930" s="3">
        <v>603.23</v>
      </c>
      <c r="H2930" t="str">
        <f>"CAUSE# 0011635329"</f>
        <v>CAUSE# 0011635329</v>
      </c>
    </row>
    <row r="2931" spans="1:8" x14ac:dyDescent="0.25">
      <c r="E2931" t="str">
        <f>"C2 201810174607"</f>
        <v>C2 201810174607</v>
      </c>
      <c r="F2931" t="str">
        <f>"0012982132CCL7445"</f>
        <v>0012982132CCL7445</v>
      </c>
      <c r="G2931" s="3">
        <v>692.31</v>
      </c>
      <c r="H2931" t="str">
        <f>"0012982132CCL7445"</f>
        <v>0012982132CCL7445</v>
      </c>
    </row>
    <row r="2932" spans="1:8" x14ac:dyDescent="0.25">
      <c r="E2932" t="str">
        <f>"C20201810174606"</f>
        <v>C20201810174606</v>
      </c>
      <c r="F2932" t="str">
        <f>"001003981107-12252"</f>
        <v>001003981107-12252</v>
      </c>
      <c r="G2932" s="3">
        <v>115.39</v>
      </c>
      <c r="H2932" t="str">
        <f>"001003981107-12252"</f>
        <v>001003981107-12252</v>
      </c>
    </row>
    <row r="2933" spans="1:8" x14ac:dyDescent="0.25">
      <c r="E2933" t="str">
        <f>"C42201810174606"</f>
        <v>C42201810174606</v>
      </c>
      <c r="F2933" t="str">
        <f>"001236769211-14410"</f>
        <v>001236769211-14410</v>
      </c>
      <c r="G2933" s="3">
        <v>230.31</v>
      </c>
      <c r="H2933" t="str">
        <f>"001236769211-14410"</f>
        <v>001236769211-14410</v>
      </c>
    </row>
    <row r="2934" spans="1:8" x14ac:dyDescent="0.25">
      <c r="E2934" t="str">
        <f>"C46201810174606"</f>
        <v>C46201810174606</v>
      </c>
      <c r="F2934" t="str">
        <f>"CAUSE# 11-14911"</f>
        <v>CAUSE# 11-14911</v>
      </c>
      <c r="G2934" s="3">
        <v>238.62</v>
      </c>
      <c r="H2934" t="str">
        <f>"CAUSE# 11-14911"</f>
        <v>CAUSE# 11-14911</v>
      </c>
    </row>
    <row r="2935" spans="1:8" x14ac:dyDescent="0.25">
      <c r="E2935" t="str">
        <f>"C53201810174606"</f>
        <v>C53201810174606</v>
      </c>
      <c r="F2935" t="str">
        <f>"0012453366"</f>
        <v>0012453366</v>
      </c>
      <c r="G2935" s="3">
        <v>138.46</v>
      </c>
      <c r="H2935" t="str">
        <f>"0012453366"</f>
        <v>0012453366</v>
      </c>
    </row>
    <row r="2936" spans="1:8" x14ac:dyDescent="0.25">
      <c r="E2936" t="str">
        <f>"C60201810174606"</f>
        <v>C60201810174606</v>
      </c>
      <c r="F2936" t="str">
        <f>"00130730762012V300"</f>
        <v>00130730762012V300</v>
      </c>
      <c r="G2936" s="3">
        <v>399.32</v>
      </c>
      <c r="H2936" t="str">
        <f>"00130730762012V300"</f>
        <v>00130730762012V300</v>
      </c>
    </row>
    <row r="2937" spans="1:8" x14ac:dyDescent="0.25">
      <c r="E2937" t="str">
        <f>"C62201810174606"</f>
        <v>C62201810174606</v>
      </c>
      <c r="F2937" t="str">
        <f>"# 0012128865"</f>
        <v># 0012128865</v>
      </c>
      <c r="G2937" s="3">
        <v>243.23</v>
      </c>
      <c r="H2937" t="str">
        <f>"# 0012128865"</f>
        <v># 0012128865</v>
      </c>
    </row>
    <row r="2938" spans="1:8" x14ac:dyDescent="0.25">
      <c r="E2938" t="str">
        <f>"C66201810174606"</f>
        <v>C66201810174606</v>
      </c>
      <c r="F2938" t="str">
        <f>"# 0012871801"</f>
        <v># 0012871801</v>
      </c>
      <c r="G2938" s="3">
        <v>90</v>
      </c>
      <c r="H2938" t="str">
        <f>"# 0012871801"</f>
        <v># 0012871801</v>
      </c>
    </row>
    <row r="2939" spans="1:8" x14ac:dyDescent="0.25">
      <c r="E2939" t="str">
        <f>"C66201810174608"</f>
        <v>C66201810174608</v>
      </c>
      <c r="F2939" t="str">
        <f>"CAUSE#D1FM13007058"</f>
        <v>CAUSE#D1FM13007058</v>
      </c>
      <c r="G2939" s="3">
        <v>138.46</v>
      </c>
      <c r="H2939" t="str">
        <f>"CAUSE#D1FM13007058"</f>
        <v>CAUSE#D1FM13007058</v>
      </c>
    </row>
    <row r="2940" spans="1:8" x14ac:dyDescent="0.25">
      <c r="E2940" t="str">
        <f>"C69201810174606"</f>
        <v>C69201810174606</v>
      </c>
      <c r="F2940" t="str">
        <f>"0012046911423672"</f>
        <v>0012046911423672</v>
      </c>
      <c r="G2940" s="3">
        <v>187.38</v>
      </c>
      <c r="H2940" t="str">
        <f>"0012046911423672"</f>
        <v>0012046911423672</v>
      </c>
    </row>
    <row r="2941" spans="1:8" x14ac:dyDescent="0.25">
      <c r="E2941" t="str">
        <f>"C70201810174606"</f>
        <v>C70201810174606</v>
      </c>
      <c r="F2941" t="str">
        <f>"00136881334235026"</f>
        <v>00136881334235026</v>
      </c>
      <c r="G2941" s="3">
        <v>257.45999999999998</v>
      </c>
      <c r="H2941" t="str">
        <f>"00136881334235026"</f>
        <v>00136881334235026</v>
      </c>
    </row>
    <row r="2942" spans="1:8" x14ac:dyDescent="0.25">
      <c r="E2942" t="str">
        <f>"C71201810174606"</f>
        <v>C71201810174606</v>
      </c>
      <c r="F2942" t="str">
        <f>"00137390532018V215"</f>
        <v>00137390532018V215</v>
      </c>
      <c r="G2942" s="3">
        <v>276.92</v>
      </c>
      <c r="H2942" t="str">
        <f>"00137390532018V215"</f>
        <v>00137390532018V215</v>
      </c>
    </row>
    <row r="2943" spans="1:8" x14ac:dyDescent="0.25">
      <c r="E2943" t="str">
        <f>"C72201810174606"</f>
        <v>C72201810174606</v>
      </c>
      <c r="F2943" t="str">
        <f>"0012797601C20130529B"</f>
        <v>0012797601C20130529B</v>
      </c>
      <c r="G2943" s="3">
        <v>241.85</v>
      </c>
      <c r="H2943" t="str">
        <f>"0012797601C20130529B"</f>
        <v>0012797601C20130529B</v>
      </c>
    </row>
    <row r="2944" spans="1:8" x14ac:dyDescent="0.25">
      <c r="E2944" t="str">
        <f>"C73201810174606"</f>
        <v>C73201810174606</v>
      </c>
      <c r="F2944" t="str">
        <f>"0013081098D1AG170012"</f>
        <v>0013081098D1AG170012</v>
      </c>
      <c r="G2944" s="3">
        <v>411.69</v>
      </c>
      <c r="H2944" t="str">
        <f>"0013081098D1AG170012"</f>
        <v>0013081098D1AG170012</v>
      </c>
    </row>
    <row r="2945" spans="1:8" x14ac:dyDescent="0.25">
      <c r="A2945" t="s">
        <v>576</v>
      </c>
      <c r="B2945">
        <v>0</v>
      </c>
      <c r="C2945" s="2">
        <v>330967.76</v>
      </c>
      <c r="D2945" s="1">
        <v>43392</v>
      </c>
      <c r="E2945" t="str">
        <f>"RET201810034225"</f>
        <v>RET201810034225</v>
      </c>
      <c r="F2945" t="str">
        <f>"TEXAS COUNTY &amp; DISTRICT RET"</f>
        <v>TEXAS COUNTY &amp; DISTRICT RET</v>
      </c>
      <c r="G2945" s="3">
        <v>151135.75</v>
      </c>
      <c r="H2945" t="str">
        <f t="shared" ref="H2945:H2976" si="51">"TEXAS COUNTY &amp; DISTRICT RET"</f>
        <v>TEXAS COUNTY &amp; DISTRICT RET</v>
      </c>
    </row>
    <row r="2946" spans="1:8" x14ac:dyDescent="0.25">
      <c r="E2946" t="str">
        <f>""</f>
        <v/>
      </c>
      <c r="F2946" t="str">
        <f>""</f>
        <v/>
      </c>
      <c r="H2946" t="str">
        <f t="shared" si="51"/>
        <v>TEXAS COUNTY &amp; DISTRICT RET</v>
      </c>
    </row>
    <row r="2947" spans="1:8" x14ac:dyDescent="0.25">
      <c r="E2947" t="str">
        <f>""</f>
        <v/>
      </c>
      <c r="F2947" t="str">
        <f>""</f>
        <v/>
      </c>
      <c r="H2947" t="str">
        <f t="shared" si="51"/>
        <v>TEXAS COUNTY &amp; DISTRICT RET</v>
      </c>
    </row>
    <row r="2948" spans="1:8" x14ac:dyDescent="0.25">
      <c r="E2948" t="str">
        <f>""</f>
        <v/>
      </c>
      <c r="F2948" t="str">
        <f>""</f>
        <v/>
      </c>
      <c r="H2948" t="str">
        <f t="shared" si="51"/>
        <v>TEXAS COUNTY &amp; DISTRICT RET</v>
      </c>
    </row>
    <row r="2949" spans="1:8" x14ac:dyDescent="0.25">
      <c r="E2949" t="str">
        <f>""</f>
        <v/>
      </c>
      <c r="F2949" t="str">
        <f>""</f>
        <v/>
      </c>
      <c r="H2949" t="str">
        <f t="shared" si="51"/>
        <v>TEXAS COUNTY &amp; DISTRICT RET</v>
      </c>
    </row>
    <row r="2950" spans="1:8" x14ac:dyDescent="0.25">
      <c r="E2950" t="str">
        <f>""</f>
        <v/>
      </c>
      <c r="F2950" t="str">
        <f>""</f>
        <v/>
      </c>
      <c r="H2950" t="str">
        <f t="shared" si="51"/>
        <v>TEXAS COUNTY &amp; DISTRICT RET</v>
      </c>
    </row>
    <row r="2951" spans="1:8" x14ac:dyDescent="0.25">
      <c r="E2951" t="str">
        <f>""</f>
        <v/>
      </c>
      <c r="F2951" t="str">
        <f>""</f>
        <v/>
      </c>
      <c r="H2951" t="str">
        <f t="shared" si="51"/>
        <v>TEXAS COUNTY &amp; DISTRICT RET</v>
      </c>
    </row>
    <row r="2952" spans="1:8" x14ac:dyDescent="0.25">
      <c r="E2952" t="str">
        <f>""</f>
        <v/>
      </c>
      <c r="F2952" t="str">
        <f>""</f>
        <v/>
      </c>
      <c r="H2952" t="str">
        <f t="shared" si="51"/>
        <v>TEXAS COUNTY &amp; DISTRICT RET</v>
      </c>
    </row>
    <row r="2953" spans="1:8" x14ac:dyDescent="0.25">
      <c r="E2953" t="str">
        <f>""</f>
        <v/>
      </c>
      <c r="F2953" t="str">
        <f>""</f>
        <v/>
      </c>
      <c r="H2953" t="str">
        <f t="shared" si="51"/>
        <v>TEXAS COUNTY &amp; DISTRICT RET</v>
      </c>
    </row>
    <row r="2954" spans="1:8" x14ac:dyDescent="0.25">
      <c r="E2954" t="str">
        <f>""</f>
        <v/>
      </c>
      <c r="F2954" t="str">
        <f>""</f>
        <v/>
      </c>
      <c r="H2954" t="str">
        <f t="shared" si="51"/>
        <v>TEXAS COUNTY &amp; DISTRICT RET</v>
      </c>
    </row>
    <row r="2955" spans="1:8" x14ac:dyDescent="0.25">
      <c r="E2955" t="str">
        <f>""</f>
        <v/>
      </c>
      <c r="F2955" t="str">
        <f>""</f>
        <v/>
      </c>
      <c r="H2955" t="str">
        <f t="shared" si="51"/>
        <v>TEXAS COUNTY &amp; DISTRICT RET</v>
      </c>
    </row>
    <row r="2956" spans="1:8" x14ac:dyDescent="0.25">
      <c r="E2956" t="str">
        <f>""</f>
        <v/>
      </c>
      <c r="F2956" t="str">
        <f>""</f>
        <v/>
      </c>
      <c r="H2956" t="str">
        <f t="shared" si="51"/>
        <v>TEXAS COUNTY &amp; DISTRICT RET</v>
      </c>
    </row>
    <row r="2957" spans="1:8" x14ac:dyDescent="0.25">
      <c r="E2957" t="str">
        <f>""</f>
        <v/>
      </c>
      <c r="F2957" t="str">
        <f>""</f>
        <v/>
      </c>
      <c r="H2957" t="str">
        <f t="shared" si="51"/>
        <v>TEXAS COUNTY &amp; DISTRICT RET</v>
      </c>
    </row>
    <row r="2958" spans="1:8" x14ac:dyDescent="0.25">
      <c r="E2958" t="str">
        <f>""</f>
        <v/>
      </c>
      <c r="F2958" t="str">
        <f>""</f>
        <v/>
      </c>
      <c r="H2958" t="str">
        <f t="shared" si="51"/>
        <v>TEXAS COUNTY &amp; DISTRICT RET</v>
      </c>
    </row>
    <row r="2959" spans="1:8" x14ac:dyDescent="0.25">
      <c r="E2959" t="str">
        <f>""</f>
        <v/>
      </c>
      <c r="F2959" t="str">
        <f>""</f>
        <v/>
      </c>
      <c r="H2959" t="str">
        <f t="shared" si="51"/>
        <v>TEXAS COUNTY &amp; DISTRICT RET</v>
      </c>
    </row>
    <row r="2960" spans="1:8" x14ac:dyDescent="0.25">
      <c r="E2960" t="str">
        <f>""</f>
        <v/>
      </c>
      <c r="F2960" t="str">
        <f>""</f>
        <v/>
      </c>
      <c r="H2960" t="str">
        <f t="shared" si="51"/>
        <v>TEXAS COUNTY &amp; DISTRICT RET</v>
      </c>
    </row>
    <row r="2961" spans="5:8" x14ac:dyDescent="0.25">
      <c r="E2961" t="str">
        <f>""</f>
        <v/>
      </c>
      <c r="F2961" t="str">
        <f>""</f>
        <v/>
      </c>
      <c r="H2961" t="str">
        <f t="shared" si="51"/>
        <v>TEXAS COUNTY &amp; DISTRICT RET</v>
      </c>
    </row>
    <row r="2962" spans="5:8" x14ac:dyDescent="0.25">
      <c r="E2962" t="str">
        <f>""</f>
        <v/>
      </c>
      <c r="F2962" t="str">
        <f>""</f>
        <v/>
      </c>
      <c r="H2962" t="str">
        <f t="shared" si="51"/>
        <v>TEXAS COUNTY &amp; DISTRICT RET</v>
      </c>
    </row>
    <row r="2963" spans="5:8" x14ac:dyDescent="0.25">
      <c r="E2963" t="str">
        <f>""</f>
        <v/>
      </c>
      <c r="F2963" t="str">
        <f>""</f>
        <v/>
      </c>
      <c r="H2963" t="str">
        <f t="shared" si="51"/>
        <v>TEXAS COUNTY &amp; DISTRICT RET</v>
      </c>
    </row>
    <row r="2964" spans="5:8" x14ac:dyDescent="0.25">
      <c r="E2964" t="str">
        <f>""</f>
        <v/>
      </c>
      <c r="F2964" t="str">
        <f>""</f>
        <v/>
      </c>
      <c r="H2964" t="str">
        <f t="shared" si="51"/>
        <v>TEXAS COUNTY &amp; DISTRICT RET</v>
      </c>
    </row>
    <row r="2965" spans="5:8" x14ac:dyDescent="0.25">
      <c r="E2965" t="str">
        <f>""</f>
        <v/>
      </c>
      <c r="F2965" t="str">
        <f>""</f>
        <v/>
      </c>
      <c r="H2965" t="str">
        <f t="shared" si="51"/>
        <v>TEXAS COUNTY &amp; DISTRICT RET</v>
      </c>
    </row>
    <row r="2966" spans="5:8" x14ac:dyDescent="0.25">
      <c r="E2966" t="str">
        <f>""</f>
        <v/>
      </c>
      <c r="F2966" t="str">
        <f>""</f>
        <v/>
      </c>
      <c r="H2966" t="str">
        <f t="shared" si="51"/>
        <v>TEXAS COUNTY &amp; DISTRICT RET</v>
      </c>
    </row>
    <row r="2967" spans="5:8" x14ac:dyDescent="0.25">
      <c r="E2967" t="str">
        <f>""</f>
        <v/>
      </c>
      <c r="F2967" t="str">
        <f>""</f>
        <v/>
      </c>
      <c r="H2967" t="str">
        <f t="shared" si="51"/>
        <v>TEXAS COUNTY &amp; DISTRICT RET</v>
      </c>
    </row>
    <row r="2968" spans="5:8" x14ac:dyDescent="0.25">
      <c r="E2968" t="str">
        <f>""</f>
        <v/>
      </c>
      <c r="F2968" t="str">
        <f>""</f>
        <v/>
      </c>
      <c r="H2968" t="str">
        <f t="shared" si="51"/>
        <v>TEXAS COUNTY &amp; DISTRICT RET</v>
      </c>
    </row>
    <row r="2969" spans="5:8" x14ac:dyDescent="0.25">
      <c r="E2969" t="str">
        <f>""</f>
        <v/>
      </c>
      <c r="F2969" t="str">
        <f>""</f>
        <v/>
      </c>
      <c r="H2969" t="str">
        <f t="shared" si="51"/>
        <v>TEXAS COUNTY &amp; DISTRICT RET</v>
      </c>
    </row>
    <row r="2970" spans="5:8" x14ac:dyDescent="0.25">
      <c r="E2970" t="str">
        <f>""</f>
        <v/>
      </c>
      <c r="F2970" t="str">
        <f>""</f>
        <v/>
      </c>
      <c r="H2970" t="str">
        <f t="shared" si="51"/>
        <v>TEXAS COUNTY &amp; DISTRICT RET</v>
      </c>
    </row>
    <row r="2971" spans="5:8" x14ac:dyDescent="0.25">
      <c r="E2971" t="str">
        <f>""</f>
        <v/>
      </c>
      <c r="F2971" t="str">
        <f>""</f>
        <v/>
      </c>
      <c r="H2971" t="str">
        <f t="shared" si="51"/>
        <v>TEXAS COUNTY &amp; DISTRICT RET</v>
      </c>
    </row>
    <row r="2972" spans="5:8" x14ac:dyDescent="0.25">
      <c r="E2972" t="str">
        <f>""</f>
        <v/>
      </c>
      <c r="F2972" t="str">
        <f>""</f>
        <v/>
      </c>
      <c r="H2972" t="str">
        <f t="shared" si="51"/>
        <v>TEXAS COUNTY &amp; DISTRICT RET</v>
      </c>
    </row>
    <row r="2973" spans="5:8" x14ac:dyDescent="0.25">
      <c r="E2973" t="str">
        <f>""</f>
        <v/>
      </c>
      <c r="F2973" t="str">
        <f>""</f>
        <v/>
      </c>
      <c r="H2973" t="str">
        <f t="shared" si="51"/>
        <v>TEXAS COUNTY &amp; DISTRICT RET</v>
      </c>
    </row>
    <row r="2974" spans="5:8" x14ac:dyDescent="0.25">
      <c r="E2974" t="str">
        <f>""</f>
        <v/>
      </c>
      <c r="F2974" t="str">
        <f>""</f>
        <v/>
      </c>
      <c r="H2974" t="str">
        <f t="shared" si="51"/>
        <v>TEXAS COUNTY &amp; DISTRICT RET</v>
      </c>
    </row>
    <row r="2975" spans="5:8" x14ac:dyDescent="0.25">
      <c r="E2975" t="str">
        <f>""</f>
        <v/>
      </c>
      <c r="F2975" t="str">
        <f>""</f>
        <v/>
      </c>
      <c r="H2975" t="str">
        <f t="shared" si="51"/>
        <v>TEXAS COUNTY &amp; DISTRICT RET</v>
      </c>
    </row>
    <row r="2976" spans="5:8" x14ac:dyDescent="0.25">
      <c r="E2976" t="str">
        <f>""</f>
        <v/>
      </c>
      <c r="F2976" t="str">
        <f>""</f>
        <v/>
      </c>
      <c r="H2976" t="str">
        <f t="shared" si="51"/>
        <v>TEXAS COUNTY &amp; DISTRICT RET</v>
      </c>
    </row>
    <row r="2977" spans="5:8" x14ac:dyDescent="0.25">
      <c r="E2977" t="str">
        <f>""</f>
        <v/>
      </c>
      <c r="F2977" t="str">
        <f>""</f>
        <v/>
      </c>
      <c r="H2977" t="str">
        <f t="shared" ref="H2977:H2996" si="52">"TEXAS COUNTY &amp; DISTRICT RET"</f>
        <v>TEXAS COUNTY &amp; DISTRICT RET</v>
      </c>
    </row>
    <row r="2978" spans="5:8" x14ac:dyDescent="0.25">
      <c r="E2978" t="str">
        <f>""</f>
        <v/>
      </c>
      <c r="F2978" t="str">
        <f>""</f>
        <v/>
      </c>
      <c r="H2978" t="str">
        <f t="shared" si="52"/>
        <v>TEXAS COUNTY &amp; DISTRICT RET</v>
      </c>
    </row>
    <row r="2979" spans="5:8" x14ac:dyDescent="0.25">
      <c r="E2979" t="str">
        <f>""</f>
        <v/>
      </c>
      <c r="F2979" t="str">
        <f>""</f>
        <v/>
      </c>
      <c r="H2979" t="str">
        <f t="shared" si="52"/>
        <v>TEXAS COUNTY &amp; DISTRICT RET</v>
      </c>
    </row>
    <row r="2980" spans="5:8" x14ac:dyDescent="0.25">
      <c r="E2980" t="str">
        <f>""</f>
        <v/>
      </c>
      <c r="F2980" t="str">
        <f>""</f>
        <v/>
      </c>
      <c r="H2980" t="str">
        <f t="shared" si="52"/>
        <v>TEXAS COUNTY &amp; DISTRICT RET</v>
      </c>
    </row>
    <row r="2981" spans="5:8" x14ac:dyDescent="0.25">
      <c r="E2981" t="str">
        <f>""</f>
        <v/>
      </c>
      <c r="F2981" t="str">
        <f>""</f>
        <v/>
      </c>
      <c r="H2981" t="str">
        <f t="shared" si="52"/>
        <v>TEXAS COUNTY &amp; DISTRICT RET</v>
      </c>
    </row>
    <row r="2982" spans="5:8" x14ac:dyDescent="0.25">
      <c r="E2982" t="str">
        <f>""</f>
        <v/>
      </c>
      <c r="F2982" t="str">
        <f>""</f>
        <v/>
      </c>
      <c r="H2982" t="str">
        <f t="shared" si="52"/>
        <v>TEXAS COUNTY &amp; DISTRICT RET</v>
      </c>
    </row>
    <row r="2983" spans="5:8" x14ac:dyDescent="0.25">
      <c r="E2983" t="str">
        <f>""</f>
        <v/>
      </c>
      <c r="F2983" t="str">
        <f>""</f>
        <v/>
      </c>
      <c r="H2983" t="str">
        <f t="shared" si="52"/>
        <v>TEXAS COUNTY &amp; DISTRICT RET</v>
      </c>
    </row>
    <row r="2984" spans="5:8" x14ac:dyDescent="0.25">
      <c r="E2984" t="str">
        <f>""</f>
        <v/>
      </c>
      <c r="F2984" t="str">
        <f>""</f>
        <v/>
      </c>
      <c r="H2984" t="str">
        <f t="shared" si="52"/>
        <v>TEXAS COUNTY &amp; DISTRICT RET</v>
      </c>
    </row>
    <row r="2985" spans="5:8" x14ac:dyDescent="0.25">
      <c r="E2985" t="str">
        <f>""</f>
        <v/>
      </c>
      <c r="F2985" t="str">
        <f>""</f>
        <v/>
      </c>
      <c r="H2985" t="str">
        <f t="shared" si="52"/>
        <v>TEXAS COUNTY &amp; DISTRICT RET</v>
      </c>
    </row>
    <row r="2986" spans="5:8" x14ac:dyDescent="0.25">
      <c r="E2986" t="str">
        <f>""</f>
        <v/>
      </c>
      <c r="F2986" t="str">
        <f>""</f>
        <v/>
      </c>
      <c r="H2986" t="str">
        <f t="shared" si="52"/>
        <v>TEXAS COUNTY &amp; DISTRICT RET</v>
      </c>
    </row>
    <row r="2987" spans="5:8" x14ac:dyDescent="0.25">
      <c r="E2987" t="str">
        <f>""</f>
        <v/>
      </c>
      <c r="F2987" t="str">
        <f>""</f>
        <v/>
      </c>
      <c r="H2987" t="str">
        <f t="shared" si="52"/>
        <v>TEXAS COUNTY &amp; DISTRICT RET</v>
      </c>
    </row>
    <row r="2988" spans="5:8" x14ac:dyDescent="0.25">
      <c r="E2988" t="str">
        <f>""</f>
        <v/>
      </c>
      <c r="F2988" t="str">
        <f>""</f>
        <v/>
      </c>
      <c r="H2988" t="str">
        <f t="shared" si="52"/>
        <v>TEXAS COUNTY &amp; DISTRICT RET</v>
      </c>
    </row>
    <row r="2989" spans="5:8" x14ac:dyDescent="0.25">
      <c r="E2989" t="str">
        <f>""</f>
        <v/>
      </c>
      <c r="F2989" t="str">
        <f>""</f>
        <v/>
      </c>
      <c r="H2989" t="str">
        <f t="shared" si="52"/>
        <v>TEXAS COUNTY &amp; DISTRICT RET</v>
      </c>
    </row>
    <row r="2990" spans="5:8" x14ac:dyDescent="0.25">
      <c r="E2990" t="str">
        <f>""</f>
        <v/>
      </c>
      <c r="F2990" t="str">
        <f>""</f>
        <v/>
      </c>
      <c r="H2990" t="str">
        <f t="shared" si="52"/>
        <v>TEXAS COUNTY &amp; DISTRICT RET</v>
      </c>
    </row>
    <row r="2991" spans="5:8" x14ac:dyDescent="0.25">
      <c r="E2991" t="str">
        <f>""</f>
        <v/>
      </c>
      <c r="F2991" t="str">
        <f>""</f>
        <v/>
      </c>
      <c r="H2991" t="str">
        <f t="shared" si="52"/>
        <v>TEXAS COUNTY &amp; DISTRICT RET</v>
      </c>
    </row>
    <row r="2992" spans="5:8" x14ac:dyDescent="0.25">
      <c r="E2992" t="str">
        <f>""</f>
        <v/>
      </c>
      <c r="F2992" t="str">
        <f>""</f>
        <v/>
      </c>
      <c r="H2992" t="str">
        <f t="shared" si="52"/>
        <v>TEXAS COUNTY &amp; DISTRICT RET</v>
      </c>
    </row>
    <row r="2993" spans="5:8" x14ac:dyDescent="0.25">
      <c r="E2993" t="str">
        <f>""</f>
        <v/>
      </c>
      <c r="F2993" t="str">
        <f>""</f>
        <v/>
      </c>
      <c r="H2993" t="str">
        <f t="shared" si="52"/>
        <v>TEXAS COUNTY &amp; DISTRICT RET</v>
      </c>
    </row>
    <row r="2994" spans="5:8" x14ac:dyDescent="0.25">
      <c r="E2994" t="str">
        <f>""</f>
        <v/>
      </c>
      <c r="F2994" t="str">
        <f>""</f>
        <v/>
      </c>
      <c r="H2994" t="str">
        <f t="shared" si="52"/>
        <v>TEXAS COUNTY &amp; DISTRICT RET</v>
      </c>
    </row>
    <row r="2995" spans="5:8" x14ac:dyDescent="0.25">
      <c r="E2995" t="str">
        <f>""</f>
        <v/>
      </c>
      <c r="F2995" t="str">
        <f>""</f>
        <v/>
      </c>
      <c r="H2995" t="str">
        <f t="shared" si="52"/>
        <v>TEXAS COUNTY &amp; DISTRICT RET</v>
      </c>
    </row>
    <row r="2996" spans="5:8" x14ac:dyDescent="0.25">
      <c r="E2996" t="str">
        <f>""</f>
        <v/>
      </c>
      <c r="F2996" t="str">
        <f>""</f>
        <v/>
      </c>
      <c r="H2996" t="str">
        <f t="shared" si="52"/>
        <v>TEXAS COUNTY &amp; DISTRICT RET</v>
      </c>
    </row>
    <row r="2997" spans="5:8" x14ac:dyDescent="0.25">
      <c r="E2997" t="str">
        <f>"RET201810034226"</f>
        <v>RET201810034226</v>
      </c>
      <c r="F2997" t="str">
        <f>"TEXAS COUNTY  DISTRICT RET"</f>
        <v>TEXAS COUNTY  DISTRICT RET</v>
      </c>
      <c r="G2997" s="3">
        <v>6085.38</v>
      </c>
      <c r="H2997" t="str">
        <f>"TEXAS COUNTY  DISTRICT RET"</f>
        <v>TEXAS COUNTY  DISTRICT RET</v>
      </c>
    </row>
    <row r="2998" spans="5:8" x14ac:dyDescent="0.25">
      <c r="E2998" t="str">
        <f>""</f>
        <v/>
      </c>
      <c r="F2998" t="str">
        <f>""</f>
        <v/>
      </c>
      <c r="H2998" t="str">
        <f>"TEXAS COUNTY  DISTRICT RET"</f>
        <v>TEXAS COUNTY  DISTRICT RET</v>
      </c>
    </row>
    <row r="2999" spans="5:8" x14ac:dyDescent="0.25">
      <c r="E2999" t="str">
        <f>"RET201810034227"</f>
        <v>RET201810034227</v>
      </c>
      <c r="F2999" t="str">
        <f>"TEXAS COUNTY &amp; DISTRICT RET"</f>
        <v>TEXAS COUNTY &amp; DISTRICT RET</v>
      </c>
      <c r="G2999" s="3">
        <v>7684.16</v>
      </c>
      <c r="H2999" t="str">
        <f t="shared" ref="H2999:H3030" si="53">"TEXAS COUNTY &amp; DISTRICT RET"</f>
        <v>TEXAS COUNTY &amp; DISTRICT RET</v>
      </c>
    </row>
    <row r="3000" spans="5:8" x14ac:dyDescent="0.25">
      <c r="E3000" t="str">
        <f>""</f>
        <v/>
      </c>
      <c r="F3000" t="str">
        <f>""</f>
        <v/>
      </c>
      <c r="H3000" t="str">
        <f t="shared" si="53"/>
        <v>TEXAS COUNTY &amp; DISTRICT RET</v>
      </c>
    </row>
    <row r="3001" spans="5:8" x14ac:dyDescent="0.25">
      <c r="E3001" t="str">
        <f>"RET201810174606"</f>
        <v>RET201810174606</v>
      </c>
      <c r="F3001" t="str">
        <f>"TEXAS COUNTY &amp; DISTRICT RET"</f>
        <v>TEXAS COUNTY &amp; DISTRICT RET</v>
      </c>
      <c r="G3001" s="3">
        <v>152363.56</v>
      </c>
      <c r="H3001" t="str">
        <f t="shared" si="53"/>
        <v>TEXAS COUNTY &amp; DISTRICT RET</v>
      </c>
    </row>
    <row r="3002" spans="5:8" x14ac:dyDescent="0.25">
      <c r="E3002" t="str">
        <f>""</f>
        <v/>
      </c>
      <c r="F3002" t="str">
        <f>""</f>
        <v/>
      </c>
      <c r="H3002" t="str">
        <f t="shared" si="53"/>
        <v>TEXAS COUNTY &amp; DISTRICT RET</v>
      </c>
    </row>
    <row r="3003" spans="5:8" x14ac:dyDescent="0.25">
      <c r="E3003" t="str">
        <f>""</f>
        <v/>
      </c>
      <c r="F3003" t="str">
        <f>""</f>
        <v/>
      </c>
      <c r="H3003" t="str">
        <f t="shared" si="53"/>
        <v>TEXAS COUNTY &amp; DISTRICT RET</v>
      </c>
    </row>
    <row r="3004" spans="5:8" x14ac:dyDescent="0.25">
      <c r="E3004" t="str">
        <f>""</f>
        <v/>
      </c>
      <c r="F3004" t="str">
        <f>""</f>
        <v/>
      </c>
      <c r="H3004" t="str">
        <f t="shared" si="53"/>
        <v>TEXAS COUNTY &amp; DISTRICT RET</v>
      </c>
    </row>
    <row r="3005" spans="5:8" x14ac:dyDescent="0.25">
      <c r="E3005" t="str">
        <f>""</f>
        <v/>
      </c>
      <c r="F3005" t="str">
        <f>""</f>
        <v/>
      </c>
      <c r="H3005" t="str">
        <f t="shared" si="53"/>
        <v>TEXAS COUNTY &amp; DISTRICT RET</v>
      </c>
    </row>
    <row r="3006" spans="5:8" x14ac:dyDescent="0.25">
      <c r="E3006" t="str">
        <f>""</f>
        <v/>
      </c>
      <c r="F3006" t="str">
        <f>""</f>
        <v/>
      </c>
      <c r="H3006" t="str">
        <f t="shared" si="53"/>
        <v>TEXAS COUNTY &amp; DISTRICT RET</v>
      </c>
    </row>
    <row r="3007" spans="5:8" x14ac:dyDescent="0.25">
      <c r="E3007" t="str">
        <f>""</f>
        <v/>
      </c>
      <c r="F3007" t="str">
        <f>""</f>
        <v/>
      </c>
      <c r="H3007" t="str">
        <f t="shared" si="53"/>
        <v>TEXAS COUNTY &amp; DISTRICT RET</v>
      </c>
    </row>
    <row r="3008" spans="5:8" x14ac:dyDescent="0.25">
      <c r="E3008" t="str">
        <f>""</f>
        <v/>
      </c>
      <c r="F3008" t="str">
        <f>""</f>
        <v/>
      </c>
      <c r="H3008" t="str">
        <f t="shared" si="53"/>
        <v>TEXAS COUNTY &amp; DISTRICT RET</v>
      </c>
    </row>
    <row r="3009" spans="5:8" x14ac:dyDescent="0.25">
      <c r="E3009" t="str">
        <f>""</f>
        <v/>
      </c>
      <c r="F3009" t="str">
        <f>""</f>
        <v/>
      </c>
      <c r="H3009" t="str">
        <f t="shared" si="53"/>
        <v>TEXAS COUNTY &amp; DISTRICT RET</v>
      </c>
    </row>
    <row r="3010" spans="5:8" x14ac:dyDescent="0.25">
      <c r="E3010" t="str">
        <f>""</f>
        <v/>
      </c>
      <c r="F3010" t="str">
        <f>""</f>
        <v/>
      </c>
      <c r="H3010" t="str">
        <f t="shared" si="53"/>
        <v>TEXAS COUNTY &amp; DISTRICT RET</v>
      </c>
    </row>
    <row r="3011" spans="5:8" x14ac:dyDescent="0.25">
      <c r="E3011" t="str">
        <f>""</f>
        <v/>
      </c>
      <c r="F3011" t="str">
        <f>""</f>
        <v/>
      </c>
      <c r="H3011" t="str">
        <f t="shared" si="53"/>
        <v>TEXAS COUNTY &amp; DISTRICT RET</v>
      </c>
    </row>
    <row r="3012" spans="5:8" x14ac:dyDescent="0.25">
      <c r="E3012" t="str">
        <f>""</f>
        <v/>
      </c>
      <c r="F3012" t="str">
        <f>""</f>
        <v/>
      </c>
      <c r="H3012" t="str">
        <f t="shared" si="53"/>
        <v>TEXAS COUNTY &amp; DISTRICT RET</v>
      </c>
    </row>
    <row r="3013" spans="5:8" x14ac:dyDescent="0.25">
      <c r="E3013" t="str">
        <f>""</f>
        <v/>
      </c>
      <c r="F3013" t="str">
        <f>""</f>
        <v/>
      </c>
      <c r="H3013" t="str">
        <f t="shared" si="53"/>
        <v>TEXAS COUNTY &amp; DISTRICT RET</v>
      </c>
    </row>
    <row r="3014" spans="5:8" x14ac:dyDescent="0.25">
      <c r="E3014" t="str">
        <f>""</f>
        <v/>
      </c>
      <c r="F3014" t="str">
        <f>""</f>
        <v/>
      </c>
      <c r="H3014" t="str">
        <f t="shared" si="53"/>
        <v>TEXAS COUNTY &amp; DISTRICT RET</v>
      </c>
    </row>
    <row r="3015" spans="5:8" x14ac:dyDescent="0.25">
      <c r="E3015" t="str">
        <f>""</f>
        <v/>
      </c>
      <c r="F3015" t="str">
        <f>""</f>
        <v/>
      </c>
      <c r="H3015" t="str">
        <f t="shared" si="53"/>
        <v>TEXAS COUNTY &amp; DISTRICT RET</v>
      </c>
    </row>
    <row r="3016" spans="5:8" x14ac:dyDescent="0.25">
      <c r="E3016" t="str">
        <f>""</f>
        <v/>
      </c>
      <c r="F3016" t="str">
        <f>""</f>
        <v/>
      </c>
      <c r="H3016" t="str">
        <f t="shared" si="53"/>
        <v>TEXAS COUNTY &amp; DISTRICT RET</v>
      </c>
    </row>
    <row r="3017" spans="5:8" x14ac:dyDescent="0.25">
      <c r="E3017" t="str">
        <f>""</f>
        <v/>
      </c>
      <c r="F3017" t="str">
        <f>""</f>
        <v/>
      </c>
      <c r="H3017" t="str">
        <f t="shared" si="53"/>
        <v>TEXAS COUNTY &amp; DISTRICT RET</v>
      </c>
    </row>
    <row r="3018" spans="5:8" x14ac:dyDescent="0.25">
      <c r="E3018" t="str">
        <f>""</f>
        <v/>
      </c>
      <c r="F3018" t="str">
        <f>""</f>
        <v/>
      </c>
      <c r="H3018" t="str">
        <f t="shared" si="53"/>
        <v>TEXAS COUNTY &amp; DISTRICT RET</v>
      </c>
    </row>
    <row r="3019" spans="5:8" x14ac:dyDescent="0.25">
      <c r="E3019" t="str">
        <f>""</f>
        <v/>
      </c>
      <c r="F3019" t="str">
        <f>""</f>
        <v/>
      </c>
      <c r="H3019" t="str">
        <f t="shared" si="53"/>
        <v>TEXAS COUNTY &amp; DISTRICT RET</v>
      </c>
    </row>
    <row r="3020" spans="5:8" x14ac:dyDescent="0.25">
      <c r="E3020" t="str">
        <f>""</f>
        <v/>
      </c>
      <c r="F3020" t="str">
        <f>""</f>
        <v/>
      </c>
      <c r="H3020" t="str">
        <f t="shared" si="53"/>
        <v>TEXAS COUNTY &amp; DISTRICT RET</v>
      </c>
    </row>
    <row r="3021" spans="5:8" x14ac:dyDescent="0.25">
      <c r="E3021" t="str">
        <f>""</f>
        <v/>
      </c>
      <c r="F3021" t="str">
        <f>""</f>
        <v/>
      </c>
      <c r="H3021" t="str">
        <f t="shared" si="53"/>
        <v>TEXAS COUNTY &amp; DISTRICT RET</v>
      </c>
    </row>
    <row r="3022" spans="5:8" x14ac:dyDescent="0.25">
      <c r="E3022" t="str">
        <f>""</f>
        <v/>
      </c>
      <c r="F3022" t="str">
        <f>""</f>
        <v/>
      </c>
      <c r="H3022" t="str">
        <f t="shared" si="53"/>
        <v>TEXAS COUNTY &amp; DISTRICT RET</v>
      </c>
    </row>
    <row r="3023" spans="5:8" x14ac:dyDescent="0.25">
      <c r="E3023" t="str">
        <f>""</f>
        <v/>
      </c>
      <c r="F3023" t="str">
        <f>""</f>
        <v/>
      </c>
      <c r="H3023" t="str">
        <f t="shared" si="53"/>
        <v>TEXAS COUNTY &amp; DISTRICT RET</v>
      </c>
    </row>
    <row r="3024" spans="5:8" x14ac:dyDescent="0.25">
      <c r="E3024" t="str">
        <f>""</f>
        <v/>
      </c>
      <c r="F3024" t="str">
        <f>""</f>
        <v/>
      </c>
      <c r="H3024" t="str">
        <f t="shared" si="53"/>
        <v>TEXAS COUNTY &amp; DISTRICT RET</v>
      </c>
    </row>
    <row r="3025" spans="5:8" x14ac:dyDescent="0.25">
      <c r="E3025" t="str">
        <f>""</f>
        <v/>
      </c>
      <c r="F3025" t="str">
        <f>""</f>
        <v/>
      </c>
      <c r="H3025" t="str">
        <f t="shared" si="53"/>
        <v>TEXAS COUNTY &amp; DISTRICT RET</v>
      </c>
    </row>
    <row r="3026" spans="5:8" x14ac:dyDescent="0.25">
      <c r="E3026" t="str">
        <f>""</f>
        <v/>
      </c>
      <c r="F3026" t="str">
        <f>""</f>
        <v/>
      </c>
      <c r="H3026" t="str">
        <f t="shared" si="53"/>
        <v>TEXAS COUNTY &amp; DISTRICT RET</v>
      </c>
    </row>
    <row r="3027" spans="5:8" x14ac:dyDescent="0.25">
      <c r="E3027" t="str">
        <f>""</f>
        <v/>
      </c>
      <c r="F3027" t="str">
        <f>""</f>
        <v/>
      </c>
      <c r="H3027" t="str">
        <f t="shared" si="53"/>
        <v>TEXAS COUNTY &amp; DISTRICT RET</v>
      </c>
    </row>
    <row r="3028" spans="5:8" x14ac:dyDescent="0.25">
      <c r="E3028" t="str">
        <f>""</f>
        <v/>
      </c>
      <c r="F3028" t="str">
        <f>""</f>
        <v/>
      </c>
      <c r="H3028" t="str">
        <f t="shared" si="53"/>
        <v>TEXAS COUNTY &amp; DISTRICT RET</v>
      </c>
    </row>
    <row r="3029" spans="5:8" x14ac:dyDescent="0.25">
      <c r="E3029" t="str">
        <f>""</f>
        <v/>
      </c>
      <c r="F3029" t="str">
        <f>""</f>
        <v/>
      </c>
      <c r="H3029" t="str">
        <f t="shared" si="53"/>
        <v>TEXAS COUNTY &amp; DISTRICT RET</v>
      </c>
    </row>
    <row r="3030" spans="5:8" x14ac:dyDescent="0.25">
      <c r="E3030" t="str">
        <f>""</f>
        <v/>
      </c>
      <c r="F3030" t="str">
        <f>""</f>
        <v/>
      </c>
      <c r="H3030" t="str">
        <f t="shared" si="53"/>
        <v>TEXAS COUNTY &amp; DISTRICT RET</v>
      </c>
    </row>
    <row r="3031" spans="5:8" x14ac:dyDescent="0.25">
      <c r="E3031" t="str">
        <f>""</f>
        <v/>
      </c>
      <c r="F3031" t="str">
        <f>""</f>
        <v/>
      </c>
      <c r="H3031" t="str">
        <f t="shared" ref="H3031:H3051" si="54">"TEXAS COUNTY &amp; DISTRICT RET"</f>
        <v>TEXAS COUNTY &amp; DISTRICT RET</v>
      </c>
    </row>
    <row r="3032" spans="5:8" x14ac:dyDescent="0.25">
      <c r="E3032" t="str">
        <f>""</f>
        <v/>
      </c>
      <c r="F3032" t="str">
        <f>""</f>
        <v/>
      </c>
      <c r="H3032" t="str">
        <f t="shared" si="54"/>
        <v>TEXAS COUNTY &amp; DISTRICT RET</v>
      </c>
    </row>
    <row r="3033" spans="5:8" x14ac:dyDescent="0.25">
      <c r="E3033" t="str">
        <f>""</f>
        <v/>
      </c>
      <c r="F3033" t="str">
        <f>""</f>
        <v/>
      </c>
      <c r="H3033" t="str">
        <f t="shared" si="54"/>
        <v>TEXAS COUNTY &amp; DISTRICT RET</v>
      </c>
    </row>
    <row r="3034" spans="5:8" x14ac:dyDescent="0.25">
      <c r="E3034" t="str">
        <f>""</f>
        <v/>
      </c>
      <c r="F3034" t="str">
        <f>""</f>
        <v/>
      </c>
      <c r="H3034" t="str">
        <f t="shared" si="54"/>
        <v>TEXAS COUNTY &amp; DISTRICT RET</v>
      </c>
    </row>
    <row r="3035" spans="5:8" x14ac:dyDescent="0.25">
      <c r="E3035" t="str">
        <f>""</f>
        <v/>
      </c>
      <c r="F3035" t="str">
        <f>""</f>
        <v/>
      </c>
      <c r="H3035" t="str">
        <f t="shared" si="54"/>
        <v>TEXAS COUNTY &amp; DISTRICT RET</v>
      </c>
    </row>
    <row r="3036" spans="5:8" x14ac:dyDescent="0.25">
      <c r="E3036" t="str">
        <f>""</f>
        <v/>
      </c>
      <c r="F3036" t="str">
        <f>""</f>
        <v/>
      </c>
      <c r="H3036" t="str">
        <f t="shared" si="54"/>
        <v>TEXAS COUNTY &amp; DISTRICT RET</v>
      </c>
    </row>
    <row r="3037" spans="5:8" x14ac:dyDescent="0.25">
      <c r="E3037" t="str">
        <f>""</f>
        <v/>
      </c>
      <c r="F3037" t="str">
        <f>""</f>
        <v/>
      </c>
      <c r="H3037" t="str">
        <f t="shared" si="54"/>
        <v>TEXAS COUNTY &amp; DISTRICT RET</v>
      </c>
    </row>
    <row r="3038" spans="5:8" x14ac:dyDescent="0.25">
      <c r="E3038" t="str">
        <f>""</f>
        <v/>
      </c>
      <c r="F3038" t="str">
        <f>""</f>
        <v/>
      </c>
      <c r="H3038" t="str">
        <f t="shared" si="54"/>
        <v>TEXAS COUNTY &amp; DISTRICT RET</v>
      </c>
    </row>
    <row r="3039" spans="5:8" x14ac:dyDescent="0.25">
      <c r="E3039" t="str">
        <f>""</f>
        <v/>
      </c>
      <c r="F3039" t="str">
        <f>""</f>
        <v/>
      </c>
      <c r="H3039" t="str">
        <f t="shared" si="54"/>
        <v>TEXAS COUNTY &amp; DISTRICT RET</v>
      </c>
    </row>
    <row r="3040" spans="5:8" x14ac:dyDescent="0.25">
      <c r="E3040" t="str">
        <f>""</f>
        <v/>
      </c>
      <c r="F3040" t="str">
        <f>""</f>
        <v/>
      </c>
      <c r="H3040" t="str">
        <f t="shared" si="54"/>
        <v>TEXAS COUNTY &amp; DISTRICT RET</v>
      </c>
    </row>
    <row r="3041" spans="1:8" x14ac:dyDescent="0.25">
      <c r="E3041" t="str">
        <f>""</f>
        <v/>
      </c>
      <c r="F3041" t="str">
        <f>""</f>
        <v/>
      </c>
      <c r="H3041" t="str">
        <f t="shared" si="54"/>
        <v>TEXAS COUNTY &amp; DISTRICT RET</v>
      </c>
    </row>
    <row r="3042" spans="1:8" x14ac:dyDescent="0.25">
      <c r="E3042" t="str">
        <f>""</f>
        <v/>
      </c>
      <c r="F3042" t="str">
        <f>""</f>
        <v/>
      </c>
      <c r="H3042" t="str">
        <f t="shared" si="54"/>
        <v>TEXAS COUNTY &amp; DISTRICT RET</v>
      </c>
    </row>
    <row r="3043" spans="1:8" x14ac:dyDescent="0.25">
      <c r="E3043" t="str">
        <f>""</f>
        <v/>
      </c>
      <c r="F3043" t="str">
        <f>""</f>
        <v/>
      </c>
      <c r="H3043" t="str">
        <f t="shared" si="54"/>
        <v>TEXAS COUNTY &amp; DISTRICT RET</v>
      </c>
    </row>
    <row r="3044" spans="1:8" x14ac:dyDescent="0.25">
      <c r="E3044" t="str">
        <f>""</f>
        <v/>
      </c>
      <c r="F3044" t="str">
        <f>""</f>
        <v/>
      </c>
      <c r="H3044" t="str">
        <f t="shared" si="54"/>
        <v>TEXAS COUNTY &amp; DISTRICT RET</v>
      </c>
    </row>
    <row r="3045" spans="1:8" x14ac:dyDescent="0.25">
      <c r="E3045" t="str">
        <f>""</f>
        <v/>
      </c>
      <c r="F3045" t="str">
        <f>""</f>
        <v/>
      </c>
      <c r="H3045" t="str">
        <f t="shared" si="54"/>
        <v>TEXAS COUNTY &amp; DISTRICT RET</v>
      </c>
    </row>
    <row r="3046" spans="1:8" x14ac:dyDescent="0.25">
      <c r="E3046" t="str">
        <f>""</f>
        <v/>
      </c>
      <c r="F3046" t="str">
        <f>""</f>
        <v/>
      </c>
      <c r="H3046" t="str">
        <f t="shared" si="54"/>
        <v>TEXAS COUNTY &amp; DISTRICT RET</v>
      </c>
    </row>
    <row r="3047" spans="1:8" x14ac:dyDescent="0.25">
      <c r="E3047" t="str">
        <f>""</f>
        <v/>
      </c>
      <c r="F3047" t="str">
        <f>""</f>
        <v/>
      </c>
      <c r="H3047" t="str">
        <f t="shared" si="54"/>
        <v>TEXAS COUNTY &amp; DISTRICT RET</v>
      </c>
    </row>
    <row r="3048" spans="1:8" x14ac:dyDescent="0.25">
      <c r="E3048" t="str">
        <f>""</f>
        <v/>
      </c>
      <c r="F3048" t="str">
        <f>""</f>
        <v/>
      </c>
      <c r="H3048" t="str">
        <f t="shared" si="54"/>
        <v>TEXAS COUNTY &amp; DISTRICT RET</v>
      </c>
    </row>
    <row r="3049" spans="1:8" x14ac:dyDescent="0.25">
      <c r="E3049" t="str">
        <f>""</f>
        <v/>
      </c>
      <c r="F3049" t="str">
        <f>""</f>
        <v/>
      </c>
      <c r="H3049" t="str">
        <f t="shared" si="54"/>
        <v>TEXAS COUNTY &amp; DISTRICT RET</v>
      </c>
    </row>
    <row r="3050" spans="1:8" x14ac:dyDescent="0.25">
      <c r="E3050" t="str">
        <f>""</f>
        <v/>
      </c>
      <c r="F3050" t="str">
        <f>""</f>
        <v/>
      </c>
      <c r="H3050" t="str">
        <f t="shared" si="54"/>
        <v>TEXAS COUNTY &amp; DISTRICT RET</v>
      </c>
    </row>
    <row r="3051" spans="1:8" x14ac:dyDescent="0.25">
      <c r="E3051" t="str">
        <f>""</f>
        <v/>
      </c>
      <c r="F3051" t="str">
        <f>""</f>
        <v/>
      </c>
      <c r="H3051" t="str">
        <f t="shared" si="54"/>
        <v>TEXAS COUNTY &amp; DISTRICT RET</v>
      </c>
    </row>
    <row r="3052" spans="1:8" x14ac:dyDescent="0.25">
      <c r="E3052" t="str">
        <f>"RET201810174607"</f>
        <v>RET201810174607</v>
      </c>
      <c r="F3052" t="str">
        <f>"TEXAS COUNTY  DISTRICT RET"</f>
        <v>TEXAS COUNTY  DISTRICT RET</v>
      </c>
      <c r="G3052" s="3">
        <v>6159.64</v>
      </c>
      <c r="H3052" t="str">
        <f>"TEXAS COUNTY  DISTRICT RET"</f>
        <v>TEXAS COUNTY  DISTRICT RET</v>
      </c>
    </row>
    <row r="3053" spans="1:8" x14ac:dyDescent="0.25">
      <c r="E3053" t="str">
        <f>""</f>
        <v/>
      </c>
      <c r="F3053" t="str">
        <f>""</f>
        <v/>
      </c>
      <c r="H3053" t="str">
        <f>"TEXAS COUNTY  DISTRICT RET"</f>
        <v>TEXAS COUNTY  DISTRICT RET</v>
      </c>
    </row>
    <row r="3054" spans="1:8" x14ac:dyDescent="0.25">
      <c r="E3054" t="str">
        <f>"RET201810174608"</f>
        <v>RET201810174608</v>
      </c>
      <c r="F3054" t="str">
        <f>"TEXAS COUNTY &amp; DISTRICT RET"</f>
        <v>TEXAS COUNTY &amp; DISTRICT RET</v>
      </c>
      <c r="G3054" s="3">
        <v>7539.27</v>
      </c>
      <c r="H3054" t="str">
        <f>"TEXAS COUNTY &amp; DISTRICT RET"</f>
        <v>TEXAS COUNTY &amp; DISTRICT RET</v>
      </c>
    </row>
    <row r="3055" spans="1:8" x14ac:dyDescent="0.25">
      <c r="E3055" t="str">
        <f>""</f>
        <v/>
      </c>
      <c r="F3055" t="str">
        <f>""</f>
        <v/>
      </c>
      <c r="H3055" t="str">
        <f>"TEXAS COUNTY &amp; DISTRICT RET"</f>
        <v>TEXAS COUNTY &amp; DISTRICT RET</v>
      </c>
    </row>
    <row r="3056" spans="1:8" x14ac:dyDescent="0.25">
      <c r="A3056" t="s">
        <v>577</v>
      </c>
      <c r="B3056">
        <v>46690</v>
      </c>
      <c r="C3056" s="2">
        <v>1215</v>
      </c>
      <c r="D3056" s="1">
        <v>43402</v>
      </c>
      <c r="E3056" t="str">
        <f>"LEG201810034225"</f>
        <v>LEG201810034225</v>
      </c>
      <c r="F3056" t="str">
        <f>"TEXAS LEGAL PROTECTION PLAN"</f>
        <v>TEXAS LEGAL PROTECTION PLAN</v>
      </c>
      <c r="G3056" s="3">
        <v>597.5</v>
      </c>
      <c r="H3056" t="str">
        <f>"TEXAS LEGAL PROTECTION PLAN"</f>
        <v>TEXAS LEGAL PROTECTION PLAN</v>
      </c>
    </row>
    <row r="3057" spans="2:8" x14ac:dyDescent="0.25">
      <c r="E3057" t="str">
        <f>"LEG201810174606"</f>
        <v>LEG201810174606</v>
      </c>
      <c r="F3057" t="str">
        <f>"TEXAS LEGAL PROTECTION PLAN"</f>
        <v>TEXAS LEGAL PROTECTION PLAN</v>
      </c>
      <c r="G3057" s="3">
        <v>617.5</v>
      </c>
      <c r="H3057" t="str">
        <f>"TEXAS LEGAL PROTECTION PLAN"</f>
        <v>TEXAS LEGAL PROTECTION PLAN</v>
      </c>
    </row>
    <row r="3058" spans="2:8" x14ac:dyDescent="0.25">
      <c r="B3058" s="4" t="s">
        <v>578</v>
      </c>
      <c r="C3058" s="2">
        <f>SUM(C2:C3056)</f>
        <v>4014254.2300000014</v>
      </c>
      <c r="D3058" s="1"/>
    </row>
    <row r="3059" spans="2:8" x14ac:dyDescent="0.25">
      <c r="D3059" s="1"/>
    </row>
    <row r="3060" spans="2:8" x14ac:dyDescent="0.25">
      <c r="D3060" s="1"/>
    </row>
    <row r="3061" spans="2:8" x14ac:dyDescent="0.25">
      <c r="D3061" s="1"/>
    </row>
    <row r="3062" spans="2:8" x14ac:dyDescent="0.25">
      <c r="D3062" s="1"/>
    </row>
    <row r="3063" spans="2:8" x14ac:dyDescent="0.25">
      <c r="D3063" s="1"/>
    </row>
    <row r="3064" spans="2:8" x14ac:dyDescent="0.25">
      <c r="D3064" s="1"/>
    </row>
    <row r="3065" spans="2:8" x14ac:dyDescent="0.25">
      <c r="D3065" s="1"/>
    </row>
    <row r="3066" spans="2:8" x14ac:dyDescent="0.25">
      <c r="D3066" s="1"/>
    </row>
    <row r="3067" spans="2:8" x14ac:dyDescent="0.25">
      <c r="D3067" s="1"/>
    </row>
    <row r="3068" spans="2:8" x14ac:dyDescent="0.25">
      <c r="D3068" s="1"/>
    </row>
    <row r="3069" spans="2:8" x14ac:dyDescent="0.25">
      <c r="D3069" s="1"/>
    </row>
    <row r="3070" spans="2:8" x14ac:dyDescent="0.25">
      <c r="D3070" s="1"/>
    </row>
    <row r="3071" spans="2:8" x14ac:dyDescent="0.25">
      <c r="D3071" s="1"/>
    </row>
    <row r="3072" spans="2:8" x14ac:dyDescent="0.25">
      <c r="D3072" s="1"/>
    </row>
    <row r="3073" spans="4:4" x14ac:dyDescent="0.25">
      <c r="D3073" s="1"/>
    </row>
    <row r="3074" spans="4:4" x14ac:dyDescent="0.25">
      <c r="D3074" s="1"/>
    </row>
    <row r="3075" spans="4:4" x14ac:dyDescent="0.25">
      <c r="D3075" s="1"/>
    </row>
    <row r="3076" spans="4:4" x14ac:dyDescent="0.25">
      <c r="D3076" s="1"/>
    </row>
    <row r="3077" spans="4:4" x14ac:dyDescent="0.25">
      <c r="D3077" s="1"/>
    </row>
    <row r="3078" spans="4:4" x14ac:dyDescent="0.25">
      <c r="D3078" s="1"/>
    </row>
    <row r="3079" spans="4:4" x14ac:dyDescent="0.25">
      <c r="D3079" s="1"/>
    </row>
    <row r="3080" spans="4:4" x14ac:dyDescent="0.25">
      <c r="D3080" s="1"/>
    </row>
    <row r="3081" spans="4:4" x14ac:dyDescent="0.25">
      <c r="D3081" s="1"/>
    </row>
    <row r="3082" spans="4:4" x14ac:dyDescent="0.25">
      <c r="D3082" s="1"/>
    </row>
    <row r="3083" spans="4:4" x14ac:dyDescent="0.25">
      <c r="D3083" s="1"/>
    </row>
    <row r="3084" spans="4:4" x14ac:dyDescent="0.25">
      <c r="D3084" s="1"/>
    </row>
    <row r="3085" spans="4:4" x14ac:dyDescent="0.25">
      <c r="D3085" s="1"/>
    </row>
    <row r="3086" spans="4:4" x14ac:dyDescent="0.25">
      <c r="D3086" s="1"/>
    </row>
    <row r="3087" spans="4:4" x14ac:dyDescent="0.25">
      <c r="D3087" s="1"/>
    </row>
    <row r="3088" spans="4:4" x14ac:dyDescent="0.25">
      <c r="D3088" s="1"/>
    </row>
    <row r="3089" spans="4:4" x14ac:dyDescent="0.25">
      <c r="D3089" s="1"/>
    </row>
    <row r="3090" spans="4:4" x14ac:dyDescent="0.25">
      <c r="D3090" s="1"/>
    </row>
    <row r="3091" spans="4:4" x14ac:dyDescent="0.25">
      <c r="D3091" s="1"/>
    </row>
    <row r="3092" spans="4:4" x14ac:dyDescent="0.25">
      <c r="D3092" s="1"/>
    </row>
    <row r="3093" spans="4:4" x14ac:dyDescent="0.25">
      <c r="D3093" s="1"/>
    </row>
    <row r="3094" spans="4:4" x14ac:dyDescent="0.25">
      <c r="D3094" s="1"/>
    </row>
    <row r="3095" spans="4:4" x14ac:dyDescent="0.25">
      <c r="D3095" s="1"/>
    </row>
    <row r="3096" spans="4:4" x14ac:dyDescent="0.25">
      <c r="D3096" s="1"/>
    </row>
    <row r="3097" spans="4:4" x14ac:dyDescent="0.25">
      <c r="D3097" s="1"/>
    </row>
    <row r="3098" spans="4:4" x14ac:dyDescent="0.25">
      <c r="D3098" s="1"/>
    </row>
    <row r="3099" spans="4:4" x14ac:dyDescent="0.25">
      <c r="D3099" s="1"/>
    </row>
    <row r="3100" spans="4:4" x14ac:dyDescent="0.25">
      <c r="D3100" s="1"/>
    </row>
    <row r="3101" spans="4:4" x14ac:dyDescent="0.25">
      <c r="D3101" s="1"/>
    </row>
    <row r="3102" spans="4:4" x14ac:dyDescent="0.25">
      <c r="D3102" s="1"/>
    </row>
    <row r="3103" spans="4:4" x14ac:dyDescent="0.25">
      <c r="D3103" s="1"/>
    </row>
    <row r="3104" spans="4:4" x14ac:dyDescent="0.25">
      <c r="D3104" s="1"/>
    </row>
    <row r="3105" spans="4:4" x14ac:dyDescent="0.25">
      <c r="D3105" s="1"/>
    </row>
    <row r="3106" spans="4:4" x14ac:dyDescent="0.25">
      <c r="D3106" s="1"/>
    </row>
    <row r="3107" spans="4:4" x14ac:dyDescent="0.25">
      <c r="D3107" s="1"/>
    </row>
    <row r="3108" spans="4:4" x14ac:dyDescent="0.25">
      <c r="D3108" s="1"/>
    </row>
    <row r="3109" spans="4:4" x14ac:dyDescent="0.25">
      <c r="D3109" s="1"/>
    </row>
    <row r="3110" spans="4:4" x14ac:dyDescent="0.25">
      <c r="D3110" s="1"/>
    </row>
    <row r="3111" spans="4:4" x14ac:dyDescent="0.25">
      <c r="D3111" s="1"/>
    </row>
    <row r="3112" spans="4:4" x14ac:dyDescent="0.25">
      <c r="D3112" s="1"/>
    </row>
    <row r="3113" spans="4:4" x14ac:dyDescent="0.25">
      <c r="D3113" s="1"/>
    </row>
    <row r="3114" spans="4:4" x14ac:dyDescent="0.25">
      <c r="D3114" s="1"/>
    </row>
    <row r="3115" spans="4:4" x14ac:dyDescent="0.25">
      <c r="D3115" s="1"/>
    </row>
    <row r="3116" spans="4:4" x14ac:dyDescent="0.25">
      <c r="D3116" s="1"/>
    </row>
    <row r="3117" spans="4:4" x14ac:dyDescent="0.25">
      <c r="D3117" s="1"/>
    </row>
    <row r="3118" spans="4:4" x14ac:dyDescent="0.25">
      <c r="D3118" s="1"/>
    </row>
    <row r="3119" spans="4:4" x14ac:dyDescent="0.25">
      <c r="D3119" s="1"/>
    </row>
    <row r="3120" spans="4:4" x14ac:dyDescent="0.25">
      <c r="D3120" s="1"/>
    </row>
    <row r="3121" spans="4:4" x14ac:dyDescent="0.25">
      <c r="D3121" s="1"/>
    </row>
    <row r="3122" spans="4:4" x14ac:dyDescent="0.25">
      <c r="D312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AP-CHK-RPT-20190204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Ingram</dc:creator>
  <cp:lastModifiedBy>Ingram, Laurie</cp:lastModifiedBy>
  <dcterms:created xsi:type="dcterms:W3CDTF">2019-02-04T15:40:16Z</dcterms:created>
  <dcterms:modified xsi:type="dcterms:W3CDTF">2019-02-04T16:35:59Z</dcterms:modified>
</cp:coreProperties>
</file>