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860"/>
  </bookViews>
  <sheets>
    <sheet name="AP-CHK-RPT-20190204" sheetId="1" r:id="rId1"/>
  </sheets>
  <calcPr calcId="145621"/>
</workbook>
</file>

<file path=xl/calcChain.xml><?xml version="1.0" encoding="utf-8"?>
<calcChain xmlns="http://schemas.openxmlformats.org/spreadsheetml/2006/main">
  <c r="C3239" i="1" l="1"/>
  <c r="E3238" i="1" l="1"/>
  <c r="F3238" i="1"/>
  <c r="H3238" i="1"/>
  <c r="E2" i="1" l="1"/>
  <c r="F2" i="1"/>
  <c r="H2" i="1"/>
  <c r="E3" i="1"/>
  <c r="F3" i="1"/>
  <c r="H3" i="1"/>
  <c r="E4" i="1"/>
  <c r="F4" i="1"/>
  <c r="H4" i="1"/>
  <c r="E5" i="1"/>
  <c r="F5" i="1"/>
  <c r="H5" i="1"/>
  <c r="E6" i="1"/>
  <c r="F6" i="1"/>
  <c r="H6" i="1"/>
  <c r="E7" i="1"/>
  <c r="F7" i="1"/>
  <c r="H7" i="1"/>
  <c r="E8" i="1"/>
  <c r="F8" i="1"/>
  <c r="H8" i="1"/>
  <c r="E9" i="1"/>
  <c r="F9" i="1"/>
  <c r="H9" i="1"/>
  <c r="E10" i="1"/>
  <c r="F10" i="1"/>
  <c r="H10" i="1"/>
  <c r="E11" i="1"/>
  <c r="F11" i="1"/>
  <c r="H11" i="1"/>
  <c r="E12" i="1"/>
  <c r="F12" i="1"/>
  <c r="H12" i="1"/>
  <c r="E13" i="1"/>
  <c r="F13" i="1"/>
  <c r="H13" i="1"/>
  <c r="E14" i="1"/>
  <c r="F14" i="1"/>
  <c r="H14" i="1"/>
  <c r="E15" i="1"/>
  <c r="F15" i="1"/>
  <c r="H15" i="1"/>
  <c r="E16" i="1"/>
  <c r="F16" i="1"/>
  <c r="H16" i="1"/>
  <c r="E17" i="1"/>
  <c r="F17" i="1"/>
  <c r="H17" i="1"/>
  <c r="E18" i="1"/>
  <c r="F18" i="1"/>
  <c r="H18" i="1"/>
  <c r="E19" i="1"/>
  <c r="F19" i="1"/>
  <c r="H19" i="1"/>
  <c r="E20" i="1"/>
  <c r="F20" i="1"/>
  <c r="H20" i="1"/>
  <c r="E21" i="1"/>
  <c r="F21" i="1"/>
  <c r="H21" i="1"/>
  <c r="E22" i="1"/>
  <c r="F22" i="1"/>
  <c r="H22" i="1"/>
  <c r="E23" i="1"/>
  <c r="F23" i="1"/>
  <c r="H23" i="1"/>
  <c r="E24" i="1"/>
  <c r="F24" i="1"/>
  <c r="H24" i="1"/>
  <c r="E25" i="1"/>
  <c r="F25" i="1"/>
  <c r="H25" i="1"/>
  <c r="E26" i="1"/>
  <c r="F26" i="1"/>
  <c r="H26" i="1"/>
  <c r="E27" i="1"/>
  <c r="F27" i="1"/>
  <c r="H27" i="1"/>
  <c r="E28" i="1"/>
  <c r="F28" i="1"/>
  <c r="H28" i="1"/>
  <c r="E29" i="1"/>
  <c r="F29" i="1"/>
  <c r="H29" i="1"/>
  <c r="E30" i="1"/>
  <c r="F30" i="1"/>
  <c r="H30" i="1"/>
  <c r="E31" i="1"/>
  <c r="F31" i="1"/>
  <c r="H31" i="1"/>
  <c r="E32" i="1"/>
  <c r="F32" i="1"/>
  <c r="H32" i="1"/>
  <c r="E33" i="1"/>
  <c r="F33" i="1"/>
  <c r="H33" i="1"/>
  <c r="E34" i="1"/>
  <c r="F34" i="1"/>
  <c r="H34" i="1"/>
  <c r="E35" i="1"/>
  <c r="F35" i="1"/>
  <c r="H35" i="1"/>
  <c r="E36" i="1"/>
  <c r="F36" i="1"/>
  <c r="H36" i="1"/>
  <c r="E37" i="1"/>
  <c r="F37" i="1"/>
  <c r="H37" i="1"/>
  <c r="E38" i="1"/>
  <c r="F38" i="1"/>
  <c r="H38" i="1"/>
  <c r="E39" i="1"/>
  <c r="F39" i="1"/>
  <c r="H39" i="1"/>
  <c r="E40" i="1"/>
  <c r="F40" i="1"/>
  <c r="H40" i="1"/>
  <c r="E41" i="1"/>
  <c r="F41" i="1"/>
  <c r="H41" i="1"/>
  <c r="E42" i="1"/>
  <c r="F42" i="1"/>
  <c r="H42" i="1"/>
  <c r="E43" i="1"/>
  <c r="F43" i="1"/>
  <c r="H43" i="1"/>
  <c r="E44" i="1"/>
  <c r="F44" i="1"/>
  <c r="H44" i="1"/>
  <c r="E45" i="1"/>
  <c r="F45" i="1"/>
  <c r="H45" i="1"/>
  <c r="E46" i="1"/>
  <c r="F46" i="1"/>
  <c r="H46" i="1"/>
  <c r="E47" i="1"/>
  <c r="F47" i="1"/>
  <c r="H47" i="1"/>
  <c r="E48" i="1"/>
  <c r="F48" i="1"/>
  <c r="H48" i="1"/>
  <c r="E49" i="1"/>
  <c r="F49" i="1"/>
  <c r="H49" i="1"/>
  <c r="E50" i="1"/>
  <c r="F50" i="1"/>
  <c r="H50" i="1"/>
  <c r="E51" i="1"/>
  <c r="F51" i="1"/>
  <c r="H51" i="1"/>
  <c r="E52" i="1"/>
  <c r="F52" i="1"/>
  <c r="H52" i="1"/>
  <c r="E53" i="1"/>
  <c r="F53" i="1"/>
  <c r="H53" i="1"/>
  <c r="E54" i="1"/>
  <c r="F54" i="1"/>
  <c r="H54" i="1"/>
  <c r="E55" i="1"/>
  <c r="F55" i="1"/>
  <c r="H55" i="1"/>
  <c r="E56" i="1"/>
  <c r="F56" i="1"/>
  <c r="H56" i="1"/>
  <c r="E57" i="1"/>
  <c r="F57" i="1"/>
  <c r="H57" i="1"/>
  <c r="E58" i="1"/>
  <c r="F58" i="1"/>
  <c r="H58" i="1"/>
  <c r="E59" i="1"/>
  <c r="F59" i="1"/>
  <c r="H59" i="1"/>
  <c r="E60" i="1"/>
  <c r="F60" i="1"/>
  <c r="H60" i="1"/>
  <c r="E61" i="1"/>
  <c r="F61" i="1"/>
  <c r="H61" i="1"/>
  <c r="E62" i="1"/>
  <c r="F62" i="1"/>
  <c r="H62" i="1"/>
  <c r="E63" i="1"/>
  <c r="F63" i="1"/>
  <c r="H63" i="1"/>
  <c r="E64" i="1"/>
  <c r="F64" i="1"/>
  <c r="H64" i="1"/>
  <c r="E65" i="1"/>
  <c r="F65" i="1"/>
  <c r="H65" i="1"/>
  <c r="E66" i="1"/>
  <c r="F66" i="1"/>
  <c r="H66" i="1"/>
  <c r="E67" i="1"/>
  <c r="F67" i="1"/>
  <c r="H67" i="1"/>
  <c r="E68" i="1"/>
  <c r="F68" i="1"/>
  <c r="H68" i="1"/>
  <c r="E69" i="1"/>
  <c r="F69" i="1"/>
  <c r="H69" i="1"/>
  <c r="E70" i="1"/>
  <c r="F70" i="1"/>
  <c r="H70" i="1"/>
  <c r="E71" i="1"/>
  <c r="F71" i="1"/>
  <c r="H71" i="1"/>
  <c r="E72" i="1"/>
  <c r="F72" i="1"/>
  <c r="H72" i="1"/>
  <c r="E73" i="1"/>
  <c r="F73" i="1"/>
  <c r="H73" i="1"/>
  <c r="E74" i="1"/>
  <c r="F74" i="1"/>
  <c r="H74" i="1"/>
  <c r="E75" i="1"/>
  <c r="F75" i="1"/>
  <c r="H75" i="1"/>
  <c r="E76" i="1"/>
  <c r="F76" i="1"/>
  <c r="H76" i="1"/>
  <c r="E77" i="1"/>
  <c r="F77" i="1"/>
  <c r="H77" i="1"/>
  <c r="E78" i="1"/>
  <c r="F78" i="1"/>
  <c r="H78" i="1"/>
  <c r="E79" i="1"/>
  <c r="F79" i="1"/>
  <c r="H79" i="1"/>
  <c r="E80" i="1"/>
  <c r="F80" i="1"/>
  <c r="H80" i="1"/>
  <c r="E81" i="1"/>
  <c r="F81" i="1"/>
  <c r="H81" i="1"/>
  <c r="E82" i="1"/>
  <c r="F82" i="1"/>
  <c r="H82" i="1"/>
  <c r="E83" i="1"/>
  <c r="F83" i="1"/>
  <c r="H83" i="1"/>
  <c r="E84" i="1"/>
  <c r="F84" i="1"/>
  <c r="H84" i="1"/>
  <c r="E85" i="1"/>
  <c r="F85" i="1"/>
  <c r="H85" i="1"/>
  <c r="E86" i="1"/>
  <c r="F86" i="1"/>
  <c r="H86" i="1"/>
  <c r="E87" i="1"/>
  <c r="F87" i="1"/>
  <c r="H87" i="1"/>
  <c r="E88" i="1"/>
  <c r="F88" i="1"/>
  <c r="H88" i="1"/>
  <c r="E89" i="1"/>
  <c r="F89" i="1"/>
  <c r="H89" i="1"/>
  <c r="E90" i="1"/>
  <c r="F90" i="1"/>
  <c r="H90" i="1"/>
  <c r="E91" i="1"/>
  <c r="F91" i="1"/>
  <c r="H91" i="1"/>
  <c r="E92" i="1"/>
  <c r="F92" i="1"/>
  <c r="H92" i="1"/>
  <c r="E93" i="1"/>
  <c r="F93" i="1"/>
  <c r="H93" i="1"/>
  <c r="E94" i="1"/>
  <c r="F94" i="1"/>
  <c r="H94" i="1"/>
  <c r="E95" i="1"/>
  <c r="F95" i="1"/>
  <c r="H95" i="1"/>
  <c r="E96" i="1"/>
  <c r="F96" i="1"/>
  <c r="H96" i="1"/>
  <c r="E97" i="1"/>
  <c r="F97" i="1"/>
  <c r="H97" i="1"/>
  <c r="E98" i="1"/>
  <c r="F98" i="1"/>
  <c r="H98" i="1"/>
  <c r="E99" i="1"/>
  <c r="F99" i="1"/>
  <c r="H99" i="1"/>
  <c r="E100" i="1"/>
  <c r="F100" i="1"/>
  <c r="H100" i="1"/>
  <c r="G101" i="1"/>
  <c r="H101" i="1"/>
  <c r="I101" i="1"/>
  <c r="E102" i="1"/>
  <c r="F102" i="1"/>
  <c r="H102" i="1"/>
  <c r="E103" i="1"/>
  <c r="F103" i="1"/>
  <c r="H103" i="1"/>
  <c r="E104" i="1"/>
  <c r="F104" i="1"/>
  <c r="H104" i="1"/>
  <c r="E105" i="1"/>
  <c r="F105" i="1"/>
  <c r="H105" i="1"/>
  <c r="E106" i="1"/>
  <c r="F106" i="1"/>
  <c r="H106" i="1"/>
  <c r="E107" i="1"/>
  <c r="F107" i="1"/>
  <c r="H107" i="1"/>
  <c r="E108" i="1"/>
  <c r="F108" i="1"/>
  <c r="H108" i="1"/>
  <c r="E109" i="1"/>
  <c r="F109" i="1"/>
  <c r="H109" i="1"/>
  <c r="E110" i="1"/>
  <c r="F110" i="1"/>
  <c r="H110" i="1"/>
  <c r="E111" i="1"/>
  <c r="F111" i="1"/>
  <c r="H111" i="1"/>
  <c r="E112" i="1"/>
  <c r="F112" i="1"/>
  <c r="H112" i="1"/>
  <c r="E113" i="1"/>
  <c r="F113" i="1"/>
  <c r="H113" i="1"/>
  <c r="E114" i="1"/>
  <c r="F114" i="1"/>
  <c r="H114" i="1"/>
  <c r="E115" i="1"/>
  <c r="F115" i="1"/>
  <c r="H115" i="1"/>
  <c r="E116" i="1"/>
  <c r="F116" i="1"/>
  <c r="H116" i="1"/>
  <c r="E117" i="1"/>
  <c r="F117" i="1"/>
  <c r="H117" i="1"/>
  <c r="E118" i="1"/>
  <c r="F118" i="1"/>
  <c r="H118" i="1"/>
  <c r="E119" i="1"/>
  <c r="F119" i="1"/>
  <c r="H119" i="1"/>
  <c r="E120" i="1"/>
  <c r="F120" i="1"/>
  <c r="H120" i="1"/>
  <c r="E121" i="1"/>
  <c r="F121" i="1"/>
  <c r="H121" i="1"/>
  <c r="E122" i="1"/>
  <c r="F122" i="1"/>
  <c r="H122" i="1"/>
  <c r="E123" i="1"/>
  <c r="F123" i="1"/>
  <c r="H123" i="1"/>
  <c r="E124" i="1"/>
  <c r="F124" i="1"/>
  <c r="H124" i="1"/>
  <c r="E125" i="1"/>
  <c r="F125" i="1"/>
  <c r="H125" i="1"/>
  <c r="E126" i="1"/>
  <c r="F126" i="1"/>
  <c r="H126" i="1"/>
  <c r="E127" i="1"/>
  <c r="F127" i="1"/>
  <c r="H127" i="1"/>
  <c r="E128" i="1"/>
  <c r="F128" i="1"/>
  <c r="H128" i="1"/>
  <c r="E129" i="1"/>
  <c r="F129" i="1"/>
  <c r="H129" i="1"/>
  <c r="E130" i="1"/>
  <c r="F130" i="1"/>
  <c r="H130" i="1"/>
  <c r="E131" i="1"/>
  <c r="F131" i="1"/>
  <c r="H131" i="1"/>
  <c r="E132" i="1"/>
  <c r="F132" i="1"/>
  <c r="H132" i="1"/>
  <c r="E133" i="1"/>
  <c r="F133" i="1"/>
  <c r="H133" i="1"/>
  <c r="E134" i="1"/>
  <c r="F134" i="1"/>
  <c r="H134" i="1"/>
  <c r="E135" i="1"/>
  <c r="F135" i="1"/>
  <c r="H135" i="1"/>
  <c r="E136" i="1"/>
  <c r="F136" i="1"/>
  <c r="H136" i="1"/>
  <c r="E137" i="1"/>
  <c r="F137" i="1"/>
  <c r="H137" i="1"/>
  <c r="E138" i="1"/>
  <c r="F138" i="1"/>
  <c r="H138" i="1"/>
  <c r="E139" i="1"/>
  <c r="F139" i="1"/>
  <c r="H139" i="1"/>
  <c r="E140" i="1"/>
  <c r="F140" i="1"/>
  <c r="H140" i="1"/>
  <c r="E141" i="1"/>
  <c r="F141" i="1"/>
  <c r="H141" i="1"/>
  <c r="E142" i="1"/>
  <c r="F142" i="1"/>
  <c r="H142" i="1"/>
  <c r="E143" i="1"/>
  <c r="F143" i="1"/>
  <c r="H143" i="1"/>
  <c r="E144" i="1"/>
  <c r="F144" i="1"/>
  <c r="H144" i="1"/>
  <c r="E145" i="1"/>
  <c r="F145" i="1"/>
  <c r="H145" i="1"/>
  <c r="E146" i="1"/>
  <c r="F146" i="1"/>
  <c r="H146" i="1"/>
  <c r="E147" i="1"/>
  <c r="F147" i="1"/>
  <c r="H147" i="1"/>
  <c r="E148" i="1"/>
  <c r="F148" i="1"/>
  <c r="H148" i="1"/>
  <c r="E149" i="1"/>
  <c r="F149" i="1"/>
  <c r="H149" i="1"/>
  <c r="E150" i="1"/>
  <c r="F150" i="1"/>
  <c r="H150" i="1"/>
  <c r="E151" i="1"/>
  <c r="F151" i="1"/>
  <c r="H151" i="1"/>
  <c r="E152" i="1"/>
  <c r="F152" i="1"/>
  <c r="H152" i="1"/>
  <c r="E153" i="1"/>
  <c r="F153" i="1"/>
  <c r="H153" i="1"/>
  <c r="E154" i="1"/>
  <c r="F154" i="1"/>
  <c r="H154" i="1"/>
  <c r="E155" i="1"/>
  <c r="F155" i="1"/>
  <c r="H155" i="1"/>
  <c r="E156" i="1"/>
  <c r="F156" i="1"/>
  <c r="H156" i="1"/>
  <c r="E157" i="1"/>
  <c r="F157" i="1"/>
  <c r="H157" i="1"/>
  <c r="E158" i="1"/>
  <c r="F158" i="1"/>
  <c r="H158" i="1"/>
  <c r="E159" i="1"/>
  <c r="F159" i="1"/>
  <c r="H159" i="1"/>
  <c r="E160" i="1"/>
  <c r="F160" i="1"/>
  <c r="H160" i="1"/>
  <c r="E161" i="1"/>
  <c r="F161" i="1"/>
  <c r="H161" i="1"/>
  <c r="E162" i="1"/>
  <c r="F162" i="1"/>
  <c r="H162" i="1"/>
  <c r="E163" i="1"/>
  <c r="F163" i="1"/>
  <c r="H163" i="1"/>
  <c r="E164" i="1"/>
  <c r="F164" i="1"/>
  <c r="H164" i="1"/>
  <c r="E165" i="1"/>
  <c r="F165" i="1"/>
  <c r="H165" i="1"/>
  <c r="E166" i="1"/>
  <c r="F166" i="1"/>
  <c r="H166" i="1"/>
  <c r="E167" i="1"/>
  <c r="F167" i="1"/>
  <c r="H167" i="1"/>
  <c r="E168" i="1"/>
  <c r="F168" i="1"/>
  <c r="H168" i="1"/>
  <c r="E169" i="1"/>
  <c r="F169" i="1"/>
  <c r="H169" i="1"/>
  <c r="E170" i="1"/>
  <c r="F170" i="1"/>
  <c r="H170" i="1"/>
  <c r="E171" i="1"/>
  <c r="F171" i="1"/>
  <c r="H171" i="1"/>
  <c r="E172" i="1"/>
  <c r="F172" i="1"/>
  <c r="H172" i="1"/>
  <c r="E173" i="1"/>
  <c r="F173" i="1"/>
  <c r="H173" i="1"/>
  <c r="E174" i="1"/>
  <c r="F174" i="1"/>
  <c r="H174" i="1"/>
  <c r="E175" i="1"/>
  <c r="F175" i="1"/>
  <c r="H175" i="1"/>
  <c r="E176" i="1"/>
  <c r="F176" i="1"/>
  <c r="H176" i="1"/>
  <c r="E177" i="1"/>
  <c r="F177" i="1"/>
  <c r="H177" i="1"/>
  <c r="E178" i="1"/>
  <c r="F178" i="1"/>
  <c r="H178" i="1"/>
  <c r="E179" i="1"/>
  <c r="F179" i="1"/>
  <c r="H179" i="1"/>
  <c r="E180" i="1"/>
  <c r="F180" i="1"/>
  <c r="H180" i="1"/>
  <c r="E181" i="1"/>
  <c r="F181" i="1"/>
  <c r="H181" i="1"/>
  <c r="E182" i="1"/>
  <c r="F182" i="1"/>
  <c r="H182" i="1"/>
  <c r="E183" i="1"/>
  <c r="F183" i="1"/>
  <c r="H183" i="1"/>
  <c r="E184" i="1"/>
  <c r="F184" i="1"/>
  <c r="H184" i="1"/>
  <c r="E185" i="1"/>
  <c r="F185" i="1"/>
  <c r="H185" i="1"/>
  <c r="E186" i="1"/>
  <c r="F186" i="1"/>
  <c r="H186" i="1"/>
  <c r="E187" i="1"/>
  <c r="F187" i="1"/>
  <c r="H187" i="1"/>
  <c r="E188" i="1"/>
  <c r="F188" i="1"/>
  <c r="H188" i="1"/>
  <c r="E189" i="1"/>
  <c r="F189" i="1"/>
  <c r="H189" i="1"/>
  <c r="E190" i="1"/>
  <c r="F190" i="1"/>
  <c r="H190" i="1"/>
  <c r="E191" i="1"/>
  <c r="F191" i="1"/>
  <c r="H191" i="1"/>
  <c r="E192" i="1"/>
  <c r="F192" i="1"/>
  <c r="H192" i="1"/>
  <c r="E193" i="1"/>
  <c r="F193" i="1"/>
  <c r="H193" i="1"/>
  <c r="E194" i="1"/>
  <c r="F194" i="1"/>
  <c r="H194" i="1"/>
  <c r="E195" i="1"/>
  <c r="F195" i="1"/>
  <c r="H195" i="1"/>
  <c r="E196" i="1"/>
  <c r="F196" i="1"/>
  <c r="H196" i="1"/>
  <c r="E197" i="1"/>
  <c r="F197" i="1"/>
  <c r="H197" i="1"/>
  <c r="E198" i="1"/>
  <c r="F198" i="1"/>
  <c r="H198" i="1"/>
  <c r="E199" i="1"/>
  <c r="F199" i="1"/>
  <c r="H199" i="1"/>
  <c r="E200" i="1"/>
  <c r="F200" i="1"/>
  <c r="H200" i="1"/>
  <c r="E201" i="1"/>
  <c r="F201" i="1"/>
  <c r="H201" i="1"/>
  <c r="E202" i="1"/>
  <c r="F202" i="1"/>
  <c r="H202" i="1"/>
  <c r="E203" i="1"/>
  <c r="F203" i="1"/>
  <c r="H203" i="1"/>
  <c r="E204" i="1"/>
  <c r="F204" i="1"/>
  <c r="H204" i="1"/>
  <c r="E205" i="1"/>
  <c r="F205" i="1"/>
  <c r="H205" i="1"/>
  <c r="E206" i="1"/>
  <c r="F206" i="1"/>
  <c r="H206" i="1"/>
  <c r="E207" i="1"/>
  <c r="F207" i="1"/>
  <c r="H207" i="1"/>
  <c r="E208" i="1"/>
  <c r="F208" i="1"/>
  <c r="H208" i="1"/>
  <c r="E209" i="1"/>
  <c r="F209" i="1"/>
  <c r="H209" i="1"/>
  <c r="E210" i="1"/>
  <c r="F210" i="1"/>
  <c r="H210" i="1"/>
  <c r="E211" i="1"/>
  <c r="F211" i="1"/>
  <c r="H211" i="1"/>
  <c r="E212" i="1"/>
  <c r="F212" i="1"/>
  <c r="H212" i="1"/>
  <c r="E213" i="1"/>
  <c r="F213" i="1"/>
  <c r="H213" i="1"/>
  <c r="E214" i="1"/>
  <c r="F214" i="1"/>
  <c r="H214" i="1"/>
  <c r="E215" i="1"/>
  <c r="F215" i="1"/>
  <c r="H215" i="1"/>
  <c r="E216" i="1"/>
  <c r="F216" i="1"/>
  <c r="H216" i="1"/>
  <c r="E217" i="1"/>
  <c r="F217" i="1"/>
  <c r="H217" i="1"/>
  <c r="E218" i="1"/>
  <c r="F218" i="1"/>
  <c r="H218" i="1"/>
  <c r="E219" i="1"/>
  <c r="F219" i="1"/>
  <c r="H219" i="1"/>
  <c r="E220" i="1"/>
  <c r="F220" i="1"/>
  <c r="H220" i="1"/>
  <c r="E221" i="1"/>
  <c r="F221" i="1"/>
  <c r="H221" i="1"/>
  <c r="E222" i="1"/>
  <c r="F222" i="1"/>
  <c r="H222" i="1"/>
  <c r="E223" i="1"/>
  <c r="F223" i="1"/>
  <c r="H223" i="1"/>
  <c r="E224" i="1"/>
  <c r="F224" i="1"/>
  <c r="H224" i="1"/>
  <c r="E225" i="1"/>
  <c r="F225" i="1"/>
  <c r="H225" i="1"/>
  <c r="E226" i="1"/>
  <c r="F226" i="1"/>
  <c r="H226" i="1"/>
  <c r="E227" i="1"/>
  <c r="F227" i="1"/>
  <c r="H227" i="1"/>
  <c r="E228" i="1"/>
  <c r="F228" i="1"/>
  <c r="H228" i="1"/>
  <c r="E229" i="1"/>
  <c r="F229" i="1"/>
  <c r="H229" i="1"/>
  <c r="E230" i="1"/>
  <c r="F230" i="1"/>
  <c r="H230" i="1"/>
  <c r="E231" i="1"/>
  <c r="F231" i="1"/>
  <c r="H231" i="1"/>
  <c r="E232" i="1"/>
  <c r="F232" i="1"/>
  <c r="H232" i="1"/>
  <c r="E233" i="1"/>
  <c r="F233" i="1"/>
  <c r="H233" i="1"/>
  <c r="E234" i="1"/>
  <c r="F234" i="1"/>
  <c r="H234" i="1"/>
  <c r="E235" i="1"/>
  <c r="F235" i="1"/>
  <c r="H235" i="1"/>
  <c r="E236" i="1"/>
  <c r="F236" i="1"/>
  <c r="H236" i="1"/>
  <c r="E237" i="1"/>
  <c r="F237" i="1"/>
  <c r="H237" i="1"/>
  <c r="E238" i="1"/>
  <c r="F238" i="1"/>
  <c r="H238" i="1"/>
  <c r="E239" i="1"/>
  <c r="F239" i="1"/>
  <c r="H239" i="1"/>
  <c r="E240" i="1"/>
  <c r="F240" i="1"/>
  <c r="H240" i="1"/>
  <c r="E241" i="1"/>
  <c r="F241" i="1"/>
  <c r="H241" i="1"/>
  <c r="E242" i="1"/>
  <c r="F242" i="1"/>
  <c r="H242" i="1"/>
  <c r="E243" i="1"/>
  <c r="F243" i="1"/>
  <c r="H243" i="1"/>
  <c r="E244" i="1"/>
  <c r="F244" i="1"/>
  <c r="H244" i="1"/>
  <c r="E245" i="1"/>
  <c r="F245" i="1"/>
  <c r="H245" i="1"/>
  <c r="E246" i="1"/>
  <c r="F246" i="1"/>
  <c r="H246" i="1"/>
  <c r="E247" i="1"/>
  <c r="F247" i="1"/>
  <c r="H247" i="1"/>
  <c r="E248" i="1"/>
  <c r="F248" i="1"/>
  <c r="H248" i="1"/>
  <c r="E249" i="1"/>
  <c r="F249" i="1"/>
  <c r="H249" i="1"/>
  <c r="E250" i="1"/>
  <c r="F250" i="1"/>
  <c r="H250" i="1"/>
  <c r="E251" i="1"/>
  <c r="F251" i="1"/>
  <c r="H251" i="1"/>
  <c r="E252" i="1"/>
  <c r="F252" i="1"/>
  <c r="H252" i="1"/>
  <c r="E253" i="1"/>
  <c r="F253" i="1"/>
  <c r="H253" i="1"/>
  <c r="E254" i="1"/>
  <c r="F254" i="1"/>
  <c r="H254" i="1"/>
  <c r="E255" i="1"/>
  <c r="F255" i="1"/>
  <c r="H255" i="1"/>
  <c r="E256" i="1"/>
  <c r="F256" i="1"/>
  <c r="H256" i="1"/>
  <c r="E257" i="1"/>
  <c r="F257" i="1"/>
  <c r="H257" i="1"/>
  <c r="E258" i="1"/>
  <c r="F258" i="1"/>
  <c r="H258" i="1"/>
  <c r="E259" i="1"/>
  <c r="F259" i="1"/>
  <c r="H259" i="1"/>
  <c r="E260" i="1"/>
  <c r="F260" i="1"/>
  <c r="H260" i="1"/>
  <c r="E261" i="1"/>
  <c r="F261" i="1"/>
  <c r="H261" i="1"/>
  <c r="E262" i="1"/>
  <c r="F262" i="1"/>
  <c r="H262" i="1"/>
  <c r="E263" i="1"/>
  <c r="F263" i="1"/>
  <c r="H263" i="1"/>
  <c r="E264" i="1"/>
  <c r="F264" i="1"/>
  <c r="H264" i="1"/>
  <c r="E265" i="1"/>
  <c r="F265" i="1"/>
  <c r="H265" i="1"/>
  <c r="E266" i="1"/>
  <c r="F266" i="1"/>
  <c r="H266" i="1"/>
  <c r="E267" i="1"/>
  <c r="F267" i="1"/>
  <c r="H267" i="1"/>
  <c r="E268" i="1"/>
  <c r="F268" i="1"/>
  <c r="H268" i="1"/>
  <c r="E269" i="1"/>
  <c r="F269" i="1"/>
  <c r="H269" i="1"/>
  <c r="E270" i="1"/>
  <c r="F270" i="1"/>
  <c r="H270" i="1"/>
  <c r="E271" i="1"/>
  <c r="F271" i="1"/>
  <c r="H271" i="1"/>
  <c r="E272" i="1"/>
  <c r="F272" i="1"/>
  <c r="H272" i="1"/>
  <c r="E273" i="1"/>
  <c r="F273" i="1"/>
  <c r="H273" i="1"/>
  <c r="E274" i="1"/>
  <c r="F274" i="1"/>
  <c r="H274" i="1"/>
  <c r="E275" i="1"/>
  <c r="F275" i="1"/>
  <c r="H275" i="1"/>
  <c r="E276" i="1"/>
  <c r="F276" i="1"/>
  <c r="H276" i="1"/>
  <c r="E277" i="1"/>
  <c r="F277" i="1"/>
  <c r="H277" i="1"/>
  <c r="E278" i="1"/>
  <c r="F278" i="1"/>
  <c r="H278" i="1"/>
  <c r="E279" i="1"/>
  <c r="F279" i="1"/>
  <c r="H279" i="1"/>
  <c r="E280" i="1"/>
  <c r="F280" i="1"/>
  <c r="H280" i="1"/>
  <c r="E281" i="1"/>
  <c r="F281" i="1"/>
  <c r="H281" i="1"/>
  <c r="E282" i="1"/>
  <c r="F282" i="1"/>
  <c r="H282" i="1"/>
  <c r="E283" i="1"/>
  <c r="F283" i="1"/>
  <c r="H283" i="1"/>
  <c r="E284" i="1"/>
  <c r="F284" i="1"/>
  <c r="H284" i="1"/>
  <c r="E285" i="1"/>
  <c r="F285" i="1"/>
  <c r="H285" i="1"/>
  <c r="E286" i="1"/>
  <c r="F286" i="1"/>
  <c r="H286" i="1"/>
  <c r="E287" i="1"/>
  <c r="F287" i="1"/>
  <c r="H287" i="1"/>
  <c r="E288" i="1"/>
  <c r="F288" i="1"/>
  <c r="H288" i="1"/>
  <c r="E289" i="1"/>
  <c r="F289" i="1"/>
  <c r="H289" i="1"/>
  <c r="E290" i="1"/>
  <c r="F290" i="1"/>
  <c r="H290" i="1"/>
  <c r="E291" i="1"/>
  <c r="F291" i="1"/>
  <c r="H291" i="1"/>
  <c r="E292" i="1"/>
  <c r="F292" i="1"/>
  <c r="H292" i="1"/>
  <c r="E293" i="1"/>
  <c r="F293" i="1"/>
  <c r="H293" i="1"/>
  <c r="E294" i="1"/>
  <c r="F294" i="1"/>
  <c r="H294" i="1"/>
  <c r="E295" i="1"/>
  <c r="F295" i="1"/>
  <c r="H295" i="1"/>
  <c r="E296" i="1"/>
  <c r="F296" i="1"/>
  <c r="H296" i="1"/>
  <c r="E297" i="1"/>
  <c r="F297" i="1"/>
  <c r="H297" i="1"/>
  <c r="E298" i="1"/>
  <c r="F298" i="1"/>
  <c r="H298" i="1"/>
  <c r="E299" i="1"/>
  <c r="F299" i="1"/>
  <c r="H299" i="1"/>
  <c r="E300" i="1"/>
  <c r="F300" i="1"/>
  <c r="H300" i="1"/>
  <c r="G301" i="1"/>
  <c r="H301" i="1"/>
  <c r="I301" i="1"/>
  <c r="E302" i="1"/>
  <c r="F302" i="1"/>
  <c r="H302" i="1"/>
  <c r="E303" i="1"/>
  <c r="F303" i="1"/>
  <c r="H303" i="1"/>
  <c r="E304" i="1"/>
  <c r="F304" i="1"/>
  <c r="H304" i="1"/>
  <c r="E305" i="1"/>
  <c r="F305" i="1"/>
  <c r="H305" i="1"/>
  <c r="E306" i="1"/>
  <c r="F306" i="1"/>
  <c r="H306" i="1"/>
  <c r="E307" i="1"/>
  <c r="F307" i="1"/>
  <c r="H307" i="1"/>
  <c r="E308" i="1"/>
  <c r="F308" i="1"/>
  <c r="H308" i="1"/>
  <c r="E309" i="1"/>
  <c r="F309" i="1"/>
  <c r="H309" i="1"/>
  <c r="E310" i="1"/>
  <c r="F310" i="1"/>
  <c r="H310" i="1"/>
  <c r="E311" i="1"/>
  <c r="F311" i="1"/>
  <c r="H311" i="1"/>
  <c r="E312" i="1"/>
  <c r="F312" i="1"/>
  <c r="H312" i="1"/>
  <c r="E313" i="1"/>
  <c r="F313" i="1"/>
  <c r="H313" i="1"/>
  <c r="E314" i="1"/>
  <c r="F314" i="1"/>
  <c r="H314" i="1"/>
  <c r="E315" i="1"/>
  <c r="F315" i="1"/>
  <c r="H315" i="1"/>
  <c r="E316" i="1"/>
  <c r="F316" i="1"/>
  <c r="H316" i="1"/>
  <c r="E317" i="1"/>
  <c r="F317" i="1"/>
  <c r="H317" i="1"/>
  <c r="E318" i="1"/>
  <c r="F318" i="1"/>
  <c r="H318" i="1"/>
  <c r="E319" i="1"/>
  <c r="F319" i="1"/>
  <c r="H319" i="1"/>
  <c r="E320" i="1"/>
  <c r="F320" i="1"/>
  <c r="H320" i="1"/>
  <c r="E321" i="1"/>
  <c r="F321" i="1"/>
  <c r="H321" i="1"/>
  <c r="E322" i="1"/>
  <c r="F322" i="1"/>
  <c r="H322" i="1"/>
  <c r="E323" i="1"/>
  <c r="F323" i="1"/>
  <c r="H323" i="1"/>
  <c r="E324" i="1"/>
  <c r="F324" i="1"/>
  <c r="H324" i="1"/>
  <c r="E325" i="1"/>
  <c r="F325" i="1"/>
  <c r="H325" i="1"/>
  <c r="E326" i="1"/>
  <c r="F326" i="1"/>
  <c r="H326" i="1"/>
  <c r="E327" i="1"/>
  <c r="F327" i="1"/>
  <c r="H327" i="1"/>
  <c r="E328" i="1"/>
  <c r="F328" i="1"/>
  <c r="H328" i="1"/>
  <c r="E329" i="1"/>
  <c r="F329" i="1"/>
  <c r="H329" i="1"/>
  <c r="E330" i="1"/>
  <c r="F330" i="1"/>
  <c r="H330" i="1"/>
  <c r="E331" i="1"/>
  <c r="F331" i="1"/>
  <c r="H331" i="1"/>
  <c r="E332" i="1"/>
  <c r="F332" i="1"/>
  <c r="H332" i="1"/>
  <c r="E333" i="1"/>
  <c r="F333" i="1"/>
  <c r="H333" i="1"/>
  <c r="E334" i="1"/>
  <c r="F334" i="1"/>
  <c r="H334" i="1"/>
  <c r="E335" i="1"/>
  <c r="F335" i="1"/>
  <c r="H335" i="1"/>
  <c r="E336" i="1"/>
  <c r="F336" i="1"/>
  <c r="H336" i="1"/>
  <c r="E337" i="1"/>
  <c r="F337" i="1"/>
  <c r="H337" i="1"/>
  <c r="E338" i="1"/>
  <c r="F338" i="1"/>
  <c r="H338" i="1"/>
  <c r="E339" i="1"/>
  <c r="F339" i="1"/>
  <c r="H339" i="1"/>
  <c r="E340" i="1"/>
  <c r="F340" i="1"/>
  <c r="H340" i="1"/>
  <c r="E341" i="1"/>
  <c r="F341" i="1"/>
  <c r="H341" i="1"/>
  <c r="E342" i="1"/>
  <c r="F342" i="1"/>
  <c r="H342" i="1"/>
  <c r="E343" i="1"/>
  <c r="F343" i="1"/>
  <c r="H343" i="1"/>
  <c r="E344" i="1"/>
  <c r="F344" i="1"/>
  <c r="H344" i="1"/>
  <c r="E345" i="1"/>
  <c r="F345" i="1"/>
  <c r="H345" i="1"/>
  <c r="E346" i="1"/>
  <c r="F346" i="1"/>
  <c r="H346" i="1"/>
  <c r="E347" i="1"/>
  <c r="F347" i="1"/>
  <c r="H347" i="1"/>
  <c r="E348" i="1"/>
  <c r="F348" i="1"/>
  <c r="H348" i="1"/>
  <c r="E349" i="1"/>
  <c r="F349" i="1"/>
  <c r="H349" i="1"/>
  <c r="E350" i="1"/>
  <c r="F350" i="1"/>
  <c r="H350" i="1"/>
  <c r="E351" i="1"/>
  <c r="F351" i="1"/>
  <c r="H351" i="1"/>
  <c r="E352" i="1"/>
  <c r="F352" i="1"/>
  <c r="H352" i="1"/>
  <c r="E353" i="1"/>
  <c r="F353" i="1"/>
  <c r="H353" i="1"/>
  <c r="E354" i="1"/>
  <c r="F354" i="1"/>
  <c r="H354" i="1"/>
  <c r="E355" i="1"/>
  <c r="F355" i="1"/>
  <c r="H355" i="1"/>
  <c r="E356" i="1"/>
  <c r="F356" i="1"/>
  <c r="H356" i="1"/>
  <c r="E357" i="1"/>
  <c r="F357" i="1"/>
  <c r="H357" i="1"/>
  <c r="E358" i="1"/>
  <c r="F358" i="1"/>
  <c r="H358" i="1"/>
  <c r="E359" i="1"/>
  <c r="F359" i="1"/>
  <c r="H359" i="1"/>
  <c r="E360" i="1"/>
  <c r="F360" i="1"/>
  <c r="H360" i="1"/>
  <c r="E361" i="1"/>
  <c r="F361" i="1"/>
  <c r="H361" i="1"/>
  <c r="E362" i="1"/>
  <c r="F362" i="1"/>
  <c r="H362" i="1"/>
  <c r="E363" i="1"/>
  <c r="F363" i="1"/>
  <c r="H363" i="1"/>
  <c r="G364" i="1"/>
  <c r="H364" i="1"/>
  <c r="I364" i="1"/>
  <c r="E365" i="1"/>
  <c r="F365" i="1"/>
  <c r="H365" i="1"/>
  <c r="G366" i="1"/>
  <c r="H366" i="1"/>
  <c r="I366" i="1"/>
  <c r="E367" i="1"/>
  <c r="F367" i="1"/>
  <c r="H367" i="1"/>
  <c r="E368" i="1"/>
  <c r="F368" i="1"/>
  <c r="H368" i="1"/>
  <c r="E369" i="1"/>
  <c r="F369" i="1"/>
  <c r="H369" i="1"/>
  <c r="E370" i="1"/>
  <c r="F370" i="1"/>
  <c r="H370" i="1"/>
  <c r="E371" i="1"/>
  <c r="F371" i="1"/>
  <c r="H371" i="1"/>
  <c r="E372" i="1"/>
  <c r="F372" i="1"/>
  <c r="H372" i="1"/>
  <c r="E373" i="1"/>
  <c r="F373" i="1"/>
  <c r="H373" i="1"/>
  <c r="E374" i="1"/>
  <c r="F374" i="1"/>
  <c r="H374" i="1"/>
  <c r="E375" i="1"/>
  <c r="F375" i="1"/>
  <c r="H375" i="1"/>
  <c r="E376" i="1"/>
  <c r="F376" i="1"/>
  <c r="H376" i="1"/>
  <c r="E377" i="1"/>
  <c r="F377" i="1"/>
  <c r="H377" i="1"/>
  <c r="E378" i="1"/>
  <c r="F378" i="1"/>
  <c r="H378" i="1"/>
  <c r="E379" i="1"/>
  <c r="F379" i="1"/>
  <c r="H379" i="1"/>
  <c r="E380" i="1"/>
  <c r="F380" i="1"/>
  <c r="H380" i="1"/>
  <c r="E381" i="1"/>
  <c r="F381" i="1"/>
  <c r="H381" i="1"/>
  <c r="E382" i="1"/>
  <c r="F382" i="1"/>
  <c r="H382" i="1"/>
  <c r="E383" i="1"/>
  <c r="F383" i="1"/>
  <c r="H383" i="1"/>
  <c r="E384" i="1"/>
  <c r="F384" i="1"/>
  <c r="H384" i="1"/>
  <c r="E385" i="1"/>
  <c r="F385" i="1"/>
  <c r="H385" i="1"/>
  <c r="E386" i="1"/>
  <c r="F386" i="1"/>
  <c r="H386" i="1"/>
  <c r="E387" i="1"/>
  <c r="F387" i="1"/>
  <c r="H387" i="1"/>
  <c r="E388" i="1"/>
  <c r="F388" i="1"/>
  <c r="H388" i="1"/>
  <c r="E389" i="1"/>
  <c r="F389" i="1"/>
  <c r="H389" i="1"/>
  <c r="E390" i="1"/>
  <c r="F390" i="1"/>
  <c r="H390" i="1"/>
  <c r="E391" i="1"/>
  <c r="F391" i="1"/>
  <c r="H391" i="1"/>
  <c r="E392" i="1"/>
  <c r="F392" i="1"/>
  <c r="H392" i="1"/>
  <c r="E393" i="1"/>
  <c r="F393" i="1"/>
  <c r="H393" i="1"/>
  <c r="E394" i="1"/>
  <c r="F394" i="1"/>
  <c r="H394" i="1"/>
  <c r="E395" i="1"/>
  <c r="F395" i="1"/>
  <c r="H395" i="1"/>
  <c r="E396" i="1"/>
  <c r="F396" i="1"/>
  <c r="H396" i="1"/>
  <c r="E397" i="1"/>
  <c r="F397" i="1"/>
  <c r="H397" i="1"/>
  <c r="E398" i="1"/>
  <c r="F398" i="1"/>
  <c r="H398" i="1"/>
  <c r="E399" i="1"/>
  <c r="F399" i="1"/>
  <c r="H399" i="1"/>
  <c r="E400" i="1"/>
  <c r="F400" i="1"/>
  <c r="H400" i="1"/>
  <c r="E401" i="1"/>
  <c r="F401" i="1"/>
  <c r="H401" i="1"/>
  <c r="E402" i="1"/>
  <c r="F402" i="1"/>
  <c r="H402" i="1"/>
  <c r="E403" i="1"/>
  <c r="F403" i="1"/>
  <c r="H403" i="1"/>
  <c r="E404" i="1"/>
  <c r="F404" i="1"/>
  <c r="H404" i="1"/>
  <c r="E405" i="1"/>
  <c r="F405" i="1"/>
  <c r="H405" i="1"/>
  <c r="E406" i="1"/>
  <c r="F406" i="1"/>
  <c r="H406" i="1"/>
  <c r="E407" i="1"/>
  <c r="F407" i="1"/>
  <c r="H407" i="1"/>
  <c r="E408" i="1"/>
  <c r="F408" i="1"/>
  <c r="H408" i="1"/>
  <c r="E409" i="1"/>
  <c r="F409" i="1"/>
  <c r="H409" i="1"/>
  <c r="E410" i="1"/>
  <c r="F410" i="1"/>
  <c r="H410" i="1"/>
  <c r="E411" i="1"/>
  <c r="F411" i="1"/>
  <c r="H411" i="1"/>
  <c r="E412" i="1"/>
  <c r="F412" i="1"/>
  <c r="H412" i="1"/>
  <c r="E413" i="1"/>
  <c r="F413" i="1"/>
  <c r="H413" i="1"/>
  <c r="E414" i="1"/>
  <c r="F414" i="1"/>
  <c r="H414" i="1"/>
  <c r="E415" i="1"/>
  <c r="F415" i="1"/>
  <c r="H415" i="1"/>
  <c r="E416" i="1"/>
  <c r="F416" i="1"/>
  <c r="H416" i="1"/>
  <c r="E417" i="1"/>
  <c r="F417" i="1"/>
  <c r="H417" i="1"/>
  <c r="E418" i="1"/>
  <c r="F418" i="1"/>
  <c r="H418" i="1"/>
  <c r="E419" i="1"/>
  <c r="F419" i="1"/>
  <c r="H419" i="1"/>
  <c r="E420" i="1"/>
  <c r="F420" i="1"/>
  <c r="H420" i="1"/>
  <c r="E421" i="1"/>
  <c r="F421" i="1"/>
  <c r="H421" i="1"/>
  <c r="E422" i="1"/>
  <c r="F422" i="1"/>
  <c r="H422" i="1"/>
  <c r="E423" i="1"/>
  <c r="F423" i="1"/>
  <c r="H423" i="1"/>
  <c r="E424" i="1"/>
  <c r="F424" i="1"/>
  <c r="H424" i="1"/>
  <c r="E425" i="1"/>
  <c r="F425" i="1"/>
  <c r="H425" i="1"/>
  <c r="E426" i="1"/>
  <c r="F426" i="1"/>
  <c r="H426" i="1"/>
  <c r="E427" i="1"/>
  <c r="F427" i="1"/>
  <c r="H427" i="1"/>
  <c r="E428" i="1"/>
  <c r="F428" i="1"/>
  <c r="H428" i="1"/>
  <c r="E429" i="1"/>
  <c r="F429" i="1"/>
  <c r="H429" i="1"/>
  <c r="E430" i="1"/>
  <c r="F430" i="1"/>
  <c r="H430" i="1"/>
  <c r="E431" i="1"/>
  <c r="F431" i="1"/>
  <c r="H431" i="1"/>
  <c r="E432" i="1"/>
  <c r="F432" i="1"/>
  <c r="H432" i="1"/>
  <c r="E433" i="1"/>
  <c r="F433" i="1"/>
  <c r="H433" i="1"/>
  <c r="E434" i="1"/>
  <c r="F434" i="1"/>
  <c r="H434" i="1"/>
  <c r="E435" i="1"/>
  <c r="F435" i="1"/>
  <c r="H435" i="1"/>
  <c r="E436" i="1"/>
  <c r="F436" i="1"/>
  <c r="H436" i="1"/>
  <c r="E437" i="1"/>
  <c r="F437" i="1"/>
  <c r="H437" i="1"/>
  <c r="E438" i="1"/>
  <c r="F438" i="1"/>
  <c r="H438" i="1"/>
  <c r="E439" i="1"/>
  <c r="F439" i="1"/>
  <c r="H439" i="1"/>
  <c r="E440" i="1"/>
  <c r="F440" i="1"/>
  <c r="H440" i="1"/>
  <c r="E441" i="1"/>
  <c r="F441" i="1"/>
  <c r="H441" i="1"/>
  <c r="E442" i="1"/>
  <c r="F442" i="1"/>
  <c r="H442" i="1"/>
  <c r="E443" i="1"/>
  <c r="F443" i="1"/>
  <c r="H443" i="1"/>
  <c r="E444" i="1"/>
  <c r="F444" i="1"/>
  <c r="H444" i="1"/>
  <c r="E445" i="1"/>
  <c r="F445" i="1"/>
  <c r="H445" i="1"/>
  <c r="E446" i="1"/>
  <c r="F446" i="1"/>
  <c r="H446" i="1"/>
  <c r="E447" i="1"/>
  <c r="F447" i="1"/>
  <c r="H447" i="1"/>
  <c r="E448" i="1"/>
  <c r="F448" i="1"/>
  <c r="H448" i="1"/>
  <c r="E449" i="1"/>
  <c r="F449" i="1"/>
  <c r="H449" i="1"/>
  <c r="E450" i="1"/>
  <c r="F450" i="1"/>
  <c r="H450" i="1"/>
  <c r="E451" i="1"/>
  <c r="F451" i="1"/>
  <c r="H451" i="1"/>
  <c r="E452" i="1"/>
  <c r="F452" i="1"/>
  <c r="H452" i="1"/>
  <c r="E453" i="1"/>
  <c r="F453" i="1"/>
  <c r="H453" i="1"/>
  <c r="E454" i="1"/>
  <c r="F454" i="1"/>
  <c r="H454" i="1"/>
  <c r="E455" i="1"/>
  <c r="F455" i="1"/>
  <c r="H455" i="1"/>
  <c r="E456" i="1"/>
  <c r="F456" i="1"/>
  <c r="H456" i="1"/>
  <c r="E457" i="1"/>
  <c r="F457" i="1"/>
  <c r="H457" i="1"/>
  <c r="E458" i="1"/>
  <c r="F458" i="1"/>
  <c r="H458" i="1"/>
  <c r="E459" i="1"/>
  <c r="F459" i="1"/>
  <c r="H459" i="1"/>
  <c r="E460" i="1"/>
  <c r="F460" i="1"/>
  <c r="H460" i="1"/>
  <c r="E461" i="1"/>
  <c r="F461" i="1"/>
  <c r="H461" i="1"/>
  <c r="E462" i="1"/>
  <c r="F462" i="1"/>
  <c r="H462" i="1"/>
  <c r="E463" i="1"/>
  <c r="F463" i="1"/>
  <c r="H463" i="1"/>
  <c r="E464" i="1"/>
  <c r="F464" i="1"/>
  <c r="H464" i="1"/>
  <c r="E465" i="1"/>
  <c r="F465" i="1"/>
  <c r="H465" i="1"/>
  <c r="E466" i="1"/>
  <c r="F466" i="1"/>
  <c r="H466" i="1"/>
  <c r="E467" i="1"/>
  <c r="F467" i="1"/>
  <c r="H467" i="1"/>
  <c r="E468" i="1"/>
  <c r="F468" i="1"/>
  <c r="H468" i="1"/>
  <c r="E469" i="1"/>
  <c r="F469" i="1"/>
  <c r="H469" i="1"/>
  <c r="E470" i="1"/>
  <c r="F470" i="1"/>
  <c r="H470" i="1"/>
  <c r="E471" i="1"/>
  <c r="F471" i="1"/>
  <c r="H471" i="1"/>
  <c r="E472" i="1"/>
  <c r="F472" i="1"/>
  <c r="H472" i="1"/>
  <c r="E473" i="1"/>
  <c r="F473" i="1"/>
  <c r="H473" i="1"/>
  <c r="E474" i="1"/>
  <c r="F474" i="1"/>
  <c r="H474" i="1"/>
  <c r="E475" i="1"/>
  <c r="F475" i="1"/>
  <c r="H475" i="1"/>
  <c r="E476" i="1"/>
  <c r="F476" i="1"/>
  <c r="H476" i="1"/>
  <c r="E477" i="1"/>
  <c r="F477" i="1"/>
  <c r="H477" i="1"/>
  <c r="E478" i="1"/>
  <c r="F478" i="1"/>
  <c r="H478" i="1"/>
  <c r="E479" i="1"/>
  <c r="F479" i="1"/>
  <c r="H479" i="1"/>
  <c r="E480" i="1"/>
  <c r="F480" i="1"/>
  <c r="H480" i="1"/>
  <c r="E481" i="1"/>
  <c r="F481" i="1"/>
  <c r="H481" i="1"/>
  <c r="E482" i="1"/>
  <c r="F482" i="1"/>
  <c r="H482" i="1"/>
  <c r="E483" i="1"/>
  <c r="F483" i="1"/>
  <c r="H483" i="1"/>
  <c r="E484" i="1"/>
  <c r="F484" i="1"/>
  <c r="H484" i="1"/>
  <c r="E485" i="1"/>
  <c r="F485" i="1"/>
  <c r="H485" i="1"/>
  <c r="E486" i="1"/>
  <c r="F486" i="1"/>
  <c r="H486" i="1"/>
  <c r="E487" i="1"/>
  <c r="F487" i="1"/>
  <c r="H487" i="1"/>
  <c r="E488" i="1"/>
  <c r="F488" i="1"/>
  <c r="H488" i="1"/>
  <c r="E489" i="1"/>
  <c r="F489" i="1"/>
  <c r="H489" i="1"/>
  <c r="E490" i="1"/>
  <c r="F490" i="1"/>
  <c r="H490" i="1"/>
  <c r="E491" i="1"/>
  <c r="F491" i="1"/>
  <c r="H491" i="1"/>
  <c r="E492" i="1"/>
  <c r="F492" i="1"/>
  <c r="H492" i="1"/>
  <c r="E493" i="1"/>
  <c r="F493" i="1"/>
  <c r="H493" i="1"/>
  <c r="E494" i="1"/>
  <c r="F494" i="1"/>
  <c r="H494" i="1"/>
  <c r="E495" i="1"/>
  <c r="F495" i="1"/>
  <c r="H495" i="1"/>
  <c r="E496" i="1"/>
  <c r="F496" i="1"/>
  <c r="H496" i="1"/>
  <c r="E497" i="1"/>
  <c r="F497" i="1"/>
  <c r="H497" i="1"/>
  <c r="E498" i="1"/>
  <c r="F498" i="1"/>
  <c r="H498" i="1"/>
  <c r="E499" i="1"/>
  <c r="F499" i="1"/>
  <c r="H499" i="1"/>
  <c r="E500" i="1"/>
  <c r="F500" i="1"/>
  <c r="H500" i="1"/>
  <c r="E501" i="1"/>
  <c r="F501" i="1"/>
  <c r="H501" i="1"/>
  <c r="E502" i="1"/>
  <c r="F502" i="1"/>
  <c r="H502" i="1"/>
  <c r="E503" i="1"/>
  <c r="F503" i="1"/>
  <c r="H503" i="1"/>
  <c r="E504" i="1"/>
  <c r="F504" i="1"/>
  <c r="H504" i="1"/>
  <c r="E505" i="1"/>
  <c r="F505" i="1"/>
  <c r="H505" i="1"/>
  <c r="E506" i="1"/>
  <c r="F506" i="1"/>
  <c r="H506" i="1"/>
  <c r="E507" i="1"/>
  <c r="F507" i="1"/>
  <c r="H507" i="1"/>
  <c r="E508" i="1"/>
  <c r="F508" i="1"/>
  <c r="H508" i="1"/>
  <c r="E509" i="1"/>
  <c r="F509" i="1"/>
  <c r="H509" i="1"/>
  <c r="E510" i="1"/>
  <c r="F510" i="1"/>
  <c r="H510" i="1"/>
  <c r="E511" i="1"/>
  <c r="F511" i="1"/>
  <c r="H511" i="1"/>
  <c r="E512" i="1"/>
  <c r="F512" i="1"/>
  <c r="H512" i="1"/>
  <c r="E513" i="1"/>
  <c r="F513" i="1"/>
  <c r="H513" i="1"/>
  <c r="E514" i="1"/>
  <c r="F514" i="1"/>
  <c r="H514" i="1"/>
  <c r="E515" i="1"/>
  <c r="F515" i="1"/>
  <c r="H515" i="1"/>
  <c r="E516" i="1"/>
  <c r="F516" i="1"/>
  <c r="H516" i="1"/>
  <c r="E517" i="1"/>
  <c r="F517" i="1"/>
  <c r="H517" i="1"/>
  <c r="E518" i="1"/>
  <c r="F518" i="1"/>
  <c r="H518" i="1"/>
  <c r="E519" i="1"/>
  <c r="F519" i="1"/>
  <c r="H519" i="1"/>
  <c r="E520" i="1"/>
  <c r="F520" i="1"/>
  <c r="H520" i="1"/>
  <c r="E521" i="1"/>
  <c r="F521" i="1"/>
  <c r="H521" i="1"/>
  <c r="E522" i="1"/>
  <c r="F522" i="1"/>
  <c r="H522" i="1"/>
  <c r="E523" i="1"/>
  <c r="F523" i="1"/>
  <c r="H523" i="1"/>
  <c r="E524" i="1"/>
  <c r="F524" i="1"/>
  <c r="H524" i="1"/>
  <c r="E525" i="1"/>
  <c r="F525" i="1"/>
  <c r="H525" i="1"/>
  <c r="E526" i="1"/>
  <c r="F526" i="1"/>
  <c r="H526" i="1"/>
  <c r="E527" i="1"/>
  <c r="F527" i="1"/>
  <c r="H527" i="1"/>
  <c r="E528" i="1"/>
  <c r="F528" i="1"/>
  <c r="H528" i="1"/>
  <c r="E529" i="1"/>
  <c r="F529" i="1"/>
  <c r="H529" i="1"/>
  <c r="E530" i="1"/>
  <c r="F530" i="1"/>
  <c r="H530" i="1"/>
  <c r="E531" i="1"/>
  <c r="F531" i="1"/>
  <c r="H531" i="1"/>
  <c r="E532" i="1"/>
  <c r="F532" i="1"/>
  <c r="H532" i="1"/>
  <c r="E533" i="1"/>
  <c r="F533" i="1"/>
  <c r="H533" i="1"/>
  <c r="E534" i="1"/>
  <c r="F534" i="1"/>
  <c r="H534" i="1"/>
  <c r="E535" i="1"/>
  <c r="F535" i="1"/>
  <c r="H535" i="1"/>
  <c r="E536" i="1"/>
  <c r="F536" i="1"/>
  <c r="H536" i="1"/>
  <c r="E537" i="1"/>
  <c r="F537" i="1"/>
  <c r="H537" i="1"/>
  <c r="E538" i="1"/>
  <c r="F538" i="1"/>
  <c r="H538" i="1"/>
  <c r="E539" i="1"/>
  <c r="F539" i="1"/>
  <c r="H539" i="1"/>
  <c r="E540" i="1"/>
  <c r="F540" i="1"/>
  <c r="H540" i="1"/>
  <c r="E541" i="1"/>
  <c r="F541" i="1"/>
  <c r="H541" i="1"/>
  <c r="E542" i="1"/>
  <c r="F542" i="1"/>
  <c r="H542" i="1"/>
  <c r="E543" i="1"/>
  <c r="F543" i="1"/>
  <c r="H543" i="1"/>
  <c r="E544" i="1"/>
  <c r="F544" i="1"/>
  <c r="H544" i="1"/>
  <c r="E545" i="1"/>
  <c r="F545" i="1"/>
  <c r="H545" i="1"/>
  <c r="E546" i="1"/>
  <c r="F546" i="1"/>
  <c r="H546" i="1"/>
  <c r="E547" i="1"/>
  <c r="F547" i="1"/>
  <c r="H547" i="1"/>
  <c r="E548" i="1"/>
  <c r="F548" i="1"/>
  <c r="H548" i="1"/>
  <c r="E549" i="1"/>
  <c r="F549" i="1"/>
  <c r="H549" i="1"/>
  <c r="E550" i="1"/>
  <c r="F550" i="1"/>
  <c r="H550" i="1"/>
  <c r="E551" i="1"/>
  <c r="F551" i="1"/>
  <c r="H551" i="1"/>
  <c r="E552" i="1"/>
  <c r="F552" i="1"/>
  <c r="H552" i="1"/>
  <c r="E553" i="1"/>
  <c r="F553" i="1"/>
  <c r="H553" i="1"/>
  <c r="E554" i="1"/>
  <c r="F554" i="1"/>
  <c r="H554" i="1"/>
  <c r="E555" i="1"/>
  <c r="F555" i="1"/>
  <c r="H555" i="1"/>
  <c r="E556" i="1"/>
  <c r="F556" i="1"/>
  <c r="E557" i="1"/>
  <c r="F557" i="1"/>
  <c r="H557" i="1"/>
  <c r="E558" i="1"/>
  <c r="F558" i="1"/>
  <c r="H558" i="1"/>
  <c r="E559" i="1"/>
  <c r="F559" i="1"/>
  <c r="H559" i="1"/>
  <c r="E560" i="1"/>
  <c r="F560" i="1"/>
  <c r="H560" i="1"/>
  <c r="E561" i="1"/>
  <c r="F561" i="1"/>
  <c r="H561" i="1"/>
  <c r="E562" i="1"/>
  <c r="F562" i="1"/>
  <c r="H562" i="1"/>
  <c r="E563" i="1"/>
  <c r="F563" i="1"/>
  <c r="H563" i="1"/>
  <c r="E564" i="1"/>
  <c r="F564" i="1"/>
  <c r="H564" i="1"/>
  <c r="E565" i="1"/>
  <c r="F565" i="1"/>
  <c r="H565" i="1"/>
  <c r="E566" i="1"/>
  <c r="F566" i="1"/>
  <c r="H566" i="1"/>
  <c r="E567" i="1"/>
  <c r="F567" i="1"/>
  <c r="H567" i="1"/>
  <c r="E568" i="1"/>
  <c r="F568" i="1"/>
  <c r="H568" i="1"/>
  <c r="E569" i="1"/>
  <c r="F569" i="1"/>
  <c r="H569" i="1"/>
  <c r="E570" i="1"/>
  <c r="F570" i="1"/>
  <c r="H570" i="1"/>
  <c r="E571" i="1"/>
  <c r="F571" i="1"/>
  <c r="H571" i="1"/>
  <c r="E572" i="1"/>
  <c r="F572" i="1"/>
  <c r="H572" i="1"/>
  <c r="E573" i="1"/>
  <c r="F573" i="1"/>
  <c r="H573" i="1"/>
  <c r="E574" i="1"/>
  <c r="F574" i="1"/>
  <c r="H574" i="1"/>
  <c r="E575" i="1"/>
  <c r="F575" i="1"/>
  <c r="H575" i="1"/>
  <c r="E576" i="1"/>
  <c r="F576" i="1"/>
  <c r="H576" i="1"/>
  <c r="E577" i="1"/>
  <c r="F577" i="1"/>
  <c r="H577" i="1"/>
  <c r="E578" i="1"/>
  <c r="F578" i="1"/>
  <c r="H578" i="1"/>
  <c r="E579" i="1"/>
  <c r="F579" i="1"/>
  <c r="H579" i="1"/>
  <c r="E580" i="1"/>
  <c r="F580" i="1"/>
  <c r="H580" i="1"/>
  <c r="E581" i="1"/>
  <c r="F581" i="1"/>
  <c r="H581" i="1"/>
  <c r="E582" i="1"/>
  <c r="F582" i="1"/>
  <c r="H582" i="1"/>
  <c r="E583" i="1"/>
  <c r="F583" i="1"/>
  <c r="H583" i="1"/>
  <c r="E584" i="1"/>
  <c r="F584" i="1"/>
  <c r="H584" i="1"/>
  <c r="E585" i="1"/>
  <c r="F585" i="1"/>
  <c r="H585" i="1"/>
  <c r="E586" i="1"/>
  <c r="F586" i="1"/>
  <c r="H586" i="1"/>
  <c r="E587" i="1"/>
  <c r="F587" i="1"/>
  <c r="H587" i="1"/>
  <c r="E588" i="1"/>
  <c r="F588" i="1"/>
  <c r="H588" i="1"/>
  <c r="E589" i="1"/>
  <c r="F589" i="1"/>
  <c r="H589" i="1"/>
  <c r="E590" i="1"/>
  <c r="F590" i="1"/>
  <c r="H590" i="1"/>
  <c r="E591" i="1"/>
  <c r="F591" i="1"/>
  <c r="H591" i="1"/>
  <c r="E592" i="1"/>
  <c r="F592" i="1"/>
  <c r="H592" i="1"/>
  <c r="E593" i="1"/>
  <c r="F593" i="1"/>
  <c r="H593" i="1"/>
  <c r="E594" i="1"/>
  <c r="F594" i="1"/>
  <c r="H594" i="1"/>
  <c r="E595" i="1"/>
  <c r="F595" i="1"/>
  <c r="H595" i="1"/>
  <c r="E596" i="1"/>
  <c r="F596" i="1"/>
  <c r="H596" i="1"/>
  <c r="E597" i="1"/>
  <c r="F597" i="1"/>
  <c r="H597" i="1"/>
  <c r="E598" i="1"/>
  <c r="F598" i="1"/>
  <c r="H598" i="1"/>
  <c r="E599" i="1"/>
  <c r="F599" i="1"/>
  <c r="H599" i="1"/>
  <c r="E600" i="1"/>
  <c r="F600" i="1"/>
  <c r="H600" i="1"/>
  <c r="E601" i="1"/>
  <c r="F601" i="1"/>
  <c r="H601" i="1"/>
  <c r="E602" i="1"/>
  <c r="F602" i="1"/>
  <c r="H602" i="1"/>
  <c r="E603" i="1"/>
  <c r="F603" i="1"/>
  <c r="H603" i="1"/>
  <c r="E604" i="1"/>
  <c r="F604" i="1"/>
  <c r="H604" i="1"/>
  <c r="E605" i="1"/>
  <c r="F605" i="1"/>
  <c r="H605" i="1"/>
  <c r="E606" i="1"/>
  <c r="F606" i="1"/>
  <c r="H606" i="1"/>
  <c r="E607" i="1"/>
  <c r="F607" i="1"/>
  <c r="H607" i="1"/>
  <c r="E608" i="1"/>
  <c r="F608" i="1"/>
  <c r="H608" i="1"/>
  <c r="E609" i="1"/>
  <c r="F609" i="1"/>
  <c r="H609" i="1"/>
  <c r="E610" i="1"/>
  <c r="F610" i="1"/>
  <c r="H610" i="1"/>
  <c r="E611" i="1"/>
  <c r="F611" i="1"/>
  <c r="H611" i="1"/>
  <c r="E612" i="1"/>
  <c r="F612" i="1"/>
  <c r="H612" i="1"/>
  <c r="E613" i="1"/>
  <c r="F613" i="1"/>
  <c r="H613" i="1"/>
  <c r="E614" i="1"/>
  <c r="F614" i="1"/>
  <c r="H614" i="1"/>
  <c r="E615" i="1"/>
  <c r="F615" i="1"/>
  <c r="H615" i="1"/>
  <c r="E616" i="1"/>
  <c r="F616" i="1"/>
  <c r="H616" i="1"/>
  <c r="E617" i="1"/>
  <c r="F617" i="1"/>
  <c r="H617" i="1"/>
  <c r="E618" i="1"/>
  <c r="F618" i="1"/>
  <c r="H618" i="1"/>
  <c r="E619" i="1"/>
  <c r="F619" i="1"/>
  <c r="H619" i="1"/>
  <c r="E620" i="1"/>
  <c r="F620" i="1"/>
  <c r="H620" i="1"/>
  <c r="E621" i="1"/>
  <c r="F621" i="1"/>
  <c r="H621" i="1"/>
  <c r="E622" i="1"/>
  <c r="F622" i="1"/>
  <c r="H622" i="1"/>
  <c r="E623" i="1"/>
  <c r="F623" i="1"/>
  <c r="H623" i="1"/>
  <c r="E624" i="1"/>
  <c r="F624" i="1"/>
  <c r="H624" i="1"/>
  <c r="E625" i="1"/>
  <c r="F625" i="1"/>
  <c r="H625" i="1"/>
  <c r="E626" i="1"/>
  <c r="F626" i="1"/>
  <c r="H626" i="1"/>
  <c r="E627" i="1"/>
  <c r="F627" i="1"/>
  <c r="H627" i="1"/>
  <c r="E628" i="1"/>
  <c r="F628" i="1"/>
  <c r="H628" i="1"/>
  <c r="E629" i="1"/>
  <c r="F629" i="1"/>
  <c r="H629" i="1"/>
  <c r="E630" i="1"/>
  <c r="F630" i="1"/>
  <c r="H630" i="1"/>
  <c r="E631" i="1"/>
  <c r="F631" i="1"/>
  <c r="H631" i="1"/>
  <c r="E632" i="1"/>
  <c r="F632" i="1"/>
  <c r="H632" i="1"/>
  <c r="E633" i="1"/>
  <c r="F633" i="1"/>
  <c r="H633" i="1"/>
  <c r="E634" i="1"/>
  <c r="F634" i="1"/>
  <c r="H634" i="1"/>
  <c r="E635" i="1"/>
  <c r="F635" i="1"/>
  <c r="H635" i="1"/>
  <c r="E636" i="1"/>
  <c r="F636" i="1"/>
  <c r="H636" i="1"/>
  <c r="E637" i="1"/>
  <c r="F637" i="1"/>
  <c r="H637" i="1"/>
  <c r="E638" i="1"/>
  <c r="F638" i="1"/>
  <c r="H638" i="1"/>
  <c r="E639" i="1"/>
  <c r="F639" i="1"/>
  <c r="H639" i="1"/>
  <c r="E640" i="1"/>
  <c r="F640" i="1"/>
  <c r="H640" i="1"/>
  <c r="E641" i="1"/>
  <c r="F641" i="1"/>
  <c r="H641" i="1"/>
  <c r="E642" i="1"/>
  <c r="F642" i="1"/>
  <c r="H642" i="1"/>
  <c r="E643" i="1"/>
  <c r="F643" i="1"/>
  <c r="H643" i="1"/>
  <c r="E644" i="1"/>
  <c r="F644" i="1"/>
  <c r="H644" i="1"/>
  <c r="E645" i="1"/>
  <c r="F645" i="1"/>
  <c r="H645" i="1"/>
  <c r="E646" i="1"/>
  <c r="F646" i="1"/>
  <c r="H646" i="1"/>
  <c r="E647" i="1"/>
  <c r="F647" i="1"/>
  <c r="H647" i="1"/>
  <c r="E648" i="1"/>
  <c r="F648" i="1"/>
  <c r="H648" i="1"/>
  <c r="E649" i="1"/>
  <c r="F649" i="1"/>
  <c r="H649" i="1"/>
  <c r="E650" i="1"/>
  <c r="F650" i="1"/>
  <c r="H650" i="1"/>
  <c r="E651" i="1"/>
  <c r="F651" i="1"/>
  <c r="H651" i="1"/>
  <c r="E652" i="1"/>
  <c r="F652" i="1"/>
  <c r="H652" i="1"/>
  <c r="E653" i="1"/>
  <c r="F653" i="1"/>
  <c r="H653" i="1"/>
  <c r="E654" i="1"/>
  <c r="F654" i="1"/>
  <c r="H654" i="1"/>
  <c r="E655" i="1"/>
  <c r="F655" i="1"/>
  <c r="H655" i="1"/>
  <c r="E656" i="1"/>
  <c r="F656" i="1"/>
  <c r="H656" i="1"/>
  <c r="E657" i="1"/>
  <c r="F657" i="1"/>
  <c r="H657" i="1"/>
  <c r="E658" i="1"/>
  <c r="F658" i="1"/>
  <c r="H658" i="1"/>
  <c r="E659" i="1"/>
  <c r="F659" i="1"/>
  <c r="H659" i="1"/>
  <c r="E660" i="1"/>
  <c r="F660" i="1"/>
  <c r="H660" i="1"/>
  <c r="E661" i="1"/>
  <c r="F661" i="1"/>
  <c r="H661" i="1"/>
  <c r="E662" i="1"/>
  <c r="F662" i="1"/>
  <c r="H662" i="1"/>
  <c r="E663" i="1"/>
  <c r="F663" i="1"/>
  <c r="H663" i="1"/>
  <c r="E664" i="1"/>
  <c r="F664" i="1"/>
  <c r="H664" i="1"/>
  <c r="E665" i="1"/>
  <c r="F665" i="1"/>
  <c r="H665" i="1"/>
  <c r="E666" i="1"/>
  <c r="F666" i="1"/>
  <c r="H666" i="1"/>
  <c r="E667" i="1"/>
  <c r="F667" i="1"/>
  <c r="H667" i="1"/>
  <c r="E668" i="1"/>
  <c r="F668" i="1"/>
  <c r="H668" i="1"/>
  <c r="E669" i="1"/>
  <c r="F669" i="1"/>
  <c r="H669" i="1"/>
  <c r="E670" i="1"/>
  <c r="F670" i="1"/>
  <c r="H670" i="1"/>
  <c r="E671" i="1"/>
  <c r="F671" i="1"/>
  <c r="H671" i="1"/>
  <c r="E672" i="1"/>
  <c r="F672" i="1"/>
  <c r="H672" i="1"/>
  <c r="E673" i="1"/>
  <c r="F673" i="1"/>
  <c r="H673" i="1"/>
  <c r="G674" i="1"/>
  <c r="H674" i="1"/>
  <c r="I674" i="1"/>
  <c r="E675" i="1"/>
  <c r="F675" i="1"/>
  <c r="H675" i="1"/>
  <c r="E676" i="1"/>
  <c r="F676" i="1"/>
  <c r="H676" i="1"/>
  <c r="E677" i="1"/>
  <c r="F677" i="1"/>
  <c r="H677" i="1"/>
  <c r="E678" i="1"/>
  <c r="F678" i="1"/>
  <c r="H678" i="1"/>
  <c r="E679" i="1"/>
  <c r="F679" i="1"/>
  <c r="H679" i="1"/>
  <c r="E680" i="1"/>
  <c r="F680" i="1"/>
  <c r="H680" i="1"/>
  <c r="E681" i="1"/>
  <c r="F681" i="1"/>
  <c r="H681" i="1"/>
  <c r="E682" i="1"/>
  <c r="F682" i="1"/>
  <c r="H682" i="1"/>
  <c r="E683" i="1"/>
  <c r="F683" i="1"/>
  <c r="H683" i="1"/>
  <c r="E684" i="1"/>
  <c r="F684" i="1"/>
  <c r="H684" i="1"/>
  <c r="E685" i="1"/>
  <c r="F685" i="1"/>
  <c r="H685" i="1"/>
  <c r="E686" i="1"/>
  <c r="F686" i="1"/>
  <c r="H686" i="1"/>
  <c r="E687" i="1"/>
  <c r="F687" i="1"/>
  <c r="H687" i="1"/>
  <c r="E688" i="1"/>
  <c r="F688" i="1"/>
  <c r="H688" i="1"/>
  <c r="E689" i="1"/>
  <c r="F689" i="1"/>
  <c r="H689" i="1"/>
  <c r="E690" i="1"/>
  <c r="F690" i="1"/>
  <c r="H690" i="1"/>
  <c r="E691" i="1"/>
  <c r="F691" i="1"/>
  <c r="H691" i="1"/>
  <c r="E692" i="1"/>
  <c r="F692" i="1"/>
  <c r="H692" i="1"/>
  <c r="E693" i="1"/>
  <c r="F693" i="1"/>
  <c r="H693" i="1"/>
  <c r="E694" i="1"/>
  <c r="F694" i="1"/>
  <c r="H694" i="1"/>
  <c r="E695" i="1"/>
  <c r="F695" i="1"/>
  <c r="H695" i="1"/>
  <c r="E696" i="1"/>
  <c r="F696" i="1"/>
  <c r="H696" i="1"/>
  <c r="E697" i="1"/>
  <c r="F697" i="1"/>
  <c r="H697" i="1"/>
  <c r="E698" i="1"/>
  <c r="F698" i="1"/>
  <c r="H698" i="1"/>
  <c r="E699" i="1"/>
  <c r="F699" i="1"/>
  <c r="H699" i="1"/>
  <c r="E700" i="1"/>
  <c r="F700" i="1"/>
  <c r="H700" i="1"/>
  <c r="E701" i="1"/>
  <c r="F701" i="1"/>
  <c r="H701" i="1"/>
  <c r="E702" i="1"/>
  <c r="F702" i="1"/>
  <c r="H702" i="1"/>
  <c r="E703" i="1"/>
  <c r="F703" i="1"/>
  <c r="H703" i="1"/>
  <c r="E704" i="1"/>
  <c r="F704" i="1"/>
  <c r="H704" i="1"/>
  <c r="E705" i="1"/>
  <c r="F705" i="1"/>
  <c r="H705" i="1"/>
  <c r="E706" i="1"/>
  <c r="F706" i="1"/>
  <c r="H706" i="1"/>
  <c r="E707" i="1"/>
  <c r="F707" i="1"/>
  <c r="H707" i="1"/>
  <c r="E708" i="1"/>
  <c r="F708" i="1"/>
  <c r="H708" i="1"/>
  <c r="E709" i="1"/>
  <c r="F709" i="1"/>
  <c r="H709" i="1"/>
  <c r="E710" i="1"/>
  <c r="F710" i="1"/>
  <c r="H710" i="1"/>
  <c r="E711" i="1"/>
  <c r="F711" i="1"/>
  <c r="H711" i="1"/>
  <c r="E712" i="1"/>
  <c r="F712" i="1"/>
  <c r="H712" i="1"/>
  <c r="E713" i="1"/>
  <c r="F713" i="1"/>
  <c r="H713" i="1"/>
  <c r="E714" i="1"/>
  <c r="F714" i="1"/>
  <c r="H714" i="1"/>
  <c r="E715" i="1"/>
  <c r="F715" i="1"/>
  <c r="H715" i="1"/>
  <c r="E716" i="1"/>
  <c r="F716" i="1"/>
  <c r="H716" i="1"/>
  <c r="E717" i="1"/>
  <c r="F717" i="1"/>
  <c r="H717" i="1"/>
  <c r="E718" i="1"/>
  <c r="F718" i="1"/>
  <c r="H718" i="1"/>
  <c r="E719" i="1"/>
  <c r="F719" i="1"/>
  <c r="H719" i="1"/>
  <c r="E720" i="1"/>
  <c r="F720" i="1"/>
  <c r="H720" i="1"/>
  <c r="E721" i="1"/>
  <c r="F721" i="1"/>
  <c r="H721" i="1"/>
  <c r="E722" i="1"/>
  <c r="F722" i="1"/>
  <c r="H722" i="1"/>
  <c r="E723" i="1"/>
  <c r="F723" i="1"/>
  <c r="H723" i="1"/>
  <c r="E724" i="1"/>
  <c r="F724" i="1"/>
  <c r="H724" i="1"/>
  <c r="E725" i="1"/>
  <c r="F725" i="1"/>
  <c r="H725" i="1"/>
  <c r="E726" i="1"/>
  <c r="F726" i="1"/>
  <c r="H726" i="1"/>
  <c r="E727" i="1"/>
  <c r="F727" i="1"/>
  <c r="H727" i="1"/>
  <c r="E728" i="1"/>
  <c r="F728" i="1"/>
  <c r="H728" i="1"/>
  <c r="E729" i="1"/>
  <c r="F729" i="1"/>
  <c r="H729" i="1"/>
  <c r="E730" i="1"/>
  <c r="F730" i="1"/>
  <c r="H730" i="1"/>
  <c r="G731" i="1"/>
  <c r="H731" i="1"/>
  <c r="I731" i="1"/>
  <c r="E732" i="1"/>
  <c r="F732" i="1"/>
  <c r="H732" i="1"/>
  <c r="E733" i="1"/>
  <c r="F733" i="1"/>
  <c r="H733" i="1"/>
  <c r="E734" i="1"/>
  <c r="F734" i="1"/>
  <c r="H734" i="1"/>
  <c r="E735" i="1"/>
  <c r="F735" i="1"/>
  <c r="H735" i="1"/>
  <c r="E736" i="1"/>
  <c r="F736" i="1"/>
  <c r="H736" i="1"/>
  <c r="E737" i="1"/>
  <c r="F737" i="1"/>
  <c r="H737" i="1"/>
  <c r="E738" i="1"/>
  <c r="F738" i="1"/>
  <c r="H738" i="1"/>
  <c r="E739" i="1"/>
  <c r="F739" i="1"/>
  <c r="H739" i="1"/>
  <c r="E740" i="1"/>
  <c r="F740" i="1"/>
  <c r="H740" i="1"/>
  <c r="E741" i="1"/>
  <c r="F741" i="1"/>
  <c r="H741" i="1"/>
  <c r="E742" i="1"/>
  <c r="F742" i="1"/>
  <c r="H742" i="1"/>
  <c r="E743" i="1"/>
  <c r="F743" i="1"/>
  <c r="H743" i="1"/>
  <c r="E744" i="1"/>
  <c r="F744" i="1"/>
  <c r="H744" i="1"/>
  <c r="E745" i="1"/>
  <c r="F745" i="1"/>
  <c r="H745" i="1"/>
  <c r="E746" i="1"/>
  <c r="F746" i="1"/>
  <c r="H746" i="1"/>
  <c r="E747" i="1"/>
  <c r="F747" i="1"/>
  <c r="H747" i="1"/>
  <c r="E748" i="1"/>
  <c r="F748" i="1"/>
  <c r="H748" i="1"/>
  <c r="E749" i="1"/>
  <c r="F749" i="1"/>
  <c r="H749" i="1"/>
  <c r="E750" i="1"/>
  <c r="F750" i="1"/>
  <c r="H750" i="1"/>
  <c r="E751" i="1"/>
  <c r="F751" i="1"/>
  <c r="H751" i="1"/>
  <c r="E752" i="1"/>
  <c r="F752" i="1"/>
  <c r="H752" i="1"/>
  <c r="E753" i="1"/>
  <c r="F753" i="1"/>
  <c r="H753" i="1"/>
  <c r="E754" i="1"/>
  <c r="F754" i="1"/>
  <c r="H754" i="1"/>
  <c r="E755" i="1"/>
  <c r="F755" i="1"/>
  <c r="H755" i="1"/>
  <c r="E756" i="1"/>
  <c r="F756" i="1"/>
  <c r="H756" i="1"/>
  <c r="E757" i="1"/>
  <c r="F757" i="1"/>
  <c r="H757" i="1"/>
  <c r="E758" i="1"/>
  <c r="F758" i="1"/>
  <c r="H758" i="1"/>
  <c r="E759" i="1"/>
  <c r="F759" i="1"/>
  <c r="H759" i="1"/>
  <c r="E760" i="1"/>
  <c r="F760" i="1"/>
  <c r="H760" i="1"/>
  <c r="E761" i="1"/>
  <c r="F761" i="1"/>
  <c r="H761" i="1"/>
  <c r="E762" i="1"/>
  <c r="F762" i="1"/>
  <c r="H762" i="1"/>
  <c r="E763" i="1"/>
  <c r="F763" i="1"/>
  <c r="H763" i="1"/>
  <c r="E764" i="1"/>
  <c r="F764" i="1"/>
  <c r="H764" i="1"/>
  <c r="E765" i="1"/>
  <c r="F765" i="1"/>
  <c r="H765" i="1"/>
  <c r="E766" i="1"/>
  <c r="F766" i="1"/>
  <c r="H766" i="1"/>
  <c r="E767" i="1"/>
  <c r="F767" i="1"/>
  <c r="H767" i="1"/>
  <c r="E768" i="1"/>
  <c r="F768" i="1"/>
  <c r="H768" i="1"/>
  <c r="E769" i="1"/>
  <c r="F769" i="1"/>
  <c r="H769" i="1"/>
  <c r="E770" i="1"/>
  <c r="F770" i="1"/>
  <c r="H770" i="1"/>
  <c r="E771" i="1"/>
  <c r="F771" i="1"/>
  <c r="H771" i="1"/>
  <c r="E772" i="1"/>
  <c r="F772" i="1"/>
  <c r="H772" i="1"/>
  <c r="E773" i="1"/>
  <c r="F773" i="1"/>
  <c r="H773" i="1"/>
  <c r="E774" i="1"/>
  <c r="F774" i="1"/>
  <c r="H774" i="1"/>
  <c r="E775" i="1"/>
  <c r="F775" i="1"/>
  <c r="H775" i="1"/>
  <c r="E776" i="1"/>
  <c r="F776" i="1"/>
  <c r="H776" i="1"/>
  <c r="E777" i="1"/>
  <c r="F777" i="1"/>
  <c r="H777" i="1"/>
  <c r="E778" i="1"/>
  <c r="F778" i="1"/>
  <c r="H778" i="1"/>
  <c r="E779" i="1"/>
  <c r="F779" i="1"/>
  <c r="H779" i="1"/>
  <c r="E780" i="1"/>
  <c r="F780" i="1"/>
  <c r="H780" i="1"/>
  <c r="E781" i="1"/>
  <c r="F781" i="1"/>
  <c r="H781" i="1"/>
  <c r="E782" i="1"/>
  <c r="F782" i="1"/>
  <c r="H782" i="1"/>
  <c r="E783" i="1"/>
  <c r="F783" i="1"/>
  <c r="H783" i="1"/>
  <c r="E784" i="1"/>
  <c r="F784" i="1"/>
  <c r="H784" i="1"/>
  <c r="E785" i="1"/>
  <c r="F785" i="1"/>
  <c r="H785" i="1"/>
  <c r="E786" i="1"/>
  <c r="F786" i="1"/>
  <c r="H786" i="1"/>
  <c r="E787" i="1"/>
  <c r="F787" i="1"/>
  <c r="H787" i="1"/>
  <c r="E788" i="1"/>
  <c r="F788" i="1"/>
  <c r="H788" i="1"/>
  <c r="E789" i="1"/>
  <c r="F789" i="1"/>
  <c r="H789" i="1"/>
  <c r="E790" i="1"/>
  <c r="F790" i="1"/>
  <c r="H790" i="1"/>
  <c r="E791" i="1"/>
  <c r="F791" i="1"/>
  <c r="H791" i="1"/>
  <c r="E792" i="1"/>
  <c r="F792" i="1"/>
  <c r="H792" i="1"/>
  <c r="E793" i="1"/>
  <c r="F793" i="1"/>
  <c r="H793" i="1"/>
  <c r="E794" i="1"/>
  <c r="F794" i="1"/>
  <c r="H794" i="1"/>
  <c r="E795" i="1"/>
  <c r="F795" i="1"/>
  <c r="H795" i="1"/>
  <c r="E796" i="1"/>
  <c r="F796" i="1"/>
  <c r="H796" i="1"/>
  <c r="E797" i="1"/>
  <c r="F797" i="1"/>
  <c r="H797" i="1"/>
  <c r="E798" i="1"/>
  <c r="F798" i="1"/>
  <c r="H798" i="1"/>
  <c r="E799" i="1"/>
  <c r="F799" i="1"/>
  <c r="H799" i="1"/>
  <c r="E800" i="1"/>
  <c r="F800" i="1"/>
  <c r="H800" i="1"/>
  <c r="E801" i="1"/>
  <c r="F801" i="1"/>
  <c r="H801" i="1"/>
  <c r="E802" i="1"/>
  <c r="F802" i="1"/>
  <c r="H802" i="1"/>
  <c r="E803" i="1"/>
  <c r="F803" i="1"/>
  <c r="H803" i="1"/>
  <c r="E804" i="1"/>
  <c r="F804" i="1"/>
  <c r="H804" i="1"/>
  <c r="E805" i="1"/>
  <c r="F805" i="1"/>
  <c r="H805" i="1"/>
  <c r="E806" i="1"/>
  <c r="F806" i="1"/>
  <c r="H806" i="1"/>
  <c r="E807" i="1"/>
  <c r="F807" i="1"/>
  <c r="H807" i="1"/>
  <c r="E808" i="1"/>
  <c r="F808" i="1"/>
  <c r="H808" i="1"/>
  <c r="E809" i="1"/>
  <c r="F809" i="1"/>
  <c r="H809" i="1"/>
  <c r="E810" i="1"/>
  <c r="F810" i="1"/>
  <c r="H810" i="1"/>
  <c r="E811" i="1"/>
  <c r="F811" i="1"/>
  <c r="H811" i="1"/>
  <c r="E812" i="1"/>
  <c r="F812" i="1"/>
  <c r="H812" i="1"/>
  <c r="E813" i="1"/>
  <c r="F813" i="1"/>
  <c r="H813" i="1"/>
  <c r="E814" i="1"/>
  <c r="F814" i="1"/>
  <c r="H814" i="1"/>
  <c r="E815" i="1"/>
  <c r="F815" i="1"/>
  <c r="H815" i="1"/>
  <c r="E816" i="1"/>
  <c r="F816" i="1"/>
  <c r="H816" i="1"/>
  <c r="E817" i="1"/>
  <c r="F817" i="1"/>
  <c r="H817" i="1"/>
  <c r="E818" i="1"/>
  <c r="F818" i="1"/>
  <c r="H818" i="1"/>
  <c r="E819" i="1"/>
  <c r="F819" i="1"/>
  <c r="H819" i="1"/>
  <c r="G820" i="1"/>
  <c r="H820" i="1"/>
  <c r="I820" i="1"/>
  <c r="E821" i="1"/>
  <c r="F821" i="1"/>
  <c r="H821" i="1"/>
  <c r="E822" i="1"/>
  <c r="F822" i="1"/>
  <c r="H822" i="1"/>
  <c r="E823" i="1"/>
  <c r="F823" i="1"/>
  <c r="H823" i="1"/>
  <c r="E824" i="1"/>
  <c r="F824" i="1"/>
  <c r="H824" i="1"/>
  <c r="E825" i="1"/>
  <c r="F825" i="1"/>
  <c r="H825" i="1"/>
  <c r="G826" i="1"/>
  <c r="H826" i="1"/>
  <c r="I826" i="1"/>
  <c r="E827" i="1"/>
  <c r="F827" i="1"/>
  <c r="H827" i="1"/>
  <c r="E828" i="1"/>
  <c r="F828" i="1"/>
  <c r="H828" i="1"/>
  <c r="E829" i="1"/>
  <c r="F829" i="1"/>
  <c r="H829" i="1"/>
  <c r="E830" i="1"/>
  <c r="F830" i="1"/>
  <c r="H830" i="1"/>
  <c r="E831" i="1"/>
  <c r="F831" i="1"/>
  <c r="H831" i="1"/>
  <c r="E832" i="1"/>
  <c r="F832" i="1"/>
  <c r="H832" i="1"/>
  <c r="E833" i="1"/>
  <c r="F833" i="1"/>
  <c r="H833" i="1"/>
  <c r="E834" i="1"/>
  <c r="F834" i="1"/>
  <c r="H834" i="1"/>
  <c r="E835" i="1"/>
  <c r="F835" i="1"/>
  <c r="H835" i="1"/>
  <c r="E836" i="1"/>
  <c r="F836" i="1"/>
  <c r="H836" i="1"/>
  <c r="E837" i="1"/>
  <c r="F837" i="1"/>
  <c r="H837" i="1"/>
  <c r="E838" i="1"/>
  <c r="F838" i="1"/>
  <c r="H838" i="1"/>
  <c r="E839" i="1"/>
  <c r="F839" i="1"/>
  <c r="H839" i="1"/>
  <c r="E840" i="1"/>
  <c r="F840" i="1"/>
  <c r="H840" i="1"/>
  <c r="E841" i="1"/>
  <c r="F841" i="1"/>
  <c r="H841" i="1"/>
  <c r="E842" i="1"/>
  <c r="F842" i="1"/>
  <c r="H842" i="1"/>
  <c r="E843" i="1"/>
  <c r="F843" i="1"/>
  <c r="H843" i="1"/>
  <c r="E844" i="1"/>
  <c r="F844" i="1"/>
  <c r="H844" i="1"/>
  <c r="E845" i="1"/>
  <c r="F845" i="1"/>
  <c r="H845" i="1"/>
  <c r="E846" i="1"/>
  <c r="F846" i="1"/>
  <c r="H846" i="1"/>
  <c r="E847" i="1"/>
  <c r="F847" i="1"/>
  <c r="H847" i="1"/>
  <c r="E848" i="1"/>
  <c r="F848" i="1"/>
  <c r="H848" i="1"/>
  <c r="E849" i="1"/>
  <c r="F849" i="1"/>
  <c r="H849" i="1"/>
  <c r="E850" i="1"/>
  <c r="F850" i="1"/>
  <c r="H850" i="1"/>
  <c r="E851" i="1"/>
  <c r="F851" i="1"/>
  <c r="H851" i="1"/>
  <c r="E852" i="1"/>
  <c r="F852" i="1"/>
  <c r="H852" i="1"/>
  <c r="E853" i="1"/>
  <c r="F853" i="1"/>
  <c r="H853" i="1"/>
  <c r="E854" i="1"/>
  <c r="F854" i="1"/>
  <c r="H854" i="1"/>
  <c r="E855" i="1"/>
  <c r="F855" i="1"/>
  <c r="H855" i="1"/>
  <c r="E856" i="1"/>
  <c r="F856" i="1"/>
  <c r="H856" i="1"/>
  <c r="E857" i="1"/>
  <c r="F857" i="1"/>
  <c r="H857" i="1"/>
  <c r="E858" i="1"/>
  <c r="F858" i="1"/>
  <c r="H858" i="1"/>
  <c r="E859" i="1"/>
  <c r="F859" i="1"/>
  <c r="H859" i="1"/>
  <c r="E860" i="1"/>
  <c r="F860" i="1"/>
  <c r="H860" i="1"/>
  <c r="E861" i="1"/>
  <c r="F861" i="1"/>
  <c r="H861" i="1"/>
  <c r="E862" i="1"/>
  <c r="F862" i="1"/>
  <c r="H862" i="1"/>
  <c r="E863" i="1"/>
  <c r="F863" i="1"/>
  <c r="H863" i="1"/>
  <c r="E864" i="1"/>
  <c r="F864" i="1"/>
  <c r="H864" i="1"/>
  <c r="E865" i="1"/>
  <c r="F865" i="1"/>
  <c r="H865" i="1"/>
  <c r="E866" i="1"/>
  <c r="F866" i="1"/>
  <c r="H866" i="1"/>
  <c r="G867" i="1"/>
  <c r="H867" i="1"/>
  <c r="I867" i="1"/>
  <c r="G868" i="1"/>
  <c r="H868" i="1"/>
  <c r="I868" i="1"/>
  <c r="E869" i="1"/>
  <c r="F869" i="1"/>
  <c r="H869" i="1"/>
  <c r="E870" i="1"/>
  <c r="F870" i="1"/>
  <c r="H870" i="1"/>
  <c r="E871" i="1"/>
  <c r="F871" i="1"/>
  <c r="H871" i="1"/>
  <c r="E872" i="1"/>
  <c r="F872" i="1"/>
  <c r="H872" i="1"/>
  <c r="E873" i="1"/>
  <c r="F873" i="1"/>
  <c r="H873" i="1"/>
  <c r="E874" i="1"/>
  <c r="F874" i="1"/>
  <c r="H874" i="1"/>
  <c r="E875" i="1"/>
  <c r="F875" i="1"/>
  <c r="H875" i="1"/>
  <c r="E876" i="1"/>
  <c r="F876" i="1"/>
  <c r="H876" i="1"/>
  <c r="E877" i="1"/>
  <c r="F877" i="1"/>
  <c r="H877" i="1"/>
  <c r="E878" i="1"/>
  <c r="F878" i="1"/>
  <c r="H878" i="1"/>
  <c r="E879" i="1"/>
  <c r="F879" i="1"/>
  <c r="H879" i="1"/>
  <c r="E880" i="1"/>
  <c r="F880" i="1"/>
  <c r="H880" i="1"/>
  <c r="E881" i="1"/>
  <c r="F881" i="1"/>
  <c r="H881" i="1"/>
  <c r="E882" i="1"/>
  <c r="F882" i="1"/>
  <c r="H882" i="1"/>
  <c r="E883" i="1"/>
  <c r="F883" i="1"/>
  <c r="H883" i="1"/>
  <c r="E884" i="1"/>
  <c r="F884" i="1"/>
  <c r="H884" i="1"/>
  <c r="E885" i="1"/>
  <c r="F885" i="1"/>
  <c r="H885" i="1"/>
  <c r="E886" i="1"/>
  <c r="F886" i="1"/>
  <c r="H886" i="1"/>
  <c r="E887" i="1"/>
  <c r="F887" i="1"/>
  <c r="H887" i="1"/>
  <c r="E888" i="1"/>
  <c r="F888" i="1"/>
  <c r="H888" i="1"/>
  <c r="E889" i="1"/>
  <c r="F889" i="1"/>
  <c r="H889" i="1"/>
  <c r="E890" i="1"/>
  <c r="F890" i="1"/>
  <c r="H890" i="1"/>
  <c r="E891" i="1"/>
  <c r="F891" i="1"/>
  <c r="H891" i="1"/>
  <c r="E892" i="1"/>
  <c r="F892" i="1"/>
  <c r="H892" i="1"/>
  <c r="E893" i="1"/>
  <c r="F893" i="1"/>
  <c r="H893" i="1"/>
  <c r="E894" i="1"/>
  <c r="F894" i="1"/>
  <c r="H894" i="1"/>
  <c r="E895" i="1"/>
  <c r="F895" i="1"/>
  <c r="H895" i="1"/>
  <c r="E896" i="1"/>
  <c r="F896" i="1"/>
  <c r="H896" i="1"/>
  <c r="E897" i="1"/>
  <c r="F897" i="1"/>
  <c r="H897" i="1"/>
  <c r="E898" i="1"/>
  <c r="F898" i="1"/>
  <c r="H898" i="1"/>
  <c r="E899" i="1"/>
  <c r="F899" i="1"/>
  <c r="H899" i="1"/>
  <c r="E900" i="1"/>
  <c r="F900" i="1"/>
  <c r="H900" i="1"/>
  <c r="E901" i="1"/>
  <c r="F901" i="1"/>
  <c r="H901" i="1"/>
  <c r="E902" i="1"/>
  <c r="F902" i="1"/>
  <c r="H902" i="1"/>
  <c r="E903" i="1"/>
  <c r="F903" i="1"/>
  <c r="H903" i="1"/>
  <c r="E904" i="1"/>
  <c r="F904" i="1"/>
  <c r="H904" i="1"/>
  <c r="E905" i="1"/>
  <c r="F905" i="1"/>
  <c r="H905" i="1"/>
  <c r="E906" i="1"/>
  <c r="F906" i="1"/>
  <c r="H906" i="1"/>
  <c r="E907" i="1"/>
  <c r="F907" i="1"/>
  <c r="H907" i="1"/>
  <c r="E908" i="1"/>
  <c r="F908" i="1"/>
  <c r="H908" i="1"/>
  <c r="E909" i="1"/>
  <c r="F909" i="1"/>
  <c r="H909" i="1"/>
  <c r="E910" i="1"/>
  <c r="F910" i="1"/>
  <c r="H910" i="1"/>
  <c r="E911" i="1"/>
  <c r="F911" i="1"/>
  <c r="H911" i="1"/>
  <c r="E912" i="1"/>
  <c r="F912" i="1"/>
  <c r="H912" i="1"/>
  <c r="E913" i="1"/>
  <c r="F913" i="1"/>
  <c r="H913" i="1"/>
  <c r="E914" i="1"/>
  <c r="F914" i="1"/>
  <c r="H914" i="1"/>
  <c r="E915" i="1"/>
  <c r="F915" i="1"/>
  <c r="H915" i="1"/>
  <c r="E916" i="1"/>
  <c r="F916" i="1"/>
  <c r="H916" i="1"/>
  <c r="E917" i="1"/>
  <c r="F917" i="1"/>
  <c r="H917" i="1"/>
  <c r="E918" i="1"/>
  <c r="F918" i="1"/>
  <c r="H918" i="1"/>
  <c r="E919" i="1"/>
  <c r="F919" i="1"/>
  <c r="H919" i="1"/>
  <c r="E920" i="1"/>
  <c r="F920" i="1"/>
  <c r="H920" i="1"/>
  <c r="E921" i="1"/>
  <c r="F921" i="1"/>
  <c r="H921" i="1"/>
  <c r="E922" i="1"/>
  <c r="F922" i="1"/>
  <c r="H922" i="1"/>
  <c r="E923" i="1"/>
  <c r="F923" i="1"/>
  <c r="H923" i="1"/>
  <c r="E924" i="1"/>
  <c r="F924" i="1"/>
  <c r="H924" i="1"/>
  <c r="E925" i="1"/>
  <c r="F925" i="1"/>
  <c r="H925" i="1"/>
  <c r="E926" i="1"/>
  <c r="F926" i="1"/>
  <c r="H926" i="1"/>
  <c r="E927" i="1"/>
  <c r="F927" i="1"/>
  <c r="H927" i="1"/>
  <c r="E928" i="1"/>
  <c r="F928" i="1"/>
  <c r="H928" i="1"/>
  <c r="E929" i="1"/>
  <c r="F929" i="1"/>
  <c r="H929" i="1"/>
  <c r="E930" i="1"/>
  <c r="F930" i="1"/>
  <c r="H930" i="1"/>
  <c r="E931" i="1"/>
  <c r="F931" i="1"/>
  <c r="H931" i="1"/>
  <c r="E932" i="1"/>
  <c r="F932" i="1"/>
  <c r="H932" i="1"/>
  <c r="E933" i="1"/>
  <c r="F933" i="1"/>
  <c r="H933" i="1"/>
  <c r="E934" i="1"/>
  <c r="F934" i="1"/>
  <c r="H934" i="1"/>
  <c r="E935" i="1"/>
  <c r="F935" i="1"/>
  <c r="H935" i="1"/>
  <c r="E936" i="1"/>
  <c r="F936" i="1"/>
  <c r="H936" i="1"/>
  <c r="E937" i="1"/>
  <c r="F937" i="1"/>
  <c r="H937" i="1"/>
  <c r="E938" i="1"/>
  <c r="F938" i="1"/>
  <c r="H938" i="1"/>
  <c r="E939" i="1"/>
  <c r="F939" i="1"/>
  <c r="H939" i="1"/>
  <c r="E940" i="1"/>
  <c r="F940" i="1"/>
  <c r="H940" i="1"/>
  <c r="E941" i="1"/>
  <c r="F941" i="1"/>
  <c r="H941" i="1"/>
  <c r="E942" i="1"/>
  <c r="F942" i="1"/>
  <c r="H942" i="1"/>
  <c r="E943" i="1"/>
  <c r="F943" i="1"/>
  <c r="H943" i="1"/>
  <c r="E944" i="1"/>
  <c r="F944" i="1"/>
  <c r="H944" i="1"/>
  <c r="E945" i="1"/>
  <c r="F945" i="1"/>
  <c r="H945" i="1"/>
  <c r="E946" i="1"/>
  <c r="F946" i="1"/>
  <c r="H946" i="1"/>
  <c r="E947" i="1"/>
  <c r="F947" i="1"/>
  <c r="H947" i="1"/>
  <c r="E948" i="1"/>
  <c r="F948" i="1"/>
  <c r="H948" i="1"/>
  <c r="E949" i="1"/>
  <c r="F949" i="1"/>
  <c r="H949" i="1"/>
  <c r="E950" i="1"/>
  <c r="F950" i="1"/>
  <c r="H950" i="1"/>
  <c r="E951" i="1"/>
  <c r="F951" i="1"/>
  <c r="H951" i="1"/>
  <c r="E952" i="1"/>
  <c r="F952" i="1"/>
  <c r="H952" i="1"/>
  <c r="E953" i="1"/>
  <c r="F953" i="1"/>
  <c r="H953" i="1"/>
  <c r="E954" i="1"/>
  <c r="F954" i="1"/>
  <c r="H954" i="1"/>
  <c r="E955" i="1"/>
  <c r="F955" i="1"/>
  <c r="H955" i="1"/>
  <c r="E956" i="1"/>
  <c r="F956" i="1"/>
  <c r="H956" i="1"/>
  <c r="E957" i="1"/>
  <c r="F957" i="1"/>
  <c r="H957" i="1"/>
  <c r="E958" i="1"/>
  <c r="F958" i="1"/>
  <c r="H958" i="1"/>
  <c r="E959" i="1"/>
  <c r="F959" i="1"/>
  <c r="H959" i="1"/>
  <c r="E960" i="1"/>
  <c r="F960" i="1"/>
  <c r="H960" i="1"/>
  <c r="E961" i="1"/>
  <c r="F961" i="1"/>
  <c r="H961" i="1"/>
  <c r="E962" i="1"/>
  <c r="F962" i="1"/>
  <c r="H962" i="1"/>
  <c r="E963" i="1"/>
  <c r="F963" i="1"/>
  <c r="H963" i="1"/>
  <c r="E964" i="1"/>
  <c r="F964" i="1"/>
  <c r="H964" i="1"/>
  <c r="E965" i="1"/>
  <c r="F965" i="1"/>
  <c r="H965" i="1"/>
  <c r="E966" i="1"/>
  <c r="F966" i="1"/>
  <c r="H966" i="1"/>
  <c r="E967" i="1"/>
  <c r="F967" i="1"/>
  <c r="H967" i="1"/>
  <c r="E968" i="1"/>
  <c r="F968" i="1"/>
  <c r="H968" i="1"/>
  <c r="G969" i="1"/>
  <c r="H969" i="1"/>
  <c r="I969" i="1"/>
  <c r="E970" i="1"/>
  <c r="F970" i="1"/>
  <c r="H970" i="1"/>
  <c r="E971" i="1"/>
  <c r="F971" i="1"/>
  <c r="H971" i="1"/>
  <c r="E972" i="1"/>
  <c r="F972" i="1"/>
  <c r="H972" i="1"/>
  <c r="E973" i="1"/>
  <c r="F973" i="1"/>
  <c r="H973" i="1"/>
  <c r="E974" i="1"/>
  <c r="F974" i="1"/>
  <c r="H974" i="1"/>
  <c r="E975" i="1"/>
  <c r="F975" i="1"/>
  <c r="H975" i="1"/>
  <c r="E976" i="1"/>
  <c r="F976" i="1"/>
  <c r="H976" i="1"/>
  <c r="E977" i="1"/>
  <c r="F977" i="1"/>
  <c r="H977" i="1"/>
  <c r="E978" i="1"/>
  <c r="F978" i="1"/>
  <c r="H978" i="1"/>
  <c r="E979" i="1"/>
  <c r="F979" i="1"/>
  <c r="H979" i="1"/>
  <c r="E980" i="1"/>
  <c r="F980" i="1"/>
  <c r="H980" i="1"/>
  <c r="E981" i="1"/>
  <c r="F981" i="1"/>
  <c r="H981" i="1"/>
  <c r="E982" i="1"/>
  <c r="F982" i="1"/>
  <c r="H982" i="1"/>
  <c r="E983" i="1"/>
  <c r="F983" i="1"/>
  <c r="H983" i="1"/>
  <c r="E984" i="1"/>
  <c r="F984" i="1"/>
  <c r="H984" i="1"/>
  <c r="E985" i="1"/>
  <c r="F985" i="1"/>
  <c r="H985" i="1"/>
  <c r="E986" i="1"/>
  <c r="F986" i="1"/>
  <c r="H986" i="1"/>
  <c r="E987" i="1"/>
  <c r="F987" i="1"/>
  <c r="H987" i="1"/>
  <c r="E988" i="1"/>
  <c r="F988" i="1"/>
  <c r="H988" i="1"/>
  <c r="E989" i="1"/>
  <c r="F989" i="1"/>
  <c r="H989" i="1"/>
  <c r="E990" i="1"/>
  <c r="F990" i="1"/>
  <c r="H990" i="1"/>
  <c r="E991" i="1"/>
  <c r="F991" i="1"/>
  <c r="H991" i="1"/>
  <c r="E992" i="1"/>
  <c r="F992" i="1"/>
  <c r="H992" i="1"/>
  <c r="E993" i="1"/>
  <c r="F993" i="1"/>
  <c r="H993" i="1"/>
  <c r="E994" i="1"/>
  <c r="F994" i="1"/>
  <c r="H994" i="1"/>
  <c r="E995" i="1"/>
  <c r="F995" i="1"/>
  <c r="H995" i="1"/>
  <c r="E996" i="1"/>
  <c r="F996" i="1"/>
  <c r="H996" i="1"/>
  <c r="E997" i="1"/>
  <c r="F997" i="1"/>
  <c r="H997" i="1"/>
  <c r="E998" i="1"/>
  <c r="F998" i="1"/>
  <c r="H998" i="1"/>
  <c r="E999" i="1"/>
  <c r="F999" i="1"/>
  <c r="H999" i="1"/>
  <c r="E1000" i="1"/>
  <c r="F1000" i="1"/>
  <c r="H1000" i="1"/>
  <c r="E1001" i="1"/>
  <c r="F1001" i="1"/>
  <c r="H1001" i="1"/>
  <c r="E1002" i="1"/>
  <c r="F1002" i="1"/>
  <c r="H1002" i="1"/>
  <c r="E1003" i="1"/>
  <c r="F1003" i="1"/>
  <c r="H1003" i="1"/>
  <c r="E1004" i="1"/>
  <c r="F1004" i="1"/>
  <c r="H1004" i="1"/>
  <c r="E1005" i="1"/>
  <c r="F1005" i="1"/>
  <c r="H1005" i="1"/>
  <c r="E1006" i="1"/>
  <c r="F1006" i="1"/>
  <c r="H1006" i="1"/>
  <c r="E1007" i="1"/>
  <c r="F1007" i="1"/>
  <c r="H1007" i="1"/>
  <c r="E1008" i="1"/>
  <c r="F1008" i="1"/>
  <c r="H1008" i="1"/>
  <c r="E1009" i="1"/>
  <c r="F1009" i="1"/>
  <c r="H1009" i="1"/>
  <c r="E1010" i="1"/>
  <c r="F1010" i="1"/>
  <c r="H1010" i="1"/>
  <c r="E1011" i="1"/>
  <c r="F1011" i="1"/>
  <c r="H1011" i="1"/>
  <c r="E1012" i="1"/>
  <c r="F1012" i="1"/>
  <c r="H1012" i="1"/>
  <c r="E1013" i="1"/>
  <c r="F1013" i="1"/>
  <c r="H1013" i="1"/>
  <c r="E1014" i="1"/>
  <c r="F1014" i="1"/>
  <c r="H1014" i="1"/>
  <c r="E1015" i="1"/>
  <c r="F1015" i="1"/>
  <c r="H1015" i="1"/>
  <c r="E1016" i="1"/>
  <c r="F1016" i="1"/>
  <c r="H1016" i="1"/>
  <c r="E1017" i="1"/>
  <c r="F1017" i="1"/>
  <c r="H1017" i="1"/>
  <c r="E1018" i="1"/>
  <c r="F1018" i="1"/>
  <c r="H1018" i="1"/>
  <c r="E1019" i="1"/>
  <c r="F1019" i="1"/>
  <c r="H1019" i="1"/>
  <c r="E1020" i="1"/>
  <c r="F1020" i="1"/>
  <c r="H1020" i="1"/>
  <c r="E1021" i="1"/>
  <c r="F1021" i="1"/>
  <c r="H1021" i="1"/>
  <c r="E1022" i="1"/>
  <c r="F1022" i="1"/>
  <c r="H1022" i="1"/>
  <c r="E1023" i="1"/>
  <c r="F1023" i="1"/>
  <c r="H1023" i="1"/>
  <c r="E1024" i="1"/>
  <c r="F1024" i="1"/>
  <c r="H1024" i="1"/>
  <c r="E1025" i="1"/>
  <c r="F1025" i="1"/>
  <c r="H1025" i="1"/>
  <c r="E1026" i="1"/>
  <c r="F1026" i="1"/>
  <c r="H1026" i="1"/>
  <c r="E1027" i="1"/>
  <c r="F1027" i="1"/>
  <c r="H1027" i="1"/>
  <c r="E1028" i="1"/>
  <c r="F1028" i="1"/>
  <c r="H1028" i="1"/>
  <c r="E1029" i="1"/>
  <c r="F1029" i="1"/>
  <c r="H1029" i="1"/>
  <c r="E1030" i="1"/>
  <c r="F1030" i="1"/>
  <c r="H1030" i="1"/>
  <c r="E1031" i="1"/>
  <c r="F1031" i="1"/>
  <c r="H1031" i="1"/>
  <c r="E1032" i="1"/>
  <c r="F1032" i="1"/>
  <c r="H1032" i="1"/>
  <c r="E1033" i="1"/>
  <c r="F1033" i="1"/>
  <c r="H1033" i="1"/>
  <c r="E1034" i="1"/>
  <c r="F1034" i="1"/>
  <c r="H1034" i="1"/>
  <c r="E1035" i="1"/>
  <c r="F1035" i="1"/>
  <c r="H1035" i="1"/>
  <c r="E1036" i="1"/>
  <c r="F1036" i="1"/>
  <c r="H1036" i="1"/>
  <c r="E1037" i="1"/>
  <c r="F1037" i="1"/>
  <c r="H1037" i="1"/>
  <c r="E1038" i="1"/>
  <c r="F1038" i="1"/>
  <c r="H1038" i="1"/>
  <c r="E1039" i="1"/>
  <c r="F1039" i="1"/>
  <c r="H1039" i="1"/>
  <c r="E1040" i="1"/>
  <c r="F1040" i="1"/>
  <c r="H1040" i="1"/>
  <c r="E1041" i="1"/>
  <c r="F1041" i="1"/>
  <c r="H1041" i="1"/>
  <c r="E1042" i="1"/>
  <c r="F1042" i="1"/>
  <c r="H1042" i="1"/>
  <c r="E1043" i="1"/>
  <c r="F1043" i="1"/>
  <c r="H1043" i="1"/>
  <c r="E1044" i="1"/>
  <c r="F1044" i="1"/>
  <c r="H1044" i="1"/>
  <c r="E1045" i="1"/>
  <c r="F1045" i="1"/>
  <c r="H1045" i="1"/>
  <c r="E1046" i="1"/>
  <c r="F1046" i="1"/>
  <c r="H1046" i="1"/>
  <c r="E1047" i="1"/>
  <c r="F1047" i="1"/>
  <c r="H1047" i="1"/>
  <c r="E1048" i="1"/>
  <c r="F1048" i="1"/>
  <c r="H1048" i="1"/>
  <c r="E1049" i="1"/>
  <c r="F1049" i="1"/>
  <c r="H1049" i="1"/>
  <c r="E1050" i="1"/>
  <c r="F1050" i="1"/>
  <c r="H1050" i="1"/>
  <c r="E1051" i="1"/>
  <c r="F1051" i="1"/>
  <c r="H1051" i="1"/>
  <c r="E1052" i="1"/>
  <c r="F1052" i="1"/>
  <c r="H1052" i="1"/>
  <c r="E1053" i="1"/>
  <c r="F1053" i="1"/>
  <c r="H1053" i="1"/>
  <c r="E1054" i="1"/>
  <c r="F1054" i="1"/>
  <c r="H1054" i="1"/>
  <c r="E1055" i="1"/>
  <c r="F1055" i="1"/>
  <c r="H1055" i="1"/>
  <c r="E1056" i="1"/>
  <c r="F1056" i="1"/>
  <c r="H1056" i="1"/>
  <c r="E1057" i="1"/>
  <c r="F1057" i="1"/>
  <c r="H1057" i="1"/>
  <c r="E1058" i="1"/>
  <c r="F1058" i="1"/>
  <c r="H1058" i="1"/>
  <c r="E1059" i="1"/>
  <c r="F1059" i="1"/>
  <c r="H1059" i="1"/>
  <c r="E1060" i="1"/>
  <c r="F1060" i="1"/>
  <c r="H1060" i="1"/>
  <c r="E1061" i="1"/>
  <c r="F1061" i="1"/>
  <c r="H1061" i="1"/>
  <c r="E1062" i="1"/>
  <c r="F1062" i="1"/>
  <c r="H1062" i="1"/>
  <c r="E1063" i="1"/>
  <c r="F1063" i="1"/>
  <c r="H1063" i="1"/>
  <c r="E1064" i="1"/>
  <c r="F1064" i="1"/>
  <c r="H1064" i="1"/>
  <c r="E1065" i="1"/>
  <c r="F1065" i="1"/>
  <c r="H1065" i="1"/>
  <c r="E1066" i="1"/>
  <c r="F1066" i="1"/>
  <c r="H1066" i="1"/>
  <c r="E1067" i="1"/>
  <c r="F1067" i="1"/>
  <c r="H1067" i="1"/>
  <c r="E1068" i="1"/>
  <c r="F1068" i="1"/>
  <c r="H1068" i="1"/>
  <c r="E1069" i="1"/>
  <c r="F1069" i="1"/>
  <c r="H1069" i="1"/>
  <c r="E1070" i="1"/>
  <c r="F1070" i="1"/>
  <c r="H1070" i="1"/>
  <c r="E1071" i="1"/>
  <c r="F1071" i="1"/>
  <c r="H1071" i="1"/>
  <c r="E1072" i="1"/>
  <c r="F1072" i="1"/>
  <c r="H1072" i="1"/>
  <c r="E1073" i="1"/>
  <c r="F1073" i="1"/>
  <c r="H1073" i="1"/>
  <c r="E1074" i="1"/>
  <c r="F1074" i="1"/>
  <c r="H1074" i="1"/>
  <c r="E1075" i="1"/>
  <c r="F1075" i="1"/>
  <c r="H1075" i="1"/>
  <c r="E1076" i="1"/>
  <c r="F1076" i="1"/>
  <c r="H1076" i="1"/>
  <c r="E1077" i="1"/>
  <c r="F1077" i="1"/>
  <c r="H1077" i="1"/>
  <c r="E1078" i="1"/>
  <c r="F1078" i="1"/>
  <c r="H1078" i="1"/>
  <c r="E1079" i="1"/>
  <c r="F1079" i="1"/>
  <c r="H1079" i="1"/>
  <c r="E1080" i="1"/>
  <c r="F1080" i="1"/>
  <c r="H1080" i="1"/>
  <c r="E1081" i="1"/>
  <c r="F1081" i="1"/>
  <c r="H1081" i="1"/>
  <c r="E1082" i="1"/>
  <c r="F1082" i="1"/>
  <c r="H1082" i="1"/>
  <c r="E1083" i="1"/>
  <c r="F1083" i="1"/>
  <c r="H1083" i="1"/>
  <c r="E1084" i="1"/>
  <c r="F1084" i="1"/>
  <c r="H1084" i="1"/>
  <c r="E1085" i="1"/>
  <c r="F1085" i="1"/>
  <c r="H1085" i="1"/>
  <c r="E1086" i="1"/>
  <c r="F1086" i="1"/>
  <c r="H1086" i="1"/>
  <c r="E1087" i="1"/>
  <c r="F1087" i="1"/>
  <c r="H1087" i="1"/>
  <c r="E1088" i="1"/>
  <c r="F1088" i="1"/>
  <c r="H1088" i="1"/>
  <c r="E1089" i="1"/>
  <c r="F1089" i="1"/>
  <c r="H1089" i="1"/>
  <c r="E1090" i="1"/>
  <c r="F1090" i="1"/>
  <c r="H1090" i="1"/>
  <c r="E1091" i="1"/>
  <c r="F1091" i="1"/>
  <c r="H1091" i="1"/>
  <c r="E1092" i="1"/>
  <c r="F1092" i="1"/>
  <c r="H1092" i="1"/>
  <c r="E1093" i="1"/>
  <c r="F1093" i="1"/>
  <c r="H1093" i="1"/>
  <c r="E1094" i="1"/>
  <c r="F1094" i="1"/>
  <c r="H1094" i="1"/>
  <c r="E1095" i="1"/>
  <c r="F1095" i="1"/>
  <c r="H1095" i="1"/>
  <c r="E1096" i="1"/>
  <c r="F1096" i="1"/>
  <c r="H1096" i="1"/>
  <c r="E1097" i="1"/>
  <c r="F1097" i="1"/>
  <c r="H1097" i="1"/>
  <c r="E1098" i="1"/>
  <c r="F1098" i="1"/>
  <c r="H1098" i="1"/>
  <c r="E1099" i="1"/>
  <c r="F1099" i="1"/>
  <c r="H1099" i="1"/>
  <c r="E1100" i="1"/>
  <c r="F1100" i="1"/>
  <c r="H1100" i="1"/>
  <c r="E1101" i="1"/>
  <c r="F1101" i="1"/>
  <c r="H1101" i="1"/>
  <c r="E1102" i="1"/>
  <c r="F1102" i="1"/>
  <c r="H1102" i="1"/>
  <c r="E1103" i="1"/>
  <c r="F1103" i="1"/>
  <c r="H1103" i="1"/>
  <c r="E1104" i="1"/>
  <c r="F1104" i="1"/>
  <c r="H1104" i="1"/>
  <c r="E1105" i="1"/>
  <c r="F1105" i="1"/>
  <c r="H1105" i="1"/>
  <c r="E1106" i="1"/>
  <c r="F1106" i="1"/>
  <c r="H1106" i="1"/>
  <c r="E1107" i="1"/>
  <c r="F1107" i="1"/>
  <c r="H1107" i="1"/>
  <c r="E1108" i="1"/>
  <c r="F1108" i="1"/>
  <c r="H1108" i="1"/>
  <c r="E1109" i="1"/>
  <c r="F1109" i="1"/>
  <c r="H1109" i="1"/>
  <c r="E1110" i="1"/>
  <c r="F1110" i="1"/>
  <c r="H1110" i="1"/>
  <c r="E1111" i="1"/>
  <c r="F1111" i="1"/>
  <c r="H1111" i="1"/>
  <c r="E1112" i="1"/>
  <c r="F1112" i="1"/>
  <c r="H1112" i="1"/>
  <c r="E1113" i="1"/>
  <c r="F1113" i="1"/>
  <c r="H1113" i="1"/>
  <c r="E1114" i="1"/>
  <c r="F1114" i="1"/>
  <c r="H1114" i="1"/>
  <c r="E1115" i="1"/>
  <c r="F1115" i="1"/>
  <c r="H1115" i="1"/>
  <c r="E1116" i="1"/>
  <c r="F1116" i="1"/>
  <c r="H1116" i="1"/>
  <c r="E1117" i="1"/>
  <c r="F1117" i="1"/>
  <c r="H1117" i="1"/>
  <c r="E1118" i="1"/>
  <c r="F1118" i="1"/>
  <c r="H1118" i="1"/>
  <c r="E1119" i="1"/>
  <c r="F1119" i="1"/>
  <c r="H1119" i="1"/>
  <c r="E1120" i="1"/>
  <c r="F1120" i="1"/>
  <c r="H1120" i="1"/>
  <c r="E1121" i="1"/>
  <c r="F1121" i="1"/>
  <c r="H1121" i="1"/>
  <c r="E1122" i="1"/>
  <c r="F1122" i="1"/>
  <c r="H1122" i="1"/>
  <c r="E1123" i="1"/>
  <c r="F1123" i="1"/>
  <c r="H1123" i="1"/>
  <c r="E1124" i="1"/>
  <c r="F1124" i="1"/>
  <c r="H1124" i="1"/>
  <c r="E1125" i="1"/>
  <c r="F1125" i="1"/>
  <c r="H1125" i="1"/>
  <c r="E1126" i="1"/>
  <c r="F1126" i="1"/>
  <c r="H1126" i="1"/>
  <c r="E1127" i="1"/>
  <c r="F1127" i="1"/>
  <c r="H1127" i="1"/>
  <c r="E1128" i="1"/>
  <c r="F1128" i="1"/>
  <c r="H1128" i="1"/>
  <c r="E1129" i="1"/>
  <c r="F1129" i="1"/>
  <c r="H1129" i="1"/>
  <c r="E1130" i="1"/>
  <c r="F1130" i="1"/>
  <c r="H1130" i="1"/>
  <c r="E1131" i="1"/>
  <c r="F1131" i="1"/>
  <c r="H1131" i="1"/>
  <c r="E1132" i="1"/>
  <c r="F1132" i="1"/>
  <c r="H1132" i="1"/>
  <c r="E1133" i="1"/>
  <c r="F1133" i="1"/>
  <c r="H1133" i="1"/>
  <c r="E1134" i="1"/>
  <c r="F1134" i="1"/>
  <c r="H1134" i="1"/>
  <c r="E1135" i="1"/>
  <c r="F1135" i="1"/>
  <c r="H1135" i="1"/>
  <c r="E1136" i="1"/>
  <c r="F1136" i="1"/>
  <c r="H1136" i="1"/>
  <c r="E1137" i="1"/>
  <c r="F1137" i="1"/>
  <c r="H1137" i="1"/>
  <c r="E1138" i="1"/>
  <c r="F1138" i="1"/>
  <c r="H1138" i="1"/>
  <c r="E1139" i="1"/>
  <c r="F1139" i="1"/>
  <c r="H1139" i="1"/>
  <c r="E1140" i="1"/>
  <c r="F1140" i="1"/>
  <c r="H1140" i="1"/>
  <c r="E1141" i="1"/>
  <c r="F1141" i="1"/>
  <c r="H1141" i="1"/>
  <c r="E1142" i="1"/>
  <c r="F1142" i="1"/>
  <c r="H1142" i="1"/>
  <c r="E1143" i="1"/>
  <c r="F1143" i="1"/>
  <c r="H1143" i="1"/>
  <c r="E1144" i="1"/>
  <c r="F1144" i="1"/>
  <c r="H1144" i="1"/>
  <c r="E1145" i="1"/>
  <c r="F1145" i="1"/>
  <c r="H1145" i="1"/>
  <c r="E1146" i="1"/>
  <c r="F1146" i="1"/>
  <c r="H1146" i="1"/>
  <c r="E1147" i="1"/>
  <c r="F1147" i="1"/>
  <c r="H1147" i="1"/>
  <c r="E1148" i="1"/>
  <c r="F1148" i="1"/>
  <c r="H1148" i="1"/>
  <c r="E1149" i="1"/>
  <c r="F1149" i="1"/>
  <c r="H1149" i="1"/>
  <c r="E1150" i="1"/>
  <c r="F1150" i="1"/>
  <c r="H1150" i="1"/>
  <c r="E1151" i="1"/>
  <c r="F1151" i="1"/>
  <c r="H1151" i="1"/>
  <c r="E1152" i="1"/>
  <c r="F1152" i="1"/>
  <c r="H1152" i="1"/>
  <c r="E1153" i="1"/>
  <c r="F1153" i="1"/>
  <c r="H1153" i="1"/>
  <c r="E1154" i="1"/>
  <c r="F1154" i="1"/>
  <c r="H1154" i="1"/>
  <c r="E1155" i="1"/>
  <c r="F1155" i="1"/>
  <c r="H1155" i="1"/>
  <c r="E1156" i="1"/>
  <c r="F1156" i="1"/>
  <c r="H1156" i="1"/>
  <c r="E1157" i="1"/>
  <c r="F1157" i="1"/>
  <c r="H1157" i="1"/>
  <c r="E1158" i="1"/>
  <c r="F1158" i="1"/>
  <c r="H1158" i="1"/>
  <c r="E1159" i="1"/>
  <c r="F1159" i="1"/>
  <c r="H1159" i="1"/>
  <c r="E1160" i="1"/>
  <c r="F1160" i="1"/>
  <c r="H1160" i="1"/>
  <c r="G1161" i="1"/>
  <c r="H1161" i="1"/>
  <c r="I1161" i="1"/>
  <c r="G1162" i="1"/>
  <c r="H1162" i="1"/>
  <c r="I1162" i="1"/>
  <c r="E1163" i="1"/>
  <c r="F1163" i="1"/>
  <c r="H1163" i="1"/>
  <c r="E1164" i="1"/>
  <c r="F1164" i="1"/>
  <c r="H1164" i="1"/>
  <c r="E1165" i="1"/>
  <c r="F1165" i="1"/>
  <c r="H1165" i="1"/>
  <c r="E1166" i="1"/>
  <c r="F1166" i="1"/>
  <c r="H1166" i="1"/>
  <c r="E1167" i="1"/>
  <c r="F1167" i="1"/>
  <c r="H1167" i="1"/>
  <c r="E1168" i="1"/>
  <c r="F1168" i="1"/>
  <c r="H1168" i="1"/>
  <c r="E1169" i="1"/>
  <c r="F1169" i="1"/>
  <c r="H1169" i="1"/>
  <c r="E1170" i="1"/>
  <c r="F1170" i="1"/>
  <c r="H1170" i="1"/>
  <c r="E1171" i="1"/>
  <c r="F1171" i="1"/>
  <c r="H1171" i="1"/>
  <c r="E1172" i="1"/>
  <c r="F1172" i="1"/>
  <c r="H1172" i="1"/>
  <c r="E1173" i="1"/>
  <c r="F1173" i="1"/>
  <c r="H1173" i="1"/>
  <c r="E1174" i="1"/>
  <c r="F1174" i="1"/>
  <c r="H1174" i="1"/>
  <c r="E1175" i="1"/>
  <c r="F1175" i="1"/>
  <c r="H1175" i="1"/>
  <c r="E1176" i="1"/>
  <c r="F1176" i="1"/>
  <c r="H1176" i="1"/>
  <c r="E1177" i="1"/>
  <c r="F1177" i="1"/>
  <c r="H1177" i="1"/>
  <c r="E1178" i="1"/>
  <c r="F1178" i="1"/>
  <c r="H1178" i="1"/>
  <c r="E1179" i="1"/>
  <c r="F1179" i="1"/>
  <c r="H1179" i="1"/>
  <c r="E1180" i="1"/>
  <c r="F1180" i="1"/>
  <c r="H1180" i="1"/>
  <c r="E1181" i="1"/>
  <c r="F1181" i="1"/>
  <c r="H1181" i="1"/>
  <c r="E1182" i="1"/>
  <c r="F1182" i="1"/>
  <c r="H1182" i="1"/>
  <c r="E1183" i="1"/>
  <c r="F1183" i="1"/>
  <c r="H1183" i="1"/>
  <c r="E1184" i="1"/>
  <c r="F1184" i="1"/>
  <c r="H1184" i="1"/>
  <c r="E1185" i="1"/>
  <c r="F1185" i="1"/>
  <c r="H1185" i="1"/>
  <c r="E1186" i="1"/>
  <c r="F1186" i="1"/>
  <c r="H1186" i="1"/>
  <c r="E1187" i="1"/>
  <c r="F1187" i="1"/>
  <c r="H1187" i="1"/>
  <c r="E1188" i="1"/>
  <c r="F1188" i="1"/>
  <c r="H1188" i="1"/>
  <c r="E1189" i="1"/>
  <c r="F1189" i="1"/>
  <c r="H1189" i="1"/>
  <c r="E1190" i="1"/>
  <c r="F1190" i="1"/>
  <c r="H1190" i="1"/>
  <c r="E1191" i="1"/>
  <c r="F1191" i="1"/>
  <c r="H1191" i="1"/>
  <c r="E1192" i="1"/>
  <c r="F1192" i="1"/>
  <c r="H1192" i="1"/>
  <c r="E1193" i="1"/>
  <c r="F1193" i="1"/>
  <c r="H1193" i="1"/>
  <c r="E1194" i="1"/>
  <c r="F1194" i="1"/>
  <c r="H1194" i="1"/>
  <c r="E1195" i="1"/>
  <c r="F1195" i="1"/>
  <c r="H1195" i="1"/>
  <c r="E1196" i="1"/>
  <c r="F1196" i="1"/>
  <c r="H1196" i="1"/>
  <c r="E1197" i="1"/>
  <c r="F1197" i="1"/>
  <c r="H1197" i="1"/>
  <c r="E1198" i="1"/>
  <c r="F1198" i="1"/>
  <c r="H1198" i="1"/>
  <c r="E1199" i="1"/>
  <c r="F1199" i="1"/>
  <c r="H1199" i="1"/>
  <c r="E1200" i="1"/>
  <c r="F1200" i="1"/>
  <c r="H1200" i="1"/>
  <c r="E1201" i="1"/>
  <c r="F1201" i="1"/>
  <c r="H1201" i="1"/>
  <c r="E1202" i="1"/>
  <c r="F1202" i="1"/>
  <c r="H1202" i="1"/>
  <c r="E1203" i="1"/>
  <c r="F1203" i="1"/>
  <c r="H1203" i="1"/>
  <c r="E1204" i="1"/>
  <c r="F1204" i="1"/>
  <c r="H1204" i="1"/>
  <c r="E1205" i="1"/>
  <c r="F1205" i="1"/>
  <c r="H1205" i="1"/>
  <c r="E1206" i="1"/>
  <c r="F1206" i="1"/>
  <c r="H1206" i="1"/>
  <c r="E1207" i="1"/>
  <c r="F1207" i="1"/>
  <c r="H1207" i="1"/>
  <c r="E1208" i="1"/>
  <c r="F1208" i="1"/>
  <c r="H1208" i="1"/>
  <c r="E1209" i="1"/>
  <c r="F1209" i="1"/>
  <c r="H1209" i="1"/>
  <c r="E1210" i="1"/>
  <c r="F1210" i="1"/>
  <c r="H1210" i="1"/>
  <c r="E1211" i="1"/>
  <c r="F1211" i="1"/>
  <c r="H1211" i="1"/>
  <c r="E1212" i="1"/>
  <c r="F1212" i="1"/>
  <c r="H1212" i="1"/>
  <c r="E1213" i="1"/>
  <c r="F1213" i="1"/>
  <c r="H1213" i="1"/>
  <c r="E1214" i="1"/>
  <c r="F1214" i="1"/>
  <c r="H1214" i="1"/>
  <c r="E1215" i="1"/>
  <c r="F1215" i="1"/>
  <c r="H1215" i="1"/>
  <c r="E1216" i="1"/>
  <c r="F1216" i="1"/>
  <c r="H1216" i="1"/>
  <c r="E1217" i="1"/>
  <c r="F1217" i="1"/>
  <c r="H1217" i="1"/>
  <c r="E1218" i="1"/>
  <c r="F1218" i="1"/>
  <c r="H1218" i="1"/>
  <c r="E1219" i="1"/>
  <c r="F1219" i="1"/>
  <c r="H1219" i="1"/>
  <c r="E1220" i="1"/>
  <c r="F1220" i="1"/>
  <c r="H1220" i="1"/>
  <c r="E1221" i="1"/>
  <c r="F1221" i="1"/>
  <c r="H1221" i="1"/>
  <c r="E1222" i="1"/>
  <c r="F1222" i="1"/>
  <c r="H1222" i="1"/>
  <c r="E1223" i="1"/>
  <c r="F1223" i="1"/>
  <c r="H1223" i="1"/>
  <c r="E1224" i="1"/>
  <c r="F1224" i="1"/>
  <c r="H1224" i="1"/>
  <c r="E1225" i="1"/>
  <c r="F1225" i="1"/>
  <c r="H1225" i="1"/>
  <c r="E1226" i="1"/>
  <c r="F1226" i="1"/>
  <c r="H1226" i="1"/>
  <c r="E1227" i="1"/>
  <c r="F1227" i="1"/>
  <c r="H1227" i="1"/>
  <c r="E1228" i="1"/>
  <c r="F1228" i="1"/>
  <c r="H1228" i="1"/>
  <c r="E1229" i="1"/>
  <c r="F1229" i="1"/>
  <c r="H1229" i="1"/>
  <c r="E1230" i="1"/>
  <c r="F1230" i="1"/>
  <c r="H1230" i="1"/>
  <c r="E1231" i="1"/>
  <c r="F1231" i="1"/>
  <c r="H1231" i="1"/>
  <c r="E1232" i="1"/>
  <c r="F1232" i="1"/>
  <c r="H1232" i="1"/>
  <c r="E1233" i="1"/>
  <c r="F1233" i="1"/>
  <c r="H1233" i="1"/>
  <c r="E1234" i="1"/>
  <c r="F1234" i="1"/>
  <c r="H1234" i="1"/>
  <c r="E1235" i="1"/>
  <c r="F1235" i="1"/>
  <c r="H1235" i="1"/>
  <c r="E1236" i="1"/>
  <c r="F1236" i="1"/>
  <c r="H1236" i="1"/>
  <c r="E1237" i="1"/>
  <c r="F1237" i="1"/>
  <c r="H1237" i="1"/>
  <c r="E1238" i="1"/>
  <c r="F1238" i="1"/>
  <c r="H1238" i="1"/>
  <c r="E1239" i="1"/>
  <c r="F1239" i="1"/>
  <c r="H1239" i="1"/>
  <c r="E1240" i="1"/>
  <c r="F1240" i="1"/>
  <c r="H1240" i="1"/>
  <c r="E1241" i="1"/>
  <c r="F1241" i="1"/>
  <c r="H1241" i="1"/>
  <c r="E1242" i="1"/>
  <c r="F1242" i="1"/>
  <c r="H1242" i="1"/>
  <c r="E1243" i="1"/>
  <c r="F1243" i="1"/>
  <c r="H1243" i="1"/>
  <c r="E1244" i="1"/>
  <c r="F1244" i="1"/>
  <c r="H1244" i="1"/>
  <c r="E1245" i="1"/>
  <c r="F1245" i="1"/>
  <c r="H1245" i="1"/>
  <c r="E1246" i="1"/>
  <c r="F1246" i="1"/>
  <c r="H1246" i="1"/>
  <c r="E1247" i="1"/>
  <c r="F1247" i="1"/>
  <c r="H1247" i="1"/>
  <c r="E1248" i="1"/>
  <c r="F1248" i="1"/>
  <c r="H1248" i="1"/>
  <c r="E1249" i="1"/>
  <c r="F1249" i="1"/>
  <c r="H1249" i="1"/>
  <c r="E1250" i="1"/>
  <c r="F1250" i="1"/>
  <c r="H1250" i="1"/>
  <c r="E1251" i="1"/>
  <c r="F1251" i="1"/>
  <c r="H1251" i="1"/>
  <c r="E1252" i="1"/>
  <c r="F1252" i="1"/>
  <c r="H1252" i="1"/>
  <c r="E1253" i="1"/>
  <c r="F1253" i="1"/>
  <c r="H1253" i="1"/>
  <c r="E1254" i="1"/>
  <c r="F1254" i="1"/>
  <c r="H1254" i="1"/>
  <c r="E1255" i="1"/>
  <c r="F1255" i="1"/>
  <c r="H1255" i="1"/>
  <c r="E1256" i="1"/>
  <c r="F1256" i="1"/>
  <c r="H1256" i="1"/>
  <c r="E1257" i="1"/>
  <c r="F1257" i="1"/>
  <c r="H1257" i="1"/>
  <c r="E1258" i="1"/>
  <c r="F1258" i="1"/>
  <c r="H1258" i="1"/>
  <c r="E1259" i="1"/>
  <c r="F1259" i="1"/>
  <c r="H1259" i="1"/>
  <c r="E1260" i="1"/>
  <c r="F1260" i="1"/>
  <c r="H1260" i="1"/>
  <c r="E1261" i="1"/>
  <c r="F1261" i="1"/>
  <c r="H1261" i="1"/>
  <c r="E1262" i="1"/>
  <c r="F1262" i="1"/>
  <c r="H1262" i="1"/>
  <c r="E1263" i="1"/>
  <c r="F1263" i="1"/>
  <c r="H1263" i="1"/>
  <c r="E1264" i="1"/>
  <c r="F1264" i="1"/>
  <c r="H1264" i="1"/>
  <c r="E1265" i="1"/>
  <c r="F1265" i="1"/>
  <c r="H1265" i="1"/>
  <c r="E1266" i="1"/>
  <c r="F1266" i="1"/>
  <c r="H1266" i="1"/>
  <c r="E1267" i="1"/>
  <c r="F1267" i="1"/>
  <c r="H1267" i="1"/>
  <c r="E1268" i="1"/>
  <c r="F1268" i="1"/>
  <c r="H1268" i="1"/>
  <c r="G1269" i="1"/>
  <c r="H1269" i="1"/>
  <c r="I1269" i="1"/>
  <c r="E1270" i="1"/>
  <c r="F1270" i="1"/>
  <c r="H1270" i="1"/>
  <c r="E1271" i="1"/>
  <c r="F1271" i="1"/>
  <c r="H1271" i="1"/>
  <c r="E1272" i="1"/>
  <c r="F1272" i="1"/>
  <c r="H1272" i="1"/>
  <c r="E1273" i="1"/>
  <c r="F1273" i="1"/>
  <c r="H1273" i="1"/>
  <c r="E1274" i="1"/>
  <c r="F1274" i="1"/>
  <c r="H1274" i="1"/>
  <c r="E1275" i="1"/>
  <c r="F1275" i="1"/>
  <c r="H1275" i="1"/>
  <c r="E1276" i="1"/>
  <c r="F1276" i="1"/>
  <c r="H1276" i="1"/>
  <c r="E1277" i="1"/>
  <c r="F1277" i="1"/>
  <c r="H1277" i="1"/>
  <c r="E1278" i="1"/>
  <c r="F1278" i="1"/>
  <c r="H1278" i="1"/>
  <c r="E1279" i="1"/>
  <c r="F1279" i="1"/>
  <c r="H1279" i="1"/>
  <c r="E1280" i="1"/>
  <c r="F1280" i="1"/>
  <c r="H1280" i="1"/>
  <c r="E1281" i="1"/>
  <c r="F1281" i="1"/>
  <c r="H1281" i="1"/>
  <c r="E1282" i="1"/>
  <c r="F1282" i="1"/>
  <c r="H1282" i="1"/>
  <c r="E1283" i="1"/>
  <c r="F1283" i="1"/>
  <c r="H1283" i="1"/>
  <c r="E1284" i="1"/>
  <c r="F1284" i="1"/>
  <c r="H1284" i="1"/>
  <c r="E1285" i="1"/>
  <c r="F1285" i="1"/>
  <c r="H1285" i="1"/>
  <c r="E1286" i="1"/>
  <c r="F1286" i="1"/>
  <c r="H1286" i="1"/>
  <c r="E1287" i="1"/>
  <c r="F1287" i="1"/>
  <c r="H1287" i="1"/>
  <c r="E1288" i="1"/>
  <c r="F1288" i="1"/>
  <c r="H1288" i="1"/>
  <c r="E1289" i="1"/>
  <c r="F1289" i="1"/>
  <c r="H1289" i="1"/>
  <c r="E1290" i="1"/>
  <c r="F1290" i="1"/>
  <c r="H1290" i="1"/>
  <c r="E1291" i="1"/>
  <c r="F1291" i="1"/>
  <c r="H1291" i="1"/>
  <c r="E1292" i="1"/>
  <c r="F1292" i="1"/>
  <c r="H1292" i="1"/>
  <c r="E1293" i="1"/>
  <c r="F1293" i="1"/>
  <c r="H1293" i="1"/>
  <c r="E1294" i="1"/>
  <c r="F1294" i="1"/>
  <c r="H1294" i="1"/>
  <c r="E1295" i="1"/>
  <c r="F1295" i="1"/>
  <c r="H1295" i="1"/>
  <c r="E1296" i="1"/>
  <c r="F1296" i="1"/>
  <c r="H1296" i="1"/>
  <c r="E1297" i="1"/>
  <c r="F1297" i="1"/>
  <c r="H1297" i="1"/>
  <c r="E1298" i="1"/>
  <c r="F1298" i="1"/>
  <c r="H1298" i="1"/>
  <c r="E1299" i="1"/>
  <c r="F1299" i="1"/>
  <c r="H1299" i="1"/>
  <c r="E1300" i="1"/>
  <c r="F1300" i="1"/>
  <c r="H1300" i="1"/>
  <c r="E1301" i="1"/>
  <c r="F1301" i="1"/>
  <c r="H1301" i="1"/>
  <c r="E1302" i="1"/>
  <c r="F1302" i="1"/>
  <c r="H1302" i="1"/>
  <c r="E1303" i="1"/>
  <c r="F1303" i="1"/>
  <c r="H1303" i="1"/>
  <c r="E1304" i="1"/>
  <c r="F1304" i="1"/>
  <c r="H1304" i="1"/>
  <c r="E1305" i="1"/>
  <c r="F1305" i="1"/>
  <c r="H1305" i="1"/>
  <c r="E1306" i="1"/>
  <c r="F1306" i="1"/>
  <c r="H1306" i="1"/>
  <c r="E1307" i="1"/>
  <c r="F1307" i="1"/>
  <c r="H1307" i="1"/>
  <c r="E1308" i="1"/>
  <c r="F1308" i="1"/>
  <c r="H1308" i="1"/>
  <c r="E1309" i="1"/>
  <c r="F1309" i="1"/>
  <c r="H1309" i="1"/>
  <c r="E1310" i="1"/>
  <c r="F1310" i="1"/>
  <c r="H1310" i="1"/>
  <c r="E1311" i="1"/>
  <c r="F1311" i="1"/>
  <c r="H1311" i="1"/>
  <c r="E1312" i="1"/>
  <c r="F1312" i="1"/>
  <c r="H1312" i="1"/>
  <c r="E1313" i="1"/>
  <c r="F1313" i="1"/>
  <c r="H1313" i="1"/>
  <c r="E1314" i="1"/>
  <c r="F1314" i="1"/>
  <c r="H1314" i="1"/>
  <c r="E1315" i="1"/>
  <c r="F1315" i="1"/>
  <c r="H1315" i="1"/>
  <c r="E1316" i="1"/>
  <c r="F1316" i="1"/>
  <c r="H1316" i="1"/>
  <c r="E1317" i="1"/>
  <c r="F1317" i="1"/>
  <c r="H1317" i="1"/>
  <c r="E1318" i="1"/>
  <c r="F1318" i="1"/>
  <c r="H1318" i="1"/>
  <c r="E1319" i="1"/>
  <c r="F1319" i="1"/>
  <c r="H1319" i="1"/>
  <c r="E1320" i="1"/>
  <c r="F1320" i="1"/>
  <c r="H1320" i="1"/>
  <c r="E1321" i="1"/>
  <c r="F1321" i="1"/>
  <c r="H1321" i="1"/>
  <c r="E1322" i="1"/>
  <c r="F1322" i="1"/>
  <c r="H1322" i="1"/>
  <c r="E1323" i="1"/>
  <c r="F1323" i="1"/>
  <c r="H1323" i="1"/>
  <c r="E1324" i="1"/>
  <c r="F1324" i="1"/>
  <c r="H1324" i="1"/>
  <c r="E1325" i="1"/>
  <c r="F1325" i="1"/>
  <c r="H1325" i="1"/>
  <c r="E1326" i="1"/>
  <c r="F1326" i="1"/>
  <c r="H1326" i="1"/>
  <c r="E1327" i="1"/>
  <c r="F1327" i="1"/>
  <c r="H1327" i="1"/>
  <c r="E1328" i="1"/>
  <c r="F1328" i="1"/>
  <c r="H1328" i="1"/>
  <c r="E1329" i="1"/>
  <c r="F1329" i="1"/>
  <c r="H1329" i="1"/>
  <c r="E1330" i="1"/>
  <c r="F1330" i="1"/>
  <c r="H1330" i="1"/>
  <c r="E1331" i="1"/>
  <c r="F1331" i="1"/>
  <c r="H1331" i="1"/>
  <c r="E1332" i="1"/>
  <c r="F1332" i="1"/>
  <c r="H1332" i="1"/>
  <c r="E1333" i="1"/>
  <c r="F1333" i="1"/>
  <c r="H1333" i="1"/>
  <c r="E1334" i="1"/>
  <c r="F1334" i="1"/>
  <c r="H1334" i="1"/>
  <c r="E1335" i="1"/>
  <c r="F1335" i="1"/>
  <c r="H1335" i="1"/>
  <c r="E1336" i="1"/>
  <c r="F1336" i="1"/>
  <c r="H1336" i="1"/>
  <c r="E1337" i="1"/>
  <c r="F1337" i="1"/>
  <c r="H1337" i="1"/>
  <c r="E1338" i="1"/>
  <c r="F1338" i="1"/>
  <c r="H1338" i="1"/>
  <c r="E1339" i="1"/>
  <c r="F1339" i="1"/>
  <c r="H1339" i="1"/>
  <c r="E1340" i="1"/>
  <c r="F1340" i="1"/>
  <c r="H1340" i="1"/>
  <c r="E1341" i="1"/>
  <c r="F1341" i="1"/>
  <c r="H1341" i="1"/>
  <c r="E1342" i="1"/>
  <c r="F1342" i="1"/>
  <c r="H1342" i="1"/>
  <c r="E1343" i="1"/>
  <c r="F1343" i="1"/>
  <c r="H1343" i="1"/>
  <c r="E1344" i="1"/>
  <c r="F1344" i="1"/>
  <c r="H1344" i="1"/>
  <c r="E1345" i="1"/>
  <c r="F1345" i="1"/>
  <c r="H1345" i="1"/>
  <c r="E1346" i="1"/>
  <c r="F1346" i="1"/>
  <c r="H1346" i="1"/>
  <c r="E1347" i="1"/>
  <c r="F1347" i="1"/>
  <c r="H1347" i="1"/>
  <c r="E1348" i="1"/>
  <c r="F1348" i="1"/>
  <c r="H1348" i="1"/>
  <c r="E1349" i="1"/>
  <c r="F1349" i="1"/>
  <c r="H1349" i="1"/>
  <c r="E1350" i="1"/>
  <c r="F1350" i="1"/>
  <c r="H1350" i="1"/>
  <c r="E1351" i="1"/>
  <c r="F1351" i="1"/>
  <c r="H1351" i="1"/>
  <c r="E1352" i="1"/>
  <c r="F1352" i="1"/>
  <c r="H1352" i="1"/>
  <c r="E1353" i="1"/>
  <c r="F1353" i="1"/>
  <c r="H1353" i="1"/>
  <c r="E1354" i="1"/>
  <c r="F1354" i="1"/>
  <c r="H1354" i="1"/>
  <c r="E1355" i="1"/>
  <c r="F1355" i="1"/>
  <c r="H1355" i="1"/>
  <c r="E1356" i="1"/>
  <c r="F1356" i="1"/>
  <c r="H1356" i="1"/>
  <c r="E1357" i="1"/>
  <c r="F1357" i="1"/>
  <c r="H1357" i="1"/>
  <c r="E1358" i="1"/>
  <c r="F1358" i="1"/>
  <c r="H1358" i="1"/>
  <c r="E1359" i="1"/>
  <c r="F1359" i="1"/>
  <c r="H1359" i="1"/>
  <c r="E1360" i="1"/>
  <c r="F1360" i="1"/>
  <c r="H1360" i="1"/>
  <c r="E1361" i="1"/>
  <c r="F1361" i="1"/>
  <c r="H1361" i="1"/>
  <c r="E1362" i="1"/>
  <c r="F1362" i="1"/>
  <c r="H1362" i="1"/>
  <c r="E1363" i="1"/>
  <c r="F1363" i="1"/>
  <c r="H1363" i="1"/>
  <c r="E1364" i="1"/>
  <c r="F1364" i="1"/>
  <c r="H1364" i="1"/>
  <c r="E1365" i="1"/>
  <c r="F1365" i="1"/>
  <c r="H1365" i="1"/>
  <c r="E1366" i="1"/>
  <c r="F1366" i="1"/>
  <c r="H1366" i="1"/>
  <c r="E1367" i="1"/>
  <c r="F1367" i="1"/>
  <c r="H1367" i="1"/>
  <c r="E1368" i="1"/>
  <c r="F1368" i="1"/>
  <c r="H1368" i="1"/>
  <c r="E1369" i="1"/>
  <c r="F1369" i="1"/>
  <c r="H1369" i="1"/>
  <c r="E1370" i="1"/>
  <c r="F1370" i="1"/>
  <c r="H1370" i="1"/>
  <c r="E1371" i="1"/>
  <c r="F1371" i="1"/>
  <c r="H1371" i="1"/>
  <c r="E1372" i="1"/>
  <c r="F1372" i="1"/>
  <c r="H1372" i="1"/>
  <c r="E1373" i="1"/>
  <c r="F1373" i="1"/>
  <c r="H1373" i="1"/>
  <c r="E1374" i="1"/>
  <c r="F1374" i="1"/>
  <c r="H1374" i="1"/>
  <c r="E1375" i="1"/>
  <c r="F1375" i="1"/>
  <c r="H1375" i="1"/>
  <c r="E1376" i="1"/>
  <c r="F1376" i="1"/>
  <c r="H1376" i="1"/>
  <c r="E1377" i="1"/>
  <c r="F1377" i="1"/>
  <c r="H1377" i="1"/>
  <c r="E1378" i="1"/>
  <c r="F1378" i="1"/>
  <c r="H1378" i="1"/>
  <c r="E1379" i="1"/>
  <c r="F1379" i="1"/>
  <c r="H1379" i="1"/>
  <c r="E1380" i="1"/>
  <c r="F1380" i="1"/>
  <c r="H1380" i="1"/>
  <c r="E1381" i="1"/>
  <c r="F1381" i="1"/>
  <c r="H1381" i="1"/>
  <c r="E1382" i="1"/>
  <c r="F1382" i="1"/>
  <c r="H1382" i="1"/>
  <c r="E1383" i="1"/>
  <c r="F1383" i="1"/>
  <c r="H1383" i="1"/>
  <c r="E1384" i="1"/>
  <c r="F1384" i="1"/>
  <c r="H1384" i="1"/>
  <c r="E1385" i="1"/>
  <c r="F1385" i="1"/>
  <c r="H1385" i="1"/>
  <c r="E1386" i="1"/>
  <c r="F1386" i="1"/>
  <c r="H1386" i="1"/>
  <c r="E1387" i="1"/>
  <c r="F1387" i="1"/>
  <c r="H1387" i="1"/>
  <c r="E1388" i="1"/>
  <c r="F1388" i="1"/>
  <c r="H1388" i="1"/>
  <c r="E1389" i="1"/>
  <c r="F1389" i="1"/>
  <c r="H1389" i="1"/>
  <c r="E1390" i="1"/>
  <c r="F1390" i="1"/>
  <c r="H1390" i="1"/>
  <c r="E1391" i="1"/>
  <c r="F1391" i="1"/>
  <c r="H1391" i="1"/>
  <c r="E1392" i="1"/>
  <c r="F1392" i="1"/>
  <c r="H1392" i="1"/>
  <c r="E1393" i="1"/>
  <c r="F1393" i="1"/>
  <c r="H1393" i="1"/>
  <c r="E1394" i="1"/>
  <c r="F1394" i="1"/>
  <c r="H1394" i="1"/>
  <c r="E1395" i="1"/>
  <c r="F1395" i="1"/>
  <c r="H1395" i="1"/>
  <c r="E1396" i="1"/>
  <c r="F1396" i="1"/>
  <c r="H1396" i="1"/>
  <c r="E1397" i="1"/>
  <c r="F1397" i="1"/>
  <c r="H1397" i="1"/>
  <c r="E1398" i="1"/>
  <c r="F1398" i="1"/>
  <c r="H1398" i="1"/>
  <c r="E1399" i="1"/>
  <c r="F1399" i="1"/>
  <c r="H1399" i="1"/>
  <c r="E1400" i="1"/>
  <c r="F1400" i="1"/>
  <c r="H1400" i="1"/>
  <c r="E1401" i="1"/>
  <c r="F1401" i="1"/>
  <c r="H1401" i="1"/>
  <c r="G1402" i="1"/>
  <c r="H1402" i="1"/>
  <c r="I1402" i="1"/>
  <c r="E1403" i="1"/>
  <c r="F1403" i="1"/>
  <c r="H1403" i="1"/>
  <c r="E1404" i="1"/>
  <c r="F1404" i="1"/>
  <c r="H1404" i="1"/>
  <c r="E1405" i="1"/>
  <c r="F1405" i="1"/>
  <c r="H1405" i="1"/>
  <c r="E1406" i="1"/>
  <c r="F1406" i="1"/>
  <c r="H1406" i="1"/>
  <c r="E1407" i="1"/>
  <c r="F1407" i="1"/>
  <c r="H1407" i="1"/>
  <c r="E1408" i="1"/>
  <c r="F1408" i="1"/>
  <c r="H1408" i="1"/>
  <c r="E1409" i="1"/>
  <c r="F1409" i="1"/>
  <c r="H1409" i="1"/>
  <c r="E1410" i="1"/>
  <c r="F1410" i="1"/>
  <c r="H1410" i="1"/>
  <c r="E1411" i="1"/>
  <c r="F1411" i="1"/>
  <c r="H1411" i="1"/>
  <c r="E1412" i="1"/>
  <c r="F1412" i="1"/>
  <c r="H1412" i="1"/>
  <c r="E1413" i="1"/>
  <c r="F1413" i="1"/>
  <c r="H1413" i="1"/>
  <c r="E1414" i="1"/>
  <c r="F1414" i="1"/>
  <c r="H1414" i="1"/>
  <c r="E1415" i="1"/>
  <c r="F1415" i="1"/>
  <c r="H1415" i="1"/>
  <c r="E1416" i="1"/>
  <c r="F1416" i="1"/>
  <c r="H1416" i="1"/>
  <c r="E1417" i="1"/>
  <c r="F1417" i="1"/>
  <c r="H1417" i="1"/>
  <c r="E1418" i="1"/>
  <c r="F1418" i="1"/>
  <c r="H1418" i="1"/>
  <c r="E1419" i="1"/>
  <c r="F1419" i="1"/>
  <c r="H1419" i="1"/>
  <c r="E1420" i="1"/>
  <c r="F1420" i="1"/>
  <c r="H1420" i="1"/>
  <c r="E1421" i="1"/>
  <c r="F1421" i="1"/>
  <c r="H1421" i="1"/>
  <c r="E1422" i="1"/>
  <c r="F1422" i="1"/>
  <c r="H1422" i="1"/>
  <c r="E1423" i="1"/>
  <c r="F1423" i="1"/>
  <c r="H1423" i="1"/>
  <c r="E1424" i="1"/>
  <c r="F1424" i="1"/>
  <c r="H1424" i="1"/>
  <c r="E1425" i="1"/>
  <c r="F1425" i="1"/>
  <c r="H1425" i="1"/>
  <c r="E1426" i="1"/>
  <c r="F1426" i="1"/>
  <c r="H1426" i="1"/>
  <c r="E1427" i="1"/>
  <c r="F1427" i="1"/>
  <c r="H1427" i="1"/>
  <c r="E1428" i="1"/>
  <c r="F1428" i="1"/>
  <c r="H1428" i="1"/>
  <c r="E1429" i="1"/>
  <c r="F1429" i="1"/>
  <c r="H1429" i="1"/>
  <c r="E1430" i="1"/>
  <c r="F1430" i="1"/>
  <c r="H1430" i="1"/>
  <c r="E1431" i="1"/>
  <c r="F1431" i="1"/>
  <c r="H1431" i="1"/>
  <c r="E1432" i="1"/>
  <c r="F1432" i="1"/>
  <c r="H1432" i="1"/>
  <c r="E1433" i="1"/>
  <c r="F1433" i="1"/>
  <c r="H1433" i="1"/>
  <c r="E1434" i="1"/>
  <c r="F1434" i="1"/>
  <c r="H1434" i="1"/>
  <c r="E1435" i="1"/>
  <c r="F1435" i="1"/>
  <c r="H1435" i="1"/>
  <c r="E1436" i="1"/>
  <c r="F1436" i="1"/>
  <c r="H1436" i="1"/>
  <c r="E1437" i="1"/>
  <c r="F1437" i="1"/>
  <c r="H1437" i="1"/>
  <c r="E1438" i="1"/>
  <c r="F1438" i="1"/>
  <c r="H1438" i="1"/>
  <c r="E1439" i="1"/>
  <c r="F1439" i="1"/>
  <c r="H1439" i="1"/>
  <c r="E1440" i="1"/>
  <c r="F1440" i="1"/>
  <c r="H1440" i="1"/>
  <c r="E1441" i="1"/>
  <c r="F1441" i="1"/>
  <c r="H1441" i="1"/>
  <c r="E1442" i="1"/>
  <c r="F1442" i="1"/>
  <c r="H1442" i="1"/>
  <c r="E1443" i="1"/>
  <c r="F1443" i="1"/>
  <c r="H1443" i="1"/>
  <c r="E1444" i="1"/>
  <c r="F1444" i="1"/>
  <c r="H1444" i="1"/>
  <c r="E1445" i="1"/>
  <c r="F1445" i="1"/>
  <c r="H1445" i="1"/>
  <c r="E1446" i="1"/>
  <c r="F1446" i="1"/>
  <c r="H1446" i="1"/>
  <c r="E1447" i="1"/>
  <c r="F1447" i="1"/>
  <c r="H1447" i="1"/>
  <c r="E1448" i="1"/>
  <c r="F1448" i="1"/>
  <c r="H1448" i="1"/>
  <c r="E1449" i="1"/>
  <c r="F1449" i="1"/>
  <c r="H1449" i="1"/>
  <c r="E1450" i="1"/>
  <c r="F1450" i="1"/>
  <c r="H1450" i="1"/>
  <c r="E1451" i="1"/>
  <c r="F1451" i="1"/>
  <c r="H1451" i="1"/>
  <c r="E1452" i="1"/>
  <c r="F1452" i="1"/>
  <c r="H1452" i="1"/>
  <c r="E1453" i="1"/>
  <c r="F1453" i="1"/>
  <c r="H1453" i="1"/>
  <c r="E1454" i="1"/>
  <c r="F1454" i="1"/>
  <c r="H1454" i="1"/>
  <c r="E1455" i="1"/>
  <c r="F1455" i="1"/>
  <c r="H1455" i="1"/>
  <c r="E1456" i="1"/>
  <c r="F1456" i="1"/>
  <c r="H1456" i="1"/>
  <c r="E1457" i="1"/>
  <c r="F1457" i="1"/>
  <c r="H1457" i="1"/>
  <c r="E1458" i="1"/>
  <c r="F1458" i="1"/>
  <c r="H1458" i="1"/>
  <c r="E1459" i="1"/>
  <c r="F1459" i="1"/>
  <c r="H1459" i="1"/>
  <c r="E1460" i="1"/>
  <c r="F1460" i="1"/>
  <c r="H1460" i="1"/>
  <c r="E1461" i="1"/>
  <c r="F1461" i="1"/>
  <c r="H1461" i="1"/>
  <c r="E1462" i="1"/>
  <c r="F1462" i="1"/>
  <c r="H1462" i="1"/>
  <c r="E1463" i="1"/>
  <c r="F1463" i="1"/>
  <c r="H1463" i="1"/>
  <c r="E1464" i="1"/>
  <c r="F1464" i="1"/>
  <c r="H1464" i="1"/>
  <c r="E1465" i="1"/>
  <c r="F1465" i="1"/>
  <c r="H1465" i="1"/>
  <c r="E1466" i="1"/>
  <c r="F1466" i="1"/>
  <c r="H1466" i="1"/>
  <c r="E1467" i="1"/>
  <c r="F1467" i="1"/>
  <c r="H1467" i="1"/>
  <c r="E1468" i="1"/>
  <c r="F1468" i="1"/>
  <c r="H1468" i="1"/>
  <c r="E1469" i="1"/>
  <c r="F1469" i="1"/>
  <c r="H1469" i="1"/>
  <c r="E1470" i="1"/>
  <c r="F1470" i="1"/>
  <c r="H1470" i="1"/>
  <c r="E1471" i="1"/>
  <c r="F1471" i="1"/>
  <c r="H1471" i="1"/>
  <c r="E1472" i="1"/>
  <c r="F1472" i="1"/>
  <c r="H1472" i="1"/>
  <c r="E1473" i="1"/>
  <c r="F1473" i="1"/>
  <c r="H1473" i="1"/>
  <c r="E1474" i="1"/>
  <c r="F1474" i="1"/>
  <c r="H1474" i="1"/>
  <c r="E1475" i="1"/>
  <c r="F1475" i="1"/>
  <c r="H1475" i="1"/>
  <c r="E1476" i="1"/>
  <c r="F1476" i="1"/>
  <c r="H1476" i="1"/>
  <c r="E1477" i="1"/>
  <c r="F1477" i="1"/>
  <c r="H1477" i="1"/>
  <c r="E1478" i="1"/>
  <c r="F1478" i="1"/>
  <c r="H1478" i="1"/>
  <c r="E1479" i="1"/>
  <c r="F1479" i="1"/>
  <c r="H1479" i="1"/>
  <c r="E1480" i="1"/>
  <c r="F1480" i="1"/>
  <c r="H1480" i="1"/>
  <c r="E1481" i="1"/>
  <c r="F1481" i="1"/>
  <c r="H1481" i="1"/>
  <c r="E1482" i="1"/>
  <c r="F1482" i="1"/>
  <c r="H1482" i="1"/>
  <c r="E1483" i="1"/>
  <c r="F1483" i="1"/>
  <c r="H1483" i="1"/>
  <c r="E1484" i="1"/>
  <c r="F1484" i="1"/>
  <c r="H1484" i="1"/>
  <c r="E1485" i="1"/>
  <c r="F1485" i="1"/>
  <c r="H1485" i="1"/>
  <c r="E1486" i="1"/>
  <c r="F1486" i="1"/>
  <c r="H1486" i="1"/>
  <c r="E1487" i="1"/>
  <c r="F1487" i="1"/>
  <c r="H1487" i="1"/>
  <c r="E1488" i="1"/>
  <c r="F1488" i="1"/>
  <c r="H1488" i="1"/>
  <c r="E1489" i="1"/>
  <c r="F1489" i="1"/>
  <c r="H1489" i="1"/>
  <c r="E1490" i="1"/>
  <c r="F1490" i="1"/>
  <c r="H1490" i="1"/>
  <c r="E1491" i="1"/>
  <c r="F1491" i="1"/>
  <c r="H1491" i="1"/>
  <c r="E1492" i="1"/>
  <c r="F1492" i="1"/>
  <c r="H1492" i="1"/>
  <c r="E1493" i="1"/>
  <c r="F1493" i="1"/>
  <c r="H1493" i="1"/>
  <c r="E1494" i="1"/>
  <c r="F1494" i="1"/>
  <c r="H1494" i="1"/>
  <c r="E1495" i="1"/>
  <c r="F1495" i="1"/>
  <c r="H1495" i="1"/>
  <c r="E1496" i="1"/>
  <c r="F1496" i="1"/>
  <c r="H1496" i="1"/>
  <c r="E1497" i="1"/>
  <c r="F1497" i="1"/>
  <c r="H1497" i="1"/>
  <c r="E1498" i="1"/>
  <c r="F1498" i="1"/>
  <c r="H1498" i="1"/>
  <c r="E1499" i="1"/>
  <c r="F1499" i="1"/>
  <c r="H1499" i="1"/>
  <c r="E1500" i="1"/>
  <c r="F1500" i="1"/>
  <c r="H1500" i="1"/>
  <c r="E1501" i="1"/>
  <c r="F1501" i="1"/>
  <c r="H1501" i="1"/>
  <c r="E1502" i="1"/>
  <c r="F1502" i="1"/>
  <c r="H1502" i="1"/>
  <c r="E1503" i="1"/>
  <c r="F1503" i="1"/>
  <c r="H1503" i="1"/>
  <c r="E1504" i="1"/>
  <c r="F1504" i="1"/>
  <c r="H1504" i="1"/>
  <c r="E1505" i="1"/>
  <c r="F1505" i="1"/>
  <c r="H1505" i="1"/>
  <c r="E1506" i="1"/>
  <c r="F1506" i="1"/>
  <c r="H1506" i="1"/>
  <c r="E1507" i="1"/>
  <c r="F1507" i="1"/>
  <c r="H1507" i="1"/>
  <c r="E1508" i="1"/>
  <c r="F1508" i="1"/>
  <c r="H1508" i="1"/>
  <c r="E1509" i="1"/>
  <c r="F1509" i="1"/>
  <c r="H1509" i="1"/>
  <c r="E1510" i="1"/>
  <c r="F1510" i="1"/>
  <c r="H1510" i="1"/>
  <c r="E1511" i="1"/>
  <c r="F1511" i="1"/>
  <c r="H1511" i="1"/>
  <c r="E1512" i="1"/>
  <c r="F1512" i="1"/>
  <c r="H1512" i="1"/>
  <c r="E1513" i="1"/>
  <c r="F1513" i="1"/>
  <c r="H1513" i="1"/>
  <c r="E1514" i="1"/>
  <c r="F1514" i="1"/>
  <c r="H1514" i="1"/>
  <c r="E1515" i="1"/>
  <c r="F1515" i="1"/>
  <c r="H1515" i="1"/>
  <c r="E1516" i="1"/>
  <c r="F1516" i="1"/>
  <c r="H1516" i="1"/>
  <c r="E1517" i="1"/>
  <c r="F1517" i="1"/>
  <c r="H1517" i="1"/>
  <c r="E1518" i="1"/>
  <c r="F1518" i="1"/>
  <c r="H1518" i="1"/>
  <c r="E1519" i="1"/>
  <c r="F1519" i="1"/>
  <c r="H1519" i="1"/>
  <c r="E1520" i="1"/>
  <c r="F1520" i="1"/>
  <c r="H1520" i="1"/>
  <c r="E1521" i="1"/>
  <c r="F1521" i="1"/>
  <c r="H1521" i="1"/>
  <c r="E1522" i="1"/>
  <c r="F1522" i="1"/>
  <c r="H1522" i="1"/>
  <c r="E1523" i="1"/>
  <c r="F1523" i="1"/>
  <c r="H1523" i="1"/>
  <c r="E1524" i="1"/>
  <c r="F1524" i="1"/>
  <c r="H1524" i="1"/>
  <c r="E1525" i="1"/>
  <c r="F1525" i="1"/>
  <c r="H1525" i="1"/>
  <c r="E1526" i="1"/>
  <c r="F1526" i="1"/>
  <c r="H1526" i="1"/>
  <c r="E1527" i="1"/>
  <c r="F1527" i="1"/>
  <c r="H1527" i="1"/>
  <c r="E1528" i="1"/>
  <c r="F1528" i="1"/>
  <c r="H1528" i="1"/>
  <c r="E1529" i="1"/>
  <c r="F1529" i="1"/>
  <c r="H1529" i="1"/>
  <c r="E1530" i="1"/>
  <c r="F1530" i="1"/>
  <c r="H1530" i="1"/>
  <c r="E1531" i="1"/>
  <c r="F1531" i="1"/>
  <c r="H1531" i="1"/>
  <c r="E1532" i="1"/>
  <c r="F1532" i="1"/>
  <c r="H1532" i="1"/>
  <c r="E1533" i="1"/>
  <c r="F1533" i="1"/>
  <c r="H1533" i="1"/>
  <c r="E1534" i="1"/>
  <c r="F1534" i="1"/>
  <c r="H1534" i="1"/>
  <c r="E1535" i="1"/>
  <c r="F1535" i="1"/>
  <c r="H1535" i="1"/>
  <c r="E1536" i="1"/>
  <c r="F1536" i="1"/>
  <c r="H1536" i="1"/>
  <c r="E1537" i="1"/>
  <c r="F1537" i="1"/>
  <c r="H1537" i="1"/>
  <c r="E1538" i="1"/>
  <c r="F1538" i="1"/>
  <c r="H1538" i="1"/>
  <c r="E1539" i="1"/>
  <c r="F1539" i="1"/>
  <c r="H1539" i="1"/>
  <c r="E1540" i="1"/>
  <c r="F1540" i="1"/>
  <c r="H1540" i="1"/>
  <c r="E1541" i="1"/>
  <c r="F1541" i="1"/>
  <c r="H1541" i="1"/>
  <c r="E1542" i="1"/>
  <c r="F1542" i="1"/>
  <c r="H1542" i="1"/>
  <c r="E1543" i="1"/>
  <c r="F1543" i="1"/>
  <c r="H1543" i="1"/>
  <c r="E1544" i="1"/>
  <c r="F1544" i="1"/>
  <c r="H1544" i="1"/>
  <c r="E1545" i="1"/>
  <c r="F1545" i="1"/>
  <c r="H1545" i="1"/>
  <c r="E1546" i="1"/>
  <c r="F1546" i="1"/>
  <c r="H1546" i="1"/>
  <c r="E1547" i="1"/>
  <c r="F1547" i="1"/>
  <c r="H1547" i="1"/>
  <c r="E1548" i="1"/>
  <c r="F1548" i="1"/>
  <c r="H1548" i="1"/>
  <c r="E1549" i="1"/>
  <c r="F1549" i="1"/>
  <c r="H1549" i="1"/>
  <c r="E1550" i="1"/>
  <c r="F1550" i="1"/>
  <c r="H1550" i="1"/>
  <c r="E1551" i="1"/>
  <c r="F1551" i="1"/>
  <c r="H1551" i="1"/>
  <c r="G1552" i="1"/>
  <c r="H1552" i="1"/>
  <c r="I1552" i="1"/>
  <c r="E1553" i="1"/>
  <c r="F1553" i="1"/>
  <c r="H1553" i="1"/>
  <c r="E1554" i="1"/>
  <c r="F1554" i="1"/>
  <c r="H1554" i="1"/>
  <c r="E1555" i="1"/>
  <c r="F1555" i="1"/>
  <c r="H1555" i="1"/>
  <c r="E1556" i="1"/>
  <c r="F1556" i="1"/>
  <c r="H1556" i="1"/>
  <c r="E1557" i="1"/>
  <c r="F1557" i="1"/>
  <c r="H1557" i="1"/>
  <c r="E1558" i="1"/>
  <c r="F1558" i="1"/>
  <c r="H1558" i="1"/>
  <c r="E1559" i="1"/>
  <c r="F1559" i="1"/>
  <c r="H1559" i="1"/>
  <c r="E1560" i="1"/>
  <c r="F1560" i="1"/>
  <c r="H1560" i="1"/>
  <c r="E1561" i="1"/>
  <c r="F1561" i="1"/>
  <c r="H1561" i="1"/>
  <c r="E1562" i="1"/>
  <c r="F1562" i="1"/>
  <c r="H1562" i="1"/>
  <c r="E1563" i="1"/>
  <c r="F1563" i="1"/>
  <c r="H1563" i="1"/>
  <c r="E1564" i="1"/>
  <c r="F1564" i="1"/>
  <c r="H1564" i="1"/>
  <c r="E1565" i="1"/>
  <c r="F1565" i="1"/>
  <c r="H1565" i="1"/>
  <c r="E1566" i="1"/>
  <c r="F1566" i="1"/>
  <c r="H1566" i="1"/>
  <c r="E1567" i="1"/>
  <c r="F1567" i="1"/>
  <c r="H1567" i="1"/>
  <c r="E1568" i="1"/>
  <c r="F1568" i="1"/>
  <c r="H1568" i="1"/>
  <c r="E1569" i="1"/>
  <c r="F1569" i="1"/>
  <c r="H1569" i="1"/>
  <c r="E1570" i="1"/>
  <c r="F1570" i="1"/>
  <c r="H1570" i="1"/>
  <c r="E1571" i="1"/>
  <c r="F1571" i="1"/>
  <c r="H1571" i="1"/>
  <c r="E1572" i="1"/>
  <c r="F1572" i="1"/>
  <c r="H1572" i="1"/>
  <c r="E1573" i="1"/>
  <c r="F1573" i="1"/>
  <c r="H1573" i="1"/>
  <c r="E1574" i="1"/>
  <c r="F1574" i="1"/>
  <c r="H1574" i="1"/>
  <c r="E1575" i="1"/>
  <c r="F1575" i="1"/>
  <c r="H1575" i="1"/>
  <c r="E1576" i="1"/>
  <c r="F1576" i="1"/>
  <c r="H1576" i="1"/>
  <c r="E1577" i="1"/>
  <c r="F1577" i="1"/>
  <c r="H1577" i="1"/>
  <c r="E1578" i="1"/>
  <c r="F1578" i="1"/>
  <c r="H1578" i="1"/>
  <c r="E1579" i="1"/>
  <c r="F1579" i="1"/>
  <c r="H1579" i="1"/>
  <c r="E1580" i="1"/>
  <c r="F1580" i="1"/>
  <c r="H1580" i="1"/>
  <c r="E1581" i="1"/>
  <c r="F1581" i="1"/>
  <c r="H1581" i="1"/>
  <c r="G1582" i="1"/>
  <c r="H1582" i="1"/>
  <c r="I1582" i="1"/>
  <c r="E1583" i="1"/>
  <c r="F1583" i="1"/>
  <c r="H1583" i="1"/>
  <c r="E1584" i="1"/>
  <c r="F1584" i="1"/>
  <c r="H1584" i="1"/>
  <c r="E1585" i="1"/>
  <c r="F1585" i="1"/>
  <c r="H1585" i="1"/>
  <c r="E1586" i="1"/>
  <c r="F1586" i="1"/>
  <c r="H1586" i="1"/>
  <c r="E1587" i="1"/>
  <c r="F1587" i="1"/>
  <c r="H1587" i="1"/>
  <c r="E1588" i="1"/>
  <c r="F1588" i="1"/>
  <c r="H1588" i="1"/>
  <c r="E1589" i="1"/>
  <c r="F1589" i="1"/>
  <c r="H1589" i="1"/>
  <c r="E1590" i="1"/>
  <c r="F1590" i="1"/>
  <c r="H1590" i="1"/>
  <c r="E1591" i="1"/>
  <c r="F1591" i="1"/>
  <c r="H1591" i="1"/>
  <c r="E1592" i="1"/>
  <c r="F1592" i="1"/>
  <c r="H1592" i="1"/>
  <c r="E1593" i="1"/>
  <c r="F1593" i="1"/>
  <c r="H1593" i="1"/>
  <c r="E1594" i="1"/>
  <c r="F1594" i="1"/>
  <c r="H1594" i="1"/>
  <c r="E1595" i="1"/>
  <c r="F1595" i="1"/>
  <c r="H1595" i="1"/>
  <c r="E1596" i="1"/>
  <c r="F1596" i="1"/>
  <c r="H1596" i="1"/>
  <c r="E1597" i="1"/>
  <c r="F1597" i="1"/>
  <c r="H1597" i="1"/>
  <c r="E1598" i="1"/>
  <c r="F1598" i="1"/>
  <c r="H1598" i="1"/>
  <c r="E1599" i="1"/>
  <c r="F1599" i="1"/>
  <c r="H1599" i="1"/>
  <c r="E1600" i="1"/>
  <c r="F1600" i="1"/>
  <c r="H1600" i="1"/>
  <c r="E1601" i="1"/>
  <c r="F1601" i="1"/>
  <c r="H1601" i="1"/>
  <c r="E1602" i="1"/>
  <c r="F1602" i="1"/>
  <c r="H1602" i="1"/>
  <c r="E1603" i="1"/>
  <c r="F1603" i="1"/>
  <c r="H1603" i="1"/>
  <c r="E1604" i="1"/>
  <c r="F1604" i="1"/>
  <c r="H1604" i="1"/>
  <c r="E1605" i="1"/>
  <c r="F1605" i="1"/>
  <c r="H1605" i="1"/>
  <c r="E1606" i="1"/>
  <c r="F1606" i="1"/>
  <c r="H1606" i="1"/>
  <c r="E1607" i="1"/>
  <c r="F1607" i="1"/>
  <c r="H1607" i="1"/>
  <c r="E1608" i="1"/>
  <c r="F1608" i="1"/>
  <c r="H1608" i="1"/>
  <c r="E1609" i="1"/>
  <c r="F1609" i="1"/>
  <c r="H1609" i="1"/>
  <c r="E1610" i="1"/>
  <c r="F1610" i="1"/>
  <c r="H1610" i="1"/>
  <c r="E1611" i="1"/>
  <c r="F1611" i="1"/>
  <c r="H1611" i="1"/>
  <c r="E1612" i="1"/>
  <c r="F1612" i="1"/>
  <c r="H1612" i="1"/>
  <c r="E1613" i="1"/>
  <c r="F1613" i="1"/>
  <c r="H1613" i="1"/>
  <c r="E1614" i="1"/>
  <c r="F1614" i="1"/>
  <c r="H1614" i="1"/>
  <c r="E1615" i="1"/>
  <c r="F1615" i="1"/>
  <c r="H1615" i="1"/>
  <c r="E1616" i="1"/>
  <c r="F1616" i="1"/>
  <c r="H1616" i="1"/>
  <c r="E1617" i="1"/>
  <c r="F1617" i="1"/>
  <c r="H1617" i="1"/>
  <c r="E1618" i="1"/>
  <c r="F1618" i="1"/>
  <c r="H1618" i="1"/>
  <c r="E1619" i="1"/>
  <c r="F1619" i="1"/>
  <c r="H1619" i="1"/>
  <c r="E1620" i="1"/>
  <c r="F1620" i="1"/>
  <c r="H1620" i="1"/>
  <c r="E1621" i="1"/>
  <c r="F1621" i="1"/>
  <c r="H1621" i="1"/>
  <c r="E1622" i="1"/>
  <c r="F1622" i="1"/>
  <c r="H1622" i="1"/>
  <c r="E1623" i="1"/>
  <c r="F1623" i="1"/>
  <c r="H1623" i="1"/>
  <c r="E1624" i="1"/>
  <c r="F1624" i="1"/>
  <c r="H1624" i="1"/>
  <c r="E1625" i="1"/>
  <c r="F1625" i="1"/>
  <c r="H1625" i="1"/>
  <c r="E1626" i="1"/>
  <c r="F1626" i="1"/>
  <c r="H1626" i="1"/>
  <c r="E1627" i="1"/>
  <c r="F1627" i="1"/>
  <c r="H1627" i="1"/>
  <c r="E1628" i="1"/>
  <c r="F1628" i="1"/>
  <c r="H1628" i="1"/>
  <c r="E1629" i="1"/>
  <c r="F1629" i="1"/>
  <c r="H1629" i="1"/>
  <c r="E1630" i="1"/>
  <c r="F1630" i="1"/>
  <c r="H1630" i="1"/>
  <c r="E1631" i="1"/>
  <c r="F1631" i="1"/>
  <c r="H1631" i="1"/>
  <c r="E1632" i="1"/>
  <c r="F1632" i="1"/>
  <c r="H1632" i="1"/>
  <c r="E1633" i="1"/>
  <c r="F1633" i="1"/>
  <c r="H1633" i="1"/>
  <c r="E1634" i="1"/>
  <c r="F1634" i="1"/>
  <c r="H1634" i="1"/>
  <c r="E1635" i="1"/>
  <c r="F1635" i="1"/>
  <c r="H1635" i="1"/>
  <c r="E1636" i="1"/>
  <c r="F1636" i="1"/>
  <c r="H1636" i="1"/>
  <c r="E1637" i="1"/>
  <c r="F1637" i="1"/>
  <c r="H1637" i="1"/>
  <c r="E1638" i="1"/>
  <c r="F1638" i="1"/>
  <c r="H1638" i="1"/>
  <c r="E1639" i="1"/>
  <c r="F1639" i="1"/>
  <c r="H1639" i="1"/>
  <c r="E1640" i="1"/>
  <c r="F1640" i="1"/>
  <c r="H1640" i="1"/>
  <c r="E1641" i="1"/>
  <c r="F1641" i="1"/>
  <c r="H1641" i="1"/>
  <c r="E1642" i="1"/>
  <c r="F1642" i="1"/>
  <c r="H1642" i="1"/>
  <c r="E1643" i="1"/>
  <c r="F1643" i="1"/>
  <c r="H1643" i="1"/>
  <c r="E1644" i="1"/>
  <c r="F1644" i="1"/>
  <c r="H1644" i="1"/>
  <c r="E1645" i="1"/>
  <c r="F1645" i="1"/>
  <c r="H1645" i="1"/>
  <c r="E1646" i="1"/>
  <c r="F1646" i="1"/>
  <c r="H1646" i="1"/>
  <c r="E1647" i="1"/>
  <c r="F1647" i="1"/>
  <c r="H1647" i="1"/>
  <c r="E1648" i="1"/>
  <c r="F1648" i="1"/>
  <c r="H1648" i="1"/>
  <c r="E1649" i="1"/>
  <c r="F1649" i="1"/>
  <c r="H1649" i="1"/>
  <c r="E1650" i="1"/>
  <c r="F1650" i="1"/>
  <c r="H1650" i="1"/>
  <c r="E1651" i="1"/>
  <c r="F1651" i="1"/>
  <c r="H1651" i="1"/>
  <c r="E1652" i="1"/>
  <c r="F1652" i="1"/>
  <c r="H1652" i="1"/>
  <c r="E1653" i="1"/>
  <c r="F1653" i="1"/>
  <c r="H1653" i="1"/>
  <c r="E1654" i="1"/>
  <c r="F1654" i="1"/>
  <c r="H1654" i="1"/>
  <c r="E1655" i="1"/>
  <c r="F1655" i="1"/>
  <c r="H1655" i="1"/>
  <c r="E1656" i="1"/>
  <c r="F1656" i="1"/>
  <c r="H1656" i="1"/>
  <c r="E1657" i="1"/>
  <c r="F1657" i="1"/>
  <c r="H1657" i="1"/>
  <c r="E1658" i="1"/>
  <c r="F1658" i="1"/>
  <c r="H1658" i="1"/>
  <c r="E1659" i="1"/>
  <c r="F1659" i="1"/>
  <c r="H1659" i="1"/>
  <c r="E1660" i="1"/>
  <c r="F1660" i="1"/>
  <c r="H1660" i="1"/>
  <c r="E1661" i="1"/>
  <c r="F1661" i="1"/>
  <c r="H1661" i="1"/>
  <c r="E1662" i="1"/>
  <c r="F1662" i="1"/>
  <c r="H1662" i="1"/>
  <c r="E1663" i="1"/>
  <c r="F1663" i="1"/>
  <c r="H1663" i="1"/>
  <c r="E1664" i="1"/>
  <c r="F1664" i="1"/>
  <c r="H1664" i="1"/>
  <c r="E1665" i="1"/>
  <c r="F1665" i="1"/>
  <c r="H1665" i="1"/>
  <c r="E1666" i="1"/>
  <c r="F1666" i="1"/>
  <c r="H1666" i="1"/>
  <c r="E1667" i="1"/>
  <c r="F1667" i="1"/>
  <c r="H1667" i="1"/>
  <c r="E1668" i="1"/>
  <c r="F1668" i="1"/>
  <c r="H1668" i="1"/>
  <c r="E1669" i="1"/>
  <c r="F1669" i="1"/>
  <c r="H1669" i="1"/>
  <c r="E1670" i="1"/>
  <c r="F1670" i="1"/>
  <c r="H1670" i="1"/>
  <c r="E1671" i="1"/>
  <c r="F1671" i="1"/>
  <c r="H1671" i="1"/>
  <c r="E1672" i="1"/>
  <c r="F1672" i="1"/>
  <c r="H1672" i="1"/>
  <c r="E1673" i="1"/>
  <c r="F1673" i="1"/>
  <c r="H1673" i="1"/>
  <c r="E1674" i="1"/>
  <c r="F1674" i="1"/>
  <c r="H1674" i="1"/>
  <c r="E1675" i="1"/>
  <c r="F1675" i="1"/>
  <c r="H1675" i="1"/>
  <c r="E1676" i="1"/>
  <c r="F1676" i="1"/>
  <c r="H1676" i="1"/>
  <c r="E1677" i="1"/>
  <c r="F1677" i="1"/>
  <c r="H1677" i="1"/>
  <c r="E1678" i="1"/>
  <c r="F1678" i="1"/>
  <c r="H1678" i="1"/>
  <c r="E1679" i="1"/>
  <c r="F1679" i="1"/>
  <c r="H1679" i="1"/>
  <c r="E1680" i="1"/>
  <c r="F1680" i="1"/>
  <c r="H1680" i="1"/>
  <c r="E1681" i="1"/>
  <c r="F1681" i="1"/>
  <c r="H1681" i="1"/>
  <c r="E1682" i="1"/>
  <c r="F1682" i="1"/>
  <c r="H1682" i="1"/>
  <c r="E1683" i="1"/>
  <c r="F1683" i="1"/>
  <c r="H1683" i="1"/>
  <c r="E1684" i="1"/>
  <c r="F1684" i="1"/>
  <c r="H1684" i="1"/>
  <c r="E1685" i="1"/>
  <c r="F1685" i="1"/>
  <c r="H1685" i="1"/>
  <c r="E1686" i="1"/>
  <c r="F1686" i="1"/>
  <c r="H1686" i="1"/>
  <c r="E1687" i="1"/>
  <c r="F1687" i="1"/>
  <c r="H1687" i="1"/>
  <c r="E1688" i="1"/>
  <c r="F1688" i="1"/>
  <c r="H1688" i="1"/>
  <c r="E1689" i="1"/>
  <c r="F1689" i="1"/>
  <c r="H1689" i="1"/>
  <c r="E1690" i="1"/>
  <c r="F1690" i="1"/>
  <c r="H1690" i="1"/>
  <c r="E1691" i="1"/>
  <c r="F1691" i="1"/>
  <c r="H1691" i="1"/>
  <c r="E1692" i="1"/>
  <c r="F1692" i="1"/>
  <c r="H1692" i="1"/>
  <c r="E1693" i="1"/>
  <c r="F1693" i="1"/>
  <c r="H1693" i="1"/>
  <c r="E1694" i="1"/>
  <c r="F1694" i="1"/>
  <c r="H1694" i="1"/>
  <c r="E1695" i="1"/>
  <c r="F1695" i="1"/>
  <c r="H1695" i="1"/>
  <c r="E1696" i="1"/>
  <c r="F1696" i="1"/>
  <c r="H1696" i="1"/>
  <c r="E1697" i="1"/>
  <c r="F1697" i="1"/>
  <c r="H1697" i="1"/>
  <c r="E1698" i="1"/>
  <c r="F1698" i="1"/>
  <c r="H1698" i="1"/>
  <c r="E1699" i="1"/>
  <c r="F1699" i="1"/>
  <c r="H1699" i="1"/>
  <c r="E1700" i="1"/>
  <c r="F1700" i="1"/>
  <c r="H1700" i="1"/>
  <c r="E1701" i="1"/>
  <c r="F1701" i="1"/>
  <c r="H1701" i="1"/>
  <c r="E1702" i="1"/>
  <c r="F1702" i="1"/>
  <c r="H1702" i="1"/>
  <c r="E1703" i="1"/>
  <c r="F1703" i="1"/>
  <c r="H1703" i="1"/>
  <c r="E1704" i="1"/>
  <c r="F1704" i="1"/>
  <c r="H1704" i="1"/>
  <c r="E1705" i="1"/>
  <c r="F1705" i="1"/>
  <c r="H1705" i="1"/>
  <c r="E1706" i="1"/>
  <c r="F1706" i="1"/>
  <c r="H1706" i="1"/>
  <c r="E1707" i="1"/>
  <c r="F1707" i="1"/>
  <c r="H1707" i="1"/>
  <c r="E1708" i="1"/>
  <c r="F1708" i="1"/>
  <c r="H1708" i="1"/>
  <c r="E1709" i="1"/>
  <c r="F1709" i="1"/>
  <c r="H1709" i="1"/>
  <c r="E1710" i="1"/>
  <c r="F1710" i="1"/>
  <c r="H1710" i="1"/>
  <c r="E1711" i="1"/>
  <c r="F1711" i="1"/>
  <c r="H1711" i="1"/>
  <c r="E1712" i="1"/>
  <c r="F1712" i="1"/>
  <c r="H1712" i="1"/>
  <c r="E1713" i="1"/>
  <c r="F1713" i="1"/>
  <c r="H1713" i="1"/>
  <c r="E1714" i="1"/>
  <c r="F1714" i="1"/>
  <c r="H1714" i="1"/>
  <c r="E1715" i="1"/>
  <c r="F1715" i="1"/>
  <c r="H1715" i="1"/>
  <c r="E1716" i="1"/>
  <c r="F1716" i="1"/>
  <c r="H1716" i="1"/>
  <c r="E1717" i="1"/>
  <c r="F1717" i="1"/>
  <c r="H1717" i="1"/>
  <c r="E1718" i="1"/>
  <c r="F1718" i="1"/>
  <c r="H1718" i="1"/>
  <c r="E1719" i="1"/>
  <c r="F1719" i="1"/>
  <c r="H1719" i="1"/>
  <c r="E1720" i="1"/>
  <c r="F1720" i="1"/>
  <c r="H1720" i="1"/>
  <c r="E1721" i="1"/>
  <c r="F1721" i="1"/>
  <c r="H1721" i="1"/>
  <c r="E1722" i="1"/>
  <c r="F1722" i="1"/>
  <c r="H1722" i="1"/>
  <c r="E1723" i="1"/>
  <c r="F1723" i="1"/>
  <c r="H1723" i="1"/>
  <c r="E1724" i="1"/>
  <c r="F1724" i="1"/>
  <c r="H1724" i="1"/>
  <c r="E1725" i="1"/>
  <c r="F1725" i="1"/>
  <c r="H1725" i="1"/>
  <c r="E1726" i="1"/>
  <c r="F1726" i="1"/>
  <c r="H1726" i="1"/>
  <c r="E1727" i="1"/>
  <c r="F1727" i="1"/>
  <c r="H1727" i="1"/>
  <c r="E1728" i="1"/>
  <c r="F1728" i="1"/>
  <c r="H1728" i="1"/>
  <c r="E1729" i="1"/>
  <c r="F1729" i="1"/>
  <c r="H1729" i="1"/>
  <c r="E1730" i="1"/>
  <c r="F1730" i="1"/>
  <c r="H1730" i="1"/>
  <c r="E1731" i="1"/>
  <c r="F1731" i="1"/>
  <c r="H1731" i="1"/>
  <c r="E1732" i="1"/>
  <c r="F1732" i="1"/>
  <c r="H1732" i="1"/>
  <c r="E1733" i="1"/>
  <c r="F1733" i="1"/>
  <c r="H1733" i="1"/>
  <c r="E1734" i="1"/>
  <c r="F1734" i="1"/>
  <c r="H1734" i="1"/>
  <c r="E1735" i="1"/>
  <c r="F1735" i="1"/>
  <c r="H1735" i="1"/>
  <c r="E1736" i="1"/>
  <c r="F1736" i="1"/>
  <c r="H1736" i="1"/>
  <c r="E1737" i="1"/>
  <c r="F1737" i="1"/>
  <c r="H1737" i="1"/>
  <c r="E1738" i="1"/>
  <c r="F1738" i="1"/>
  <c r="H1738" i="1"/>
  <c r="E1739" i="1"/>
  <c r="F1739" i="1"/>
  <c r="H1739" i="1"/>
  <c r="E1740" i="1"/>
  <c r="F1740" i="1"/>
  <c r="H1740" i="1"/>
  <c r="E1741" i="1"/>
  <c r="F1741" i="1"/>
  <c r="H1741" i="1"/>
  <c r="E1742" i="1"/>
  <c r="F1742" i="1"/>
  <c r="H1742" i="1"/>
  <c r="E1743" i="1"/>
  <c r="F1743" i="1"/>
  <c r="H1743" i="1"/>
  <c r="E1744" i="1"/>
  <c r="F1744" i="1"/>
  <c r="H1744" i="1"/>
  <c r="E1745" i="1"/>
  <c r="F1745" i="1"/>
  <c r="H1745" i="1"/>
  <c r="E1746" i="1"/>
  <c r="F1746" i="1"/>
  <c r="H1746" i="1"/>
  <c r="E1747" i="1"/>
  <c r="F1747" i="1"/>
  <c r="H1747" i="1"/>
  <c r="E1748" i="1"/>
  <c r="F1748" i="1"/>
  <c r="H1748" i="1"/>
  <c r="E1749" i="1"/>
  <c r="F1749" i="1"/>
  <c r="H1749" i="1"/>
  <c r="E1750" i="1"/>
  <c r="F1750" i="1"/>
  <c r="H1750" i="1"/>
  <c r="E1751" i="1"/>
  <c r="F1751" i="1"/>
  <c r="H1751" i="1"/>
  <c r="E1752" i="1"/>
  <c r="F1752" i="1"/>
  <c r="H1752" i="1"/>
  <c r="E1753" i="1"/>
  <c r="F1753" i="1"/>
  <c r="H1753" i="1"/>
  <c r="E1754" i="1"/>
  <c r="F1754" i="1"/>
  <c r="H1754" i="1"/>
  <c r="E1755" i="1"/>
  <c r="F1755" i="1"/>
  <c r="H1755" i="1"/>
  <c r="E1756" i="1"/>
  <c r="F1756" i="1"/>
  <c r="H1756" i="1"/>
  <c r="E1757" i="1"/>
  <c r="F1757" i="1"/>
  <c r="H1757" i="1"/>
  <c r="E1758" i="1"/>
  <c r="F1758" i="1"/>
  <c r="H1758" i="1"/>
  <c r="E1759" i="1"/>
  <c r="F1759" i="1"/>
  <c r="H1759" i="1"/>
  <c r="E1760" i="1"/>
  <c r="F1760" i="1"/>
  <c r="H1760" i="1"/>
  <c r="E1761" i="1"/>
  <c r="F1761" i="1"/>
  <c r="H1761" i="1"/>
  <c r="E1762" i="1"/>
  <c r="F1762" i="1"/>
  <c r="H1762" i="1"/>
  <c r="E1763" i="1"/>
  <c r="F1763" i="1"/>
  <c r="H1763" i="1"/>
  <c r="E1764" i="1"/>
  <c r="F1764" i="1"/>
  <c r="H1764" i="1"/>
  <c r="E1765" i="1"/>
  <c r="F1765" i="1"/>
  <c r="H1765" i="1"/>
  <c r="E1766" i="1"/>
  <c r="F1766" i="1"/>
  <c r="H1766" i="1"/>
  <c r="E1767" i="1"/>
  <c r="F1767" i="1"/>
  <c r="H1767" i="1"/>
  <c r="E1768" i="1"/>
  <c r="F1768" i="1"/>
  <c r="H1768" i="1"/>
  <c r="E1769" i="1"/>
  <c r="F1769" i="1"/>
  <c r="H1769" i="1"/>
  <c r="E1770" i="1"/>
  <c r="F1770" i="1"/>
  <c r="H1770" i="1"/>
  <c r="E1771" i="1"/>
  <c r="F1771" i="1"/>
  <c r="H1771" i="1"/>
  <c r="E1772" i="1"/>
  <c r="F1772" i="1"/>
  <c r="H1772" i="1"/>
  <c r="E1773" i="1"/>
  <c r="F1773" i="1"/>
  <c r="H1773" i="1"/>
  <c r="E1774" i="1"/>
  <c r="F1774" i="1"/>
  <c r="H1774" i="1"/>
  <c r="E1775" i="1"/>
  <c r="F1775" i="1"/>
  <c r="H1775" i="1"/>
  <c r="E1776" i="1"/>
  <c r="F1776" i="1"/>
  <c r="H1776" i="1"/>
  <c r="E1777" i="1"/>
  <c r="F1777" i="1"/>
  <c r="H1777" i="1"/>
  <c r="E1778" i="1"/>
  <c r="F1778" i="1"/>
  <c r="H1778" i="1"/>
  <c r="E1779" i="1"/>
  <c r="F1779" i="1"/>
  <c r="H1779" i="1"/>
  <c r="E1780" i="1"/>
  <c r="F1780" i="1"/>
  <c r="H1780" i="1"/>
  <c r="E1781" i="1"/>
  <c r="F1781" i="1"/>
  <c r="H1781" i="1"/>
  <c r="E1782" i="1"/>
  <c r="F1782" i="1"/>
  <c r="H1782" i="1"/>
  <c r="E1783" i="1"/>
  <c r="F1783" i="1"/>
  <c r="H1783" i="1"/>
  <c r="E1784" i="1"/>
  <c r="F1784" i="1"/>
  <c r="H1784" i="1"/>
  <c r="E1785" i="1"/>
  <c r="F1785" i="1"/>
  <c r="H1785" i="1"/>
  <c r="E1786" i="1"/>
  <c r="F1786" i="1"/>
  <c r="H1786" i="1"/>
  <c r="E1787" i="1"/>
  <c r="F1787" i="1"/>
  <c r="H1787" i="1"/>
  <c r="E1788" i="1"/>
  <c r="F1788" i="1"/>
  <c r="H1788" i="1"/>
  <c r="E1789" i="1"/>
  <c r="F1789" i="1"/>
  <c r="H1789" i="1"/>
  <c r="E1790" i="1"/>
  <c r="F1790" i="1"/>
  <c r="H1790" i="1"/>
  <c r="E1791" i="1"/>
  <c r="F1791" i="1"/>
  <c r="H1791" i="1"/>
  <c r="E1792" i="1"/>
  <c r="F1792" i="1"/>
  <c r="H1792" i="1"/>
  <c r="E1793" i="1"/>
  <c r="F1793" i="1"/>
  <c r="H1793" i="1"/>
  <c r="E1794" i="1"/>
  <c r="F1794" i="1"/>
  <c r="H1794" i="1"/>
  <c r="E1795" i="1"/>
  <c r="F1795" i="1"/>
  <c r="H1795" i="1"/>
  <c r="E1796" i="1"/>
  <c r="F1796" i="1"/>
  <c r="H1796" i="1"/>
  <c r="E1797" i="1"/>
  <c r="F1797" i="1"/>
  <c r="H1797" i="1"/>
  <c r="E1798" i="1"/>
  <c r="F1798" i="1"/>
  <c r="H1798" i="1"/>
  <c r="E1799" i="1"/>
  <c r="F1799" i="1"/>
  <c r="H1799" i="1"/>
  <c r="E1800" i="1"/>
  <c r="F1800" i="1"/>
  <c r="H1800" i="1"/>
  <c r="E1801" i="1"/>
  <c r="F1801" i="1"/>
  <c r="H1801" i="1"/>
  <c r="E1802" i="1"/>
  <c r="F1802" i="1"/>
  <c r="H1802" i="1"/>
  <c r="E1803" i="1"/>
  <c r="F1803" i="1"/>
  <c r="H1803" i="1"/>
  <c r="E1804" i="1"/>
  <c r="F1804" i="1"/>
  <c r="H1804" i="1"/>
  <c r="E1805" i="1"/>
  <c r="F1805" i="1"/>
  <c r="H1805" i="1"/>
  <c r="E1806" i="1"/>
  <c r="F1806" i="1"/>
  <c r="H1806" i="1"/>
  <c r="E1807" i="1"/>
  <c r="F1807" i="1"/>
  <c r="H1807" i="1"/>
  <c r="E1808" i="1"/>
  <c r="F1808" i="1"/>
  <c r="H1808" i="1"/>
  <c r="E1809" i="1"/>
  <c r="F1809" i="1"/>
  <c r="H1809" i="1"/>
  <c r="E1810" i="1"/>
  <c r="F1810" i="1"/>
  <c r="H1810" i="1"/>
  <c r="E1811" i="1"/>
  <c r="F1811" i="1"/>
  <c r="H1811" i="1"/>
  <c r="E1812" i="1"/>
  <c r="F1812" i="1"/>
  <c r="H1812" i="1"/>
  <c r="E1813" i="1"/>
  <c r="F1813" i="1"/>
  <c r="H1813" i="1"/>
  <c r="E1814" i="1"/>
  <c r="F1814" i="1"/>
  <c r="H1814" i="1"/>
  <c r="E1815" i="1"/>
  <c r="F1815" i="1"/>
  <c r="H1815" i="1"/>
  <c r="E1816" i="1"/>
  <c r="F1816" i="1"/>
  <c r="H1816" i="1"/>
  <c r="E1817" i="1"/>
  <c r="F1817" i="1"/>
  <c r="H1817" i="1"/>
  <c r="E1818" i="1"/>
  <c r="F1818" i="1"/>
  <c r="H1818" i="1"/>
  <c r="E1819" i="1"/>
  <c r="F1819" i="1"/>
  <c r="H1819" i="1"/>
  <c r="E1820" i="1"/>
  <c r="F1820" i="1"/>
  <c r="H1820" i="1"/>
  <c r="E1821" i="1"/>
  <c r="F1821" i="1"/>
  <c r="H1821" i="1"/>
  <c r="E1822" i="1"/>
  <c r="F1822" i="1"/>
  <c r="H1822" i="1"/>
  <c r="E1823" i="1"/>
  <c r="F1823" i="1"/>
  <c r="H1823" i="1"/>
  <c r="E1824" i="1"/>
  <c r="F1824" i="1"/>
  <c r="H1824" i="1"/>
  <c r="E1825" i="1"/>
  <c r="F1825" i="1"/>
  <c r="H1825" i="1"/>
  <c r="E1826" i="1"/>
  <c r="F1826" i="1"/>
  <c r="H1826" i="1"/>
  <c r="E1827" i="1"/>
  <c r="F1827" i="1"/>
  <c r="H1827" i="1"/>
  <c r="E1828" i="1"/>
  <c r="F1828" i="1"/>
  <c r="H1828" i="1"/>
  <c r="E1829" i="1"/>
  <c r="F1829" i="1"/>
  <c r="H1829" i="1"/>
  <c r="E1830" i="1"/>
  <c r="F1830" i="1"/>
  <c r="H1830" i="1"/>
  <c r="E1831" i="1"/>
  <c r="F1831" i="1"/>
  <c r="H1831" i="1"/>
  <c r="E1832" i="1"/>
  <c r="F1832" i="1"/>
  <c r="H1832" i="1"/>
  <c r="E1833" i="1"/>
  <c r="F1833" i="1"/>
  <c r="H1833" i="1"/>
  <c r="E1834" i="1"/>
  <c r="F1834" i="1"/>
  <c r="H1834" i="1"/>
  <c r="E1835" i="1"/>
  <c r="F1835" i="1"/>
  <c r="H1835" i="1"/>
  <c r="E1836" i="1"/>
  <c r="F1836" i="1"/>
  <c r="H1836" i="1"/>
  <c r="E1837" i="1"/>
  <c r="F1837" i="1"/>
  <c r="H1837" i="1"/>
  <c r="E1838" i="1"/>
  <c r="F1838" i="1"/>
  <c r="H1838" i="1"/>
  <c r="E1839" i="1"/>
  <c r="F1839" i="1"/>
  <c r="H1839" i="1"/>
  <c r="E1840" i="1"/>
  <c r="F1840" i="1"/>
  <c r="H1840" i="1"/>
  <c r="E1841" i="1"/>
  <c r="F1841" i="1"/>
  <c r="H1841" i="1"/>
  <c r="E1842" i="1"/>
  <c r="F1842" i="1"/>
  <c r="H1842" i="1"/>
  <c r="E1843" i="1"/>
  <c r="F1843" i="1"/>
  <c r="H1843" i="1"/>
  <c r="E1844" i="1"/>
  <c r="F1844" i="1"/>
  <c r="H1844" i="1"/>
  <c r="E1845" i="1"/>
  <c r="F1845" i="1"/>
  <c r="H1845" i="1"/>
  <c r="E1846" i="1"/>
  <c r="F1846" i="1"/>
  <c r="H1846" i="1"/>
  <c r="E1847" i="1"/>
  <c r="F1847" i="1"/>
  <c r="H1847" i="1"/>
  <c r="E1848" i="1"/>
  <c r="F1848" i="1"/>
  <c r="H1848" i="1"/>
  <c r="E1849" i="1"/>
  <c r="F1849" i="1"/>
  <c r="H1849" i="1"/>
  <c r="E1850" i="1"/>
  <c r="F1850" i="1"/>
  <c r="H1850" i="1"/>
  <c r="E1851" i="1"/>
  <c r="F1851" i="1"/>
  <c r="H1851" i="1"/>
  <c r="E1852" i="1"/>
  <c r="F1852" i="1"/>
  <c r="H1852" i="1"/>
  <c r="E1853" i="1"/>
  <c r="F1853" i="1"/>
  <c r="H1853" i="1"/>
  <c r="E1854" i="1"/>
  <c r="F1854" i="1"/>
  <c r="H1854" i="1"/>
  <c r="E1855" i="1"/>
  <c r="F1855" i="1"/>
  <c r="H1855" i="1"/>
  <c r="E1856" i="1"/>
  <c r="F1856" i="1"/>
  <c r="H1856" i="1"/>
  <c r="E1857" i="1"/>
  <c r="F1857" i="1"/>
  <c r="H1857" i="1"/>
  <c r="E1858" i="1"/>
  <c r="F1858" i="1"/>
  <c r="H1858" i="1"/>
  <c r="E1859" i="1"/>
  <c r="F1859" i="1"/>
  <c r="H1859" i="1"/>
  <c r="E1860" i="1"/>
  <c r="F1860" i="1"/>
  <c r="H1860" i="1"/>
  <c r="E1861" i="1"/>
  <c r="F1861" i="1"/>
  <c r="H1861" i="1"/>
  <c r="E1862" i="1"/>
  <c r="F1862" i="1"/>
  <c r="H1862" i="1"/>
  <c r="E1863" i="1"/>
  <c r="F1863" i="1"/>
  <c r="H1863" i="1"/>
  <c r="E1864" i="1"/>
  <c r="F1864" i="1"/>
  <c r="H1864" i="1"/>
  <c r="E1865" i="1"/>
  <c r="F1865" i="1"/>
  <c r="H1865" i="1"/>
  <c r="E1866" i="1"/>
  <c r="F1866" i="1"/>
  <c r="H1866" i="1"/>
  <c r="E1867" i="1"/>
  <c r="F1867" i="1"/>
  <c r="H1867" i="1"/>
  <c r="E1868" i="1"/>
  <c r="F1868" i="1"/>
  <c r="H1868" i="1"/>
  <c r="E1869" i="1"/>
  <c r="F1869" i="1"/>
  <c r="H1869" i="1"/>
  <c r="E1870" i="1"/>
  <c r="F1870" i="1"/>
  <c r="H1870" i="1"/>
  <c r="E1871" i="1"/>
  <c r="F1871" i="1"/>
  <c r="H1871" i="1"/>
  <c r="E1872" i="1"/>
  <c r="F1872" i="1"/>
  <c r="H1872" i="1"/>
  <c r="E1873" i="1"/>
  <c r="F1873" i="1"/>
  <c r="H1873" i="1"/>
  <c r="E1874" i="1"/>
  <c r="F1874" i="1"/>
  <c r="H1874" i="1"/>
  <c r="E1875" i="1"/>
  <c r="F1875" i="1"/>
  <c r="H1875" i="1"/>
  <c r="E1876" i="1"/>
  <c r="F1876" i="1"/>
  <c r="H1876" i="1"/>
  <c r="E1877" i="1"/>
  <c r="F1877" i="1"/>
  <c r="H1877" i="1"/>
  <c r="E1878" i="1"/>
  <c r="F1878" i="1"/>
  <c r="H1878" i="1"/>
  <c r="E1879" i="1"/>
  <c r="F1879" i="1"/>
  <c r="H1879" i="1"/>
  <c r="E1880" i="1"/>
  <c r="F1880" i="1"/>
  <c r="H1880" i="1"/>
  <c r="E1881" i="1"/>
  <c r="F1881" i="1"/>
  <c r="H1881" i="1"/>
  <c r="E1882" i="1"/>
  <c r="F1882" i="1"/>
  <c r="H1882" i="1"/>
  <c r="E1883" i="1"/>
  <c r="F1883" i="1"/>
  <c r="H1883" i="1"/>
  <c r="E1884" i="1"/>
  <c r="F1884" i="1"/>
  <c r="H1884" i="1"/>
  <c r="E1885" i="1"/>
  <c r="F1885" i="1"/>
  <c r="H1885" i="1"/>
  <c r="E1886" i="1"/>
  <c r="F1886" i="1"/>
  <c r="H1886" i="1"/>
  <c r="E1887" i="1"/>
  <c r="F1887" i="1"/>
  <c r="H1887" i="1"/>
  <c r="E1888" i="1"/>
  <c r="F1888" i="1"/>
  <c r="H1888" i="1"/>
  <c r="E1889" i="1"/>
  <c r="F1889" i="1"/>
  <c r="H1889" i="1"/>
  <c r="E1890" i="1"/>
  <c r="F1890" i="1"/>
  <c r="H1890" i="1"/>
  <c r="E1891" i="1"/>
  <c r="F1891" i="1"/>
  <c r="H1891" i="1"/>
  <c r="E1892" i="1"/>
  <c r="F1892" i="1"/>
  <c r="H1892" i="1"/>
  <c r="E1893" i="1"/>
  <c r="F1893" i="1"/>
  <c r="H1893" i="1"/>
  <c r="E1894" i="1"/>
  <c r="F1894" i="1"/>
  <c r="H1894" i="1"/>
  <c r="E1895" i="1"/>
  <c r="F1895" i="1"/>
  <c r="H1895" i="1"/>
  <c r="E1896" i="1"/>
  <c r="F1896" i="1"/>
  <c r="H1896" i="1"/>
  <c r="E1897" i="1"/>
  <c r="F1897" i="1"/>
  <c r="H1897" i="1"/>
  <c r="E1898" i="1"/>
  <c r="F1898" i="1"/>
  <c r="H1898" i="1"/>
  <c r="E1899" i="1"/>
  <c r="F1899" i="1"/>
  <c r="H1899" i="1"/>
  <c r="E1900" i="1"/>
  <c r="F1900" i="1"/>
  <c r="H1900" i="1"/>
  <c r="E1901" i="1"/>
  <c r="F1901" i="1"/>
  <c r="H1901" i="1"/>
  <c r="E1902" i="1"/>
  <c r="F1902" i="1"/>
  <c r="H1902" i="1"/>
  <c r="E1903" i="1"/>
  <c r="F1903" i="1"/>
  <c r="H1903" i="1"/>
  <c r="E1904" i="1"/>
  <c r="F1904" i="1"/>
  <c r="H1904" i="1"/>
  <c r="E1905" i="1"/>
  <c r="F1905" i="1"/>
  <c r="H1905" i="1"/>
  <c r="E1906" i="1"/>
  <c r="F1906" i="1"/>
  <c r="H1906" i="1"/>
  <c r="E1907" i="1"/>
  <c r="F1907" i="1"/>
  <c r="H1907" i="1"/>
  <c r="E1908" i="1"/>
  <c r="F1908" i="1"/>
  <c r="H1908" i="1"/>
  <c r="E1909" i="1"/>
  <c r="F1909" i="1"/>
  <c r="H1909" i="1"/>
  <c r="E1910" i="1"/>
  <c r="F1910" i="1"/>
  <c r="H1910" i="1"/>
  <c r="E1911" i="1"/>
  <c r="F1911" i="1"/>
  <c r="H1911" i="1"/>
  <c r="E1912" i="1"/>
  <c r="F1912" i="1"/>
  <c r="H1912" i="1"/>
  <c r="E1913" i="1"/>
  <c r="F1913" i="1"/>
  <c r="H1913" i="1"/>
  <c r="E1914" i="1"/>
  <c r="F1914" i="1"/>
  <c r="H1914" i="1"/>
  <c r="E1915" i="1"/>
  <c r="F1915" i="1"/>
  <c r="H1915" i="1"/>
  <c r="E1916" i="1"/>
  <c r="F1916" i="1"/>
  <c r="H1916" i="1"/>
  <c r="E1917" i="1"/>
  <c r="F1917" i="1"/>
  <c r="H1917" i="1"/>
  <c r="E1918" i="1"/>
  <c r="F1918" i="1"/>
  <c r="H1918" i="1"/>
  <c r="E1919" i="1"/>
  <c r="F1919" i="1"/>
  <c r="H1919" i="1"/>
  <c r="E1920" i="1"/>
  <c r="F1920" i="1"/>
  <c r="H1920" i="1"/>
  <c r="E1921" i="1"/>
  <c r="F1921" i="1"/>
  <c r="H1921" i="1"/>
  <c r="E1922" i="1"/>
  <c r="F1922" i="1"/>
  <c r="H1922" i="1"/>
  <c r="E1923" i="1"/>
  <c r="F1923" i="1"/>
  <c r="H1923" i="1"/>
  <c r="E1924" i="1"/>
  <c r="F1924" i="1"/>
  <c r="H1924" i="1"/>
  <c r="E1925" i="1"/>
  <c r="F1925" i="1"/>
  <c r="H1925" i="1"/>
  <c r="E1926" i="1"/>
  <c r="F1926" i="1"/>
  <c r="H1926" i="1"/>
  <c r="E1927" i="1"/>
  <c r="F1927" i="1"/>
  <c r="H1927" i="1"/>
  <c r="E1928" i="1"/>
  <c r="F1928" i="1"/>
  <c r="H1928" i="1"/>
  <c r="E1929" i="1"/>
  <c r="F1929" i="1"/>
  <c r="H1929" i="1"/>
  <c r="E1930" i="1"/>
  <c r="F1930" i="1"/>
  <c r="H1930" i="1"/>
  <c r="E1931" i="1"/>
  <c r="F1931" i="1"/>
  <c r="H1931" i="1"/>
  <c r="E1932" i="1"/>
  <c r="F1932" i="1"/>
  <c r="H1932" i="1"/>
  <c r="E1933" i="1"/>
  <c r="F1933" i="1"/>
  <c r="H1933" i="1"/>
  <c r="E1934" i="1"/>
  <c r="F1934" i="1"/>
  <c r="H1934" i="1"/>
  <c r="E1935" i="1"/>
  <c r="F1935" i="1"/>
  <c r="H1935" i="1"/>
  <c r="E1936" i="1"/>
  <c r="F1936" i="1"/>
  <c r="H1936" i="1"/>
  <c r="E1937" i="1"/>
  <c r="F1937" i="1"/>
  <c r="H1937" i="1"/>
  <c r="E1938" i="1"/>
  <c r="F1938" i="1"/>
  <c r="H1938" i="1"/>
  <c r="E1939" i="1"/>
  <c r="F1939" i="1"/>
  <c r="H1939" i="1"/>
  <c r="E1940" i="1"/>
  <c r="F1940" i="1"/>
  <c r="H1940" i="1"/>
  <c r="E1941" i="1"/>
  <c r="F1941" i="1"/>
  <c r="H1941" i="1"/>
  <c r="E1942" i="1"/>
  <c r="F1942" i="1"/>
  <c r="H1942" i="1"/>
  <c r="E1943" i="1"/>
  <c r="F1943" i="1"/>
  <c r="H1943" i="1"/>
  <c r="E1944" i="1"/>
  <c r="F1944" i="1"/>
  <c r="H1944" i="1"/>
  <c r="E1945" i="1"/>
  <c r="F1945" i="1"/>
  <c r="H1945" i="1"/>
  <c r="E1946" i="1"/>
  <c r="F1946" i="1"/>
  <c r="H1946" i="1"/>
  <c r="E1947" i="1"/>
  <c r="F1947" i="1"/>
  <c r="H1947" i="1"/>
  <c r="E1948" i="1"/>
  <c r="F1948" i="1"/>
  <c r="H1948" i="1"/>
  <c r="E1949" i="1"/>
  <c r="F1949" i="1"/>
  <c r="H1949" i="1"/>
  <c r="E1950" i="1"/>
  <c r="F1950" i="1"/>
  <c r="H1950" i="1"/>
  <c r="E1951" i="1"/>
  <c r="F1951" i="1"/>
  <c r="H1951" i="1"/>
  <c r="E1952" i="1"/>
  <c r="F1952" i="1"/>
  <c r="H1952" i="1"/>
  <c r="E1953" i="1"/>
  <c r="F1953" i="1"/>
  <c r="H1953" i="1"/>
  <c r="E1954" i="1"/>
  <c r="F1954" i="1"/>
  <c r="H1954" i="1"/>
  <c r="E1955" i="1"/>
  <c r="F1955" i="1"/>
  <c r="H1955" i="1"/>
  <c r="E1956" i="1"/>
  <c r="F1956" i="1"/>
  <c r="H1956" i="1"/>
  <c r="E1957" i="1"/>
  <c r="F1957" i="1"/>
  <c r="H1957" i="1"/>
  <c r="E1958" i="1"/>
  <c r="F1958" i="1"/>
  <c r="H1958" i="1"/>
  <c r="E1959" i="1"/>
  <c r="F1959" i="1"/>
  <c r="H1959" i="1"/>
  <c r="E1960" i="1"/>
  <c r="F1960" i="1"/>
  <c r="H1960" i="1"/>
  <c r="E1961" i="1"/>
  <c r="F1961" i="1"/>
  <c r="H1961" i="1"/>
  <c r="E1962" i="1"/>
  <c r="F1962" i="1"/>
  <c r="H1962" i="1"/>
  <c r="E1963" i="1"/>
  <c r="F1963" i="1"/>
  <c r="H1963" i="1"/>
  <c r="E1964" i="1"/>
  <c r="F1964" i="1"/>
  <c r="H1964" i="1"/>
  <c r="E1965" i="1"/>
  <c r="F1965" i="1"/>
  <c r="H1965" i="1"/>
  <c r="E1966" i="1"/>
  <c r="F1966" i="1"/>
  <c r="H1966" i="1"/>
  <c r="E1967" i="1"/>
  <c r="F1967" i="1"/>
  <c r="H1967" i="1"/>
  <c r="E1968" i="1"/>
  <c r="F1968" i="1"/>
  <c r="H1968" i="1"/>
  <c r="E1969" i="1"/>
  <c r="F1969" i="1"/>
  <c r="H1969" i="1"/>
  <c r="E1970" i="1"/>
  <c r="F1970" i="1"/>
  <c r="H1970" i="1"/>
  <c r="E1971" i="1"/>
  <c r="F1971" i="1"/>
  <c r="H1971" i="1"/>
  <c r="E1972" i="1"/>
  <c r="F1972" i="1"/>
  <c r="H1972" i="1"/>
  <c r="E1973" i="1"/>
  <c r="F1973" i="1"/>
  <c r="H1973" i="1"/>
  <c r="E1974" i="1"/>
  <c r="F1974" i="1"/>
  <c r="H1974" i="1"/>
  <c r="E1975" i="1"/>
  <c r="F1975" i="1"/>
  <c r="H1975" i="1"/>
  <c r="E1976" i="1"/>
  <c r="F1976" i="1"/>
  <c r="H1976" i="1"/>
  <c r="E1977" i="1"/>
  <c r="F1977" i="1"/>
  <c r="H1977" i="1"/>
  <c r="E1978" i="1"/>
  <c r="F1978" i="1"/>
  <c r="H1978" i="1"/>
  <c r="E1979" i="1"/>
  <c r="F1979" i="1"/>
  <c r="H1979" i="1"/>
  <c r="E1980" i="1"/>
  <c r="F1980" i="1"/>
  <c r="H1980" i="1"/>
  <c r="E1981" i="1"/>
  <c r="F1981" i="1"/>
  <c r="H1981" i="1"/>
  <c r="E1982" i="1"/>
  <c r="F1982" i="1"/>
  <c r="H1982" i="1"/>
  <c r="E1983" i="1"/>
  <c r="F1983" i="1"/>
  <c r="H1983" i="1"/>
  <c r="E1984" i="1"/>
  <c r="F1984" i="1"/>
  <c r="H1984" i="1"/>
  <c r="E1985" i="1"/>
  <c r="F1985" i="1"/>
  <c r="H1985" i="1"/>
  <c r="E1986" i="1"/>
  <c r="F1986" i="1"/>
  <c r="H1986" i="1"/>
  <c r="E1987" i="1"/>
  <c r="F1987" i="1"/>
  <c r="H1987" i="1"/>
  <c r="E1988" i="1"/>
  <c r="F1988" i="1"/>
  <c r="H1988" i="1"/>
  <c r="E1989" i="1"/>
  <c r="F1989" i="1"/>
  <c r="H1989" i="1"/>
  <c r="E1990" i="1"/>
  <c r="F1990" i="1"/>
  <c r="H1990" i="1"/>
  <c r="E1991" i="1"/>
  <c r="F1991" i="1"/>
  <c r="H1991" i="1"/>
  <c r="E1992" i="1"/>
  <c r="F1992" i="1"/>
  <c r="H1992" i="1"/>
  <c r="E1993" i="1"/>
  <c r="F1993" i="1"/>
  <c r="H1993" i="1"/>
  <c r="E1994" i="1"/>
  <c r="F1994" i="1"/>
  <c r="H1994" i="1"/>
  <c r="E1995" i="1"/>
  <c r="F1995" i="1"/>
  <c r="H1995" i="1"/>
  <c r="E1996" i="1"/>
  <c r="F1996" i="1"/>
  <c r="H1996" i="1"/>
  <c r="E1997" i="1"/>
  <c r="F1997" i="1"/>
  <c r="H1997" i="1"/>
  <c r="E1998" i="1"/>
  <c r="F1998" i="1"/>
  <c r="H1998" i="1"/>
  <c r="E1999" i="1"/>
  <c r="F1999" i="1"/>
  <c r="H1999" i="1"/>
  <c r="E2000" i="1"/>
  <c r="F2000" i="1"/>
  <c r="H2000" i="1"/>
  <c r="E2001" i="1"/>
  <c r="F2001" i="1"/>
  <c r="H2001" i="1"/>
  <c r="E2002" i="1"/>
  <c r="F2002" i="1"/>
  <c r="H2002" i="1"/>
  <c r="E2003" i="1"/>
  <c r="F2003" i="1"/>
  <c r="H2003" i="1"/>
  <c r="E2004" i="1"/>
  <c r="F2004" i="1"/>
  <c r="H2004" i="1"/>
  <c r="E2005" i="1"/>
  <c r="F2005" i="1"/>
  <c r="H2005" i="1"/>
  <c r="E2006" i="1"/>
  <c r="F2006" i="1"/>
  <c r="H2006" i="1"/>
  <c r="E2007" i="1"/>
  <c r="F2007" i="1"/>
  <c r="H2007" i="1"/>
  <c r="E2008" i="1"/>
  <c r="F2008" i="1"/>
  <c r="H2008" i="1"/>
  <c r="E2009" i="1"/>
  <c r="F2009" i="1"/>
  <c r="H2009" i="1"/>
  <c r="E2010" i="1"/>
  <c r="F2010" i="1"/>
  <c r="H2010" i="1"/>
  <c r="E2011" i="1"/>
  <c r="F2011" i="1"/>
  <c r="H2011" i="1"/>
  <c r="E2012" i="1"/>
  <c r="F2012" i="1"/>
  <c r="H2012" i="1"/>
  <c r="E2013" i="1"/>
  <c r="F2013" i="1"/>
  <c r="H2013" i="1"/>
  <c r="E2014" i="1"/>
  <c r="F2014" i="1"/>
  <c r="H2014" i="1"/>
  <c r="E2015" i="1"/>
  <c r="F2015" i="1"/>
  <c r="H2015" i="1"/>
  <c r="E2016" i="1"/>
  <c r="F2016" i="1"/>
  <c r="H2016" i="1"/>
  <c r="E2017" i="1"/>
  <c r="F2017" i="1"/>
  <c r="H2017" i="1"/>
  <c r="E2018" i="1"/>
  <c r="F2018" i="1"/>
  <c r="H2018" i="1"/>
  <c r="E2019" i="1"/>
  <c r="F2019" i="1"/>
  <c r="H2019" i="1"/>
  <c r="E2020" i="1"/>
  <c r="F2020" i="1"/>
  <c r="H2020" i="1"/>
  <c r="E2021" i="1"/>
  <c r="F2021" i="1"/>
  <c r="H2021" i="1"/>
  <c r="E2022" i="1"/>
  <c r="F2022" i="1"/>
  <c r="H2022" i="1"/>
  <c r="E2023" i="1"/>
  <c r="F2023" i="1"/>
  <c r="H2023" i="1"/>
  <c r="E2024" i="1"/>
  <c r="F2024" i="1"/>
  <c r="H2024" i="1"/>
  <c r="E2025" i="1"/>
  <c r="F2025" i="1"/>
  <c r="H2025" i="1"/>
  <c r="E2026" i="1"/>
  <c r="F2026" i="1"/>
  <c r="H2026" i="1"/>
  <c r="E2027" i="1"/>
  <c r="F2027" i="1"/>
  <c r="H2027" i="1"/>
  <c r="E2028" i="1"/>
  <c r="F2028" i="1"/>
  <c r="H2028" i="1"/>
  <c r="E2029" i="1"/>
  <c r="F2029" i="1"/>
  <c r="H2029" i="1"/>
  <c r="E2030" i="1"/>
  <c r="F2030" i="1"/>
  <c r="H2030" i="1"/>
  <c r="E2031" i="1"/>
  <c r="F2031" i="1"/>
  <c r="H2031" i="1"/>
  <c r="E2032" i="1"/>
  <c r="F2032" i="1"/>
  <c r="H2032" i="1"/>
  <c r="E2033" i="1"/>
  <c r="F2033" i="1"/>
  <c r="H2033" i="1"/>
  <c r="E2034" i="1"/>
  <c r="F2034" i="1"/>
  <c r="H2034" i="1"/>
  <c r="E2035" i="1"/>
  <c r="F2035" i="1"/>
  <c r="H2035" i="1"/>
  <c r="E2036" i="1"/>
  <c r="F2036" i="1"/>
  <c r="H2036" i="1"/>
  <c r="E2037" i="1"/>
  <c r="F2037" i="1"/>
  <c r="H2037" i="1"/>
  <c r="E2038" i="1"/>
  <c r="F2038" i="1"/>
  <c r="H2038" i="1"/>
  <c r="E2039" i="1"/>
  <c r="F2039" i="1"/>
  <c r="H2039" i="1"/>
  <c r="E2040" i="1"/>
  <c r="F2040" i="1"/>
  <c r="H2040" i="1"/>
  <c r="E2041" i="1"/>
  <c r="F2041" i="1"/>
  <c r="H2041" i="1"/>
  <c r="E2042" i="1"/>
  <c r="F2042" i="1"/>
  <c r="H2042" i="1"/>
  <c r="E2043" i="1"/>
  <c r="F2043" i="1"/>
  <c r="H2043" i="1"/>
  <c r="E2044" i="1"/>
  <c r="F2044" i="1"/>
  <c r="H2044" i="1"/>
  <c r="E2045" i="1"/>
  <c r="F2045" i="1"/>
  <c r="H2045" i="1"/>
  <c r="E2046" i="1"/>
  <c r="F2046" i="1"/>
  <c r="H2046" i="1"/>
  <c r="E2047" i="1"/>
  <c r="F2047" i="1"/>
  <c r="H2047" i="1"/>
  <c r="E2048" i="1"/>
  <c r="F2048" i="1"/>
  <c r="H2048" i="1"/>
  <c r="E2049" i="1"/>
  <c r="F2049" i="1"/>
  <c r="H2049" i="1"/>
  <c r="E2050" i="1"/>
  <c r="F2050" i="1"/>
  <c r="H2050" i="1"/>
  <c r="E2051" i="1"/>
  <c r="F2051" i="1"/>
  <c r="H2051" i="1"/>
  <c r="E2052" i="1"/>
  <c r="F2052" i="1"/>
  <c r="H2052" i="1"/>
  <c r="E2053" i="1"/>
  <c r="F2053" i="1"/>
  <c r="H2053" i="1"/>
  <c r="E2054" i="1"/>
  <c r="F2054" i="1"/>
  <c r="H2054" i="1"/>
  <c r="E2055" i="1"/>
  <c r="F2055" i="1"/>
  <c r="H2055" i="1"/>
  <c r="E2056" i="1"/>
  <c r="F2056" i="1"/>
  <c r="H2056" i="1"/>
  <c r="E2057" i="1"/>
  <c r="F2057" i="1"/>
  <c r="H2057" i="1"/>
  <c r="E2058" i="1"/>
  <c r="F2058" i="1"/>
  <c r="H2058" i="1"/>
  <c r="E2059" i="1"/>
  <c r="F2059" i="1"/>
  <c r="H2059" i="1"/>
  <c r="E2060" i="1"/>
  <c r="F2060" i="1"/>
  <c r="H2060" i="1"/>
  <c r="E2061" i="1"/>
  <c r="F2061" i="1"/>
  <c r="H2061" i="1"/>
  <c r="E2062" i="1"/>
  <c r="F2062" i="1"/>
  <c r="H2062" i="1"/>
  <c r="E2063" i="1"/>
  <c r="F2063" i="1"/>
  <c r="H2063" i="1"/>
  <c r="E2064" i="1"/>
  <c r="F2064" i="1"/>
  <c r="H2064" i="1"/>
  <c r="E2065" i="1"/>
  <c r="F2065" i="1"/>
  <c r="H2065" i="1"/>
  <c r="E2066" i="1"/>
  <c r="F2066" i="1"/>
  <c r="H2066" i="1"/>
  <c r="E2067" i="1"/>
  <c r="F2067" i="1"/>
  <c r="H2067" i="1"/>
  <c r="E2068" i="1"/>
  <c r="F2068" i="1"/>
  <c r="H2068" i="1"/>
  <c r="E2069" i="1"/>
  <c r="F2069" i="1"/>
  <c r="H2069" i="1"/>
  <c r="E2070" i="1"/>
  <c r="F2070" i="1"/>
  <c r="H2070" i="1"/>
  <c r="E2071" i="1"/>
  <c r="F2071" i="1"/>
  <c r="H2071" i="1"/>
  <c r="E2072" i="1"/>
  <c r="F2072" i="1"/>
  <c r="H2072" i="1"/>
  <c r="E2073" i="1"/>
  <c r="F2073" i="1"/>
  <c r="H2073" i="1"/>
  <c r="E2074" i="1"/>
  <c r="F2074" i="1"/>
  <c r="H2074" i="1"/>
  <c r="E2075" i="1"/>
  <c r="F2075" i="1"/>
  <c r="H2075" i="1"/>
  <c r="E2076" i="1"/>
  <c r="F2076" i="1"/>
  <c r="H2076" i="1"/>
  <c r="E2077" i="1"/>
  <c r="F2077" i="1"/>
  <c r="H2077" i="1"/>
  <c r="E2078" i="1"/>
  <c r="F2078" i="1"/>
  <c r="H2078" i="1"/>
  <c r="E2079" i="1"/>
  <c r="F2079" i="1"/>
  <c r="H2079" i="1"/>
  <c r="E2080" i="1"/>
  <c r="F2080" i="1"/>
  <c r="H2080" i="1"/>
  <c r="E2081" i="1"/>
  <c r="F2081" i="1"/>
  <c r="H2081" i="1"/>
  <c r="E2082" i="1"/>
  <c r="F2082" i="1"/>
  <c r="H2082" i="1"/>
  <c r="E2083" i="1"/>
  <c r="F2083" i="1"/>
  <c r="H2083" i="1"/>
  <c r="E2084" i="1"/>
  <c r="F2084" i="1"/>
  <c r="H2084" i="1"/>
  <c r="E2085" i="1"/>
  <c r="F2085" i="1"/>
  <c r="H2085" i="1"/>
  <c r="E2086" i="1"/>
  <c r="F2086" i="1"/>
  <c r="H2086" i="1"/>
  <c r="E2087" i="1"/>
  <c r="F2087" i="1"/>
  <c r="H2087" i="1"/>
  <c r="E2088" i="1"/>
  <c r="F2088" i="1"/>
  <c r="H2088" i="1"/>
  <c r="E2089" i="1"/>
  <c r="F2089" i="1"/>
  <c r="H2089" i="1"/>
  <c r="E2090" i="1"/>
  <c r="F2090" i="1"/>
  <c r="H2090" i="1"/>
  <c r="E2091" i="1"/>
  <c r="F2091" i="1"/>
  <c r="H2091" i="1"/>
  <c r="E2092" i="1"/>
  <c r="F2092" i="1"/>
  <c r="H2092" i="1"/>
  <c r="E2093" i="1"/>
  <c r="F2093" i="1"/>
  <c r="H2093" i="1"/>
  <c r="E2094" i="1"/>
  <c r="F2094" i="1"/>
  <c r="H2094" i="1"/>
  <c r="E2095" i="1"/>
  <c r="F2095" i="1"/>
  <c r="H2095" i="1"/>
  <c r="E2096" i="1"/>
  <c r="F2096" i="1"/>
  <c r="H2096" i="1"/>
  <c r="E2097" i="1"/>
  <c r="F2097" i="1"/>
  <c r="H2097" i="1"/>
  <c r="E2098" i="1"/>
  <c r="F2098" i="1"/>
  <c r="H2098" i="1"/>
  <c r="E2099" i="1"/>
  <c r="F2099" i="1"/>
  <c r="H2099" i="1"/>
  <c r="E2100" i="1"/>
  <c r="F2100" i="1"/>
  <c r="H2100" i="1"/>
  <c r="E2101" i="1"/>
  <c r="F2101" i="1"/>
  <c r="H2101" i="1"/>
  <c r="E2102" i="1"/>
  <c r="F2102" i="1"/>
  <c r="H2102" i="1"/>
  <c r="E2103" i="1"/>
  <c r="F2103" i="1"/>
  <c r="H2103" i="1"/>
  <c r="E2104" i="1"/>
  <c r="F2104" i="1"/>
  <c r="H2104" i="1"/>
  <c r="E2105" i="1"/>
  <c r="F2105" i="1"/>
  <c r="H2105" i="1"/>
  <c r="E2106" i="1"/>
  <c r="F2106" i="1"/>
  <c r="H2106" i="1"/>
  <c r="E2107" i="1"/>
  <c r="F2107" i="1"/>
  <c r="H2107" i="1"/>
  <c r="E2108" i="1"/>
  <c r="F2108" i="1"/>
  <c r="H2108" i="1"/>
  <c r="E2109" i="1"/>
  <c r="F2109" i="1"/>
  <c r="H2109" i="1"/>
  <c r="E2110" i="1"/>
  <c r="F2110" i="1"/>
  <c r="H2110" i="1"/>
  <c r="E2111" i="1"/>
  <c r="F2111" i="1"/>
  <c r="H2111" i="1"/>
  <c r="E2112" i="1"/>
  <c r="F2112" i="1"/>
  <c r="H2112" i="1"/>
  <c r="E2113" i="1"/>
  <c r="F2113" i="1"/>
  <c r="H2113" i="1"/>
  <c r="E2114" i="1"/>
  <c r="F2114" i="1"/>
  <c r="H2114" i="1"/>
  <c r="E2115" i="1"/>
  <c r="F2115" i="1"/>
  <c r="H2115" i="1"/>
  <c r="E2116" i="1"/>
  <c r="F2116" i="1"/>
  <c r="H2116" i="1"/>
  <c r="E2117" i="1"/>
  <c r="F2117" i="1"/>
  <c r="H2117" i="1"/>
  <c r="E2118" i="1"/>
  <c r="F2118" i="1"/>
  <c r="H2118" i="1"/>
  <c r="E2119" i="1"/>
  <c r="F2119" i="1"/>
  <c r="H2119" i="1"/>
  <c r="E2120" i="1"/>
  <c r="F2120" i="1"/>
  <c r="H2120" i="1"/>
  <c r="E2121" i="1"/>
  <c r="F2121" i="1"/>
  <c r="H2121" i="1"/>
  <c r="E2122" i="1"/>
  <c r="F2122" i="1"/>
  <c r="H2122" i="1"/>
  <c r="E2123" i="1"/>
  <c r="F2123" i="1"/>
  <c r="H2123" i="1"/>
  <c r="E2124" i="1"/>
  <c r="F2124" i="1"/>
  <c r="H2124" i="1"/>
  <c r="E2125" i="1"/>
  <c r="F2125" i="1"/>
  <c r="H2125" i="1"/>
  <c r="E2126" i="1"/>
  <c r="F2126" i="1"/>
  <c r="H2126" i="1"/>
  <c r="E2127" i="1"/>
  <c r="F2127" i="1"/>
  <c r="H2127" i="1"/>
  <c r="E2128" i="1"/>
  <c r="F2128" i="1"/>
  <c r="H2128" i="1"/>
  <c r="E2129" i="1"/>
  <c r="F2129" i="1"/>
  <c r="H2129" i="1"/>
  <c r="E2130" i="1"/>
  <c r="F2130" i="1"/>
  <c r="H2130" i="1"/>
  <c r="E2131" i="1"/>
  <c r="F2131" i="1"/>
  <c r="H2131" i="1"/>
  <c r="E2132" i="1"/>
  <c r="F2132" i="1"/>
  <c r="H2132" i="1"/>
  <c r="E2133" i="1"/>
  <c r="F2133" i="1"/>
  <c r="H2133" i="1"/>
  <c r="E2134" i="1"/>
  <c r="F2134" i="1"/>
  <c r="H2134" i="1"/>
  <c r="E2135" i="1"/>
  <c r="F2135" i="1"/>
  <c r="H2135" i="1"/>
  <c r="E2136" i="1"/>
  <c r="F2136" i="1"/>
  <c r="H2136" i="1"/>
  <c r="E2137" i="1"/>
  <c r="F2137" i="1"/>
  <c r="H2137" i="1"/>
  <c r="E2138" i="1"/>
  <c r="F2138" i="1"/>
  <c r="H2138" i="1"/>
  <c r="E2139" i="1"/>
  <c r="F2139" i="1"/>
  <c r="H2139" i="1"/>
  <c r="E2140" i="1"/>
  <c r="F2140" i="1"/>
  <c r="H2140" i="1"/>
  <c r="E2141" i="1"/>
  <c r="F2141" i="1"/>
  <c r="H2141" i="1"/>
  <c r="E2142" i="1"/>
  <c r="F2142" i="1"/>
  <c r="H2142" i="1"/>
  <c r="E2143" i="1"/>
  <c r="F2143" i="1"/>
  <c r="H2143" i="1"/>
  <c r="E2144" i="1"/>
  <c r="F2144" i="1"/>
  <c r="H2144" i="1"/>
  <c r="E2145" i="1"/>
  <c r="F2145" i="1"/>
  <c r="H2145" i="1"/>
  <c r="E2146" i="1"/>
  <c r="F2146" i="1"/>
  <c r="H2146" i="1"/>
  <c r="E2147" i="1"/>
  <c r="F2147" i="1"/>
  <c r="H2147" i="1"/>
  <c r="E2148" i="1"/>
  <c r="F2148" i="1"/>
  <c r="H2148" i="1"/>
  <c r="E2149" i="1"/>
  <c r="F2149" i="1"/>
  <c r="H2149" i="1"/>
  <c r="E2150" i="1"/>
  <c r="F2150" i="1"/>
  <c r="H2150" i="1"/>
  <c r="E2151" i="1"/>
  <c r="F2151" i="1"/>
  <c r="H2151" i="1"/>
  <c r="E2152" i="1"/>
  <c r="F2152" i="1"/>
  <c r="H2152" i="1"/>
  <c r="E2153" i="1"/>
  <c r="F2153" i="1"/>
  <c r="H2153" i="1"/>
  <c r="E2154" i="1"/>
  <c r="F2154" i="1"/>
  <c r="H2154" i="1"/>
  <c r="E2155" i="1"/>
  <c r="F2155" i="1"/>
  <c r="H2155" i="1"/>
  <c r="E2156" i="1"/>
  <c r="F2156" i="1"/>
  <c r="H2156" i="1"/>
  <c r="E2157" i="1"/>
  <c r="F2157" i="1"/>
  <c r="H2157" i="1"/>
  <c r="E2158" i="1"/>
  <c r="F2158" i="1"/>
  <c r="H2158" i="1"/>
  <c r="E2159" i="1"/>
  <c r="F2159" i="1"/>
  <c r="H2159" i="1"/>
  <c r="E2160" i="1"/>
  <c r="F2160" i="1"/>
  <c r="H2160" i="1"/>
  <c r="E2161" i="1"/>
  <c r="F2161" i="1"/>
  <c r="H2161" i="1"/>
  <c r="E2162" i="1"/>
  <c r="F2162" i="1"/>
  <c r="H2162" i="1"/>
  <c r="E2163" i="1"/>
  <c r="F2163" i="1"/>
  <c r="H2163" i="1"/>
  <c r="E2164" i="1"/>
  <c r="F2164" i="1"/>
  <c r="H2164" i="1"/>
  <c r="E2165" i="1"/>
  <c r="F2165" i="1"/>
  <c r="H2165" i="1"/>
  <c r="E2166" i="1"/>
  <c r="F2166" i="1"/>
  <c r="H2166" i="1"/>
  <c r="E2167" i="1"/>
  <c r="F2167" i="1"/>
  <c r="H2167" i="1"/>
  <c r="E2168" i="1"/>
  <c r="F2168" i="1"/>
  <c r="H2168" i="1"/>
  <c r="E2169" i="1"/>
  <c r="F2169" i="1"/>
  <c r="H2169" i="1"/>
  <c r="E2170" i="1"/>
  <c r="F2170" i="1"/>
  <c r="H2170" i="1"/>
  <c r="E2171" i="1"/>
  <c r="F2171" i="1"/>
  <c r="H2171" i="1"/>
  <c r="E2172" i="1"/>
  <c r="F2172" i="1"/>
  <c r="H2172" i="1"/>
  <c r="E2173" i="1"/>
  <c r="F2173" i="1"/>
  <c r="H2173" i="1"/>
  <c r="E2174" i="1"/>
  <c r="F2174" i="1"/>
  <c r="H2174" i="1"/>
  <c r="E2175" i="1"/>
  <c r="F2175" i="1"/>
  <c r="H2175" i="1"/>
  <c r="E2176" i="1"/>
  <c r="F2176" i="1"/>
  <c r="H2176" i="1"/>
  <c r="E2177" i="1"/>
  <c r="F2177" i="1"/>
  <c r="H2177" i="1"/>
  <c r="E2178" i="1"/>
  <c r="F2178" i="1"/>
  <c r="H2178" i="1"/>
  <c r="E2179" i="1"/>
  <c r="F2179" i="1"/>
  <c r="H2179" i="1"/>
  <c r="E2180" i="1"/>
  <c r="F2180" i="1"/>
  <c r="H2180" i="1"/>
  <c r="E2181" i="1"/>
  <c r="F2181" i="1"/>
  <c r="H2181" i="1"/>
  <c r="E2182" i="1"/>
  <c r="F2182" i="1"/>
  <c r="H2182" i="1"/>
  <c r="E2183" i="1"/>
  <c r="F2183" i="1"/>
  <c r="H2183" i="1"/>
  <c r="E2184" i="1"/>
  <c r="F2184" i="1"/>
  <c r="H2184" i="1"/>
  <c r="E2185" i="1"/>
  <c r="F2185" i="1"/>
  <c r="H2185" i="1"/>
  <c r="E2186" i="1"/>
  <c r="F2186" i="1"/>
  <c r="H2186" i="1"/>
  <c r="E2187" i="1"/>
  <c r="F2187" i="1"/>
  <c r="H2187" i="1"/>
  <c r="E2188" i="1"/>
  <c r="F2188" i="1"/>
  <c r="H2188" i="1"/>
  <c r="E2189" i="1"/>
  <c r="F2189" i="1"/>
  <c r="H2189" i="1"/>
  <c r="E2190" i="1"/>
  <c r="F2190" i="1"/>
  <c r="H2190" i="1"/>
  <c r="E2191" i="1"/>
  <c r="F2191" i="1"/>
  <c r="H2191" i="1"/>
  <c r="E2192" i="1"/>
  <c r="F2192" i="1"/>
  <c r="H2192" i="1"/>
  <c r="E2193" i="1"/>
  <c r="F2193" i="1"/>
  <c r="H2193" i="1"/>
  <c r="E2194" i="1"/>
  <c r="F2194" i="1"/>
  <c r="H2194" i="1"/>
  <c r="E2195" i="1"/>
  <c r="F2195" i="1"/>
  <c r="H2195" i="1"/>
  <c r="E2196" i="1"/>
  <c r="F2196" i="1"/>
  <c r="H2196" i="1"/>
  <c r="E2197" i="1"/>
  <c r="F2197" i="1"/>
  <c r="H2197" i="1"/>
  <c r="E2198" i="1"/>
  <c r="F2198" i="1"/>
  <c r="H2198" i="1"/>
  <c r="E2199" i="1"/>
  <c r="F2199" i="1"/>
  <c r="H2199" i="1"/>
  <c r="E2200" i="1"/>
  <c r="F2200" i="1"/>
  <c r="H2200" i="1"/>
  <c r="E2201" i="1"/>
  <c r="F2201" i="1"/>
  <c r="H2201" i="1"/>
  <c r="E2202" i="1"/>
  <c r="F2202" i="1"/>
  <c r="H2202" i="1"/>
  <c r="E2203" i="1"/>
  <c r="F2203" i="1"/>
  <c r="H2203" i="1"/>
  <c r="E2204" i="1"/>
  <c r="F2204" i="1"/>
  <c r="H2204" i="1"/>
  <c r="E2205" i="1"/>
  <c r="F2205" i="1"/>
  <c r="H2205" i="1"/>
  <c r="E2206" i="1"/>
  <c r="F2206" i="1"/>
  <c r="H2206" i="1"/>
  <c r="E2207" i="1"/>
  <c r="F2207" i="1"/>
  <c r="H2207" i="1"/>
  <c r="E2208" i="1"/>
  <c r="F2208" i="1"/>
  <c r="H2208" i="1"/>
  <c r="E2209" i="1"/>
  <c r="F2209" i="1"/>
  <c r="H2209" i="1"/>
  <c r="E2210" i="1"/>
  <c r="F2210" i="1"/>
  <c r="H2210" i="1"/>
  <c r="E2211" i="1"/>
  <c r="F2211" i="1"/>
  <c r="H2211" i="1"/>
  <c r="E2212" i="1"/>
  <c r="F2212" i="1"/>
  <c r="H2212" i="1"/>
  <c r="E2213" i="1"/>
  <c r="F2213" i="1"/>
  <c r="H2213" i="1"/>
  <c r="E2214" i="1"/>
  <c r="F2214" i="1"/>
  <c r="H2214" i="1"/>
  <c r="E2215" i="1"/>
  <c r="F2215" i="1"/>
  <c r="H2215" i="1"/>
  <c r="E2216" i="1"/>
  <c r="F2216" i="1"/>
  <c r="H2216" i="1"/>
  <c r="E2217" i="1"/>
  <c r="F2217" i="1"/>
  <c r="H2217" i="1"/>
  <c r="E2218" i="1"/>
  <c r="F2218" i="1"/>
  <c r="H2218" i="1"/>
  <c r="E2219" i="1"/>
  <c r="F2219" i="1"/>
  <c r="H2219" i="1"/>
  <c r="E2220" i="1"/>
  <c r="F2220" i="1"/>
  <c r="H2220" i="1"/>
  <c r="E2221" i="1"/>
  <c r="F2221" i="1"/>
  <c r="H2221" i="1"/>
  <c r="E2222" i="1"/>
  <c r="F2222" i="1"/>
  <c r="H2222" i="1"/>
  <c r="E2223" i="1"/>
  <c r="F2223" i="1"/>
  <c r="H2223" i="1"/>
  <c r="E2224" i="1"/>
  <c r="F2224" i="1"/>
  <c r="H2224" i="1"/>
  <c r="E2225" i="1"/>
  <c r="F2225" i="1"/>
  <c r="H2225" i="1"/>
  <c r="E2226" i="1"/>
  <c r="F2226" i="1"/>
  <c r="H2226" i="1"/>
  <c r="E2227" i="1"/>
  <c r="F2227" i="1"/>
  <c r="H2227" i="1"/>
  <c r="E2228" i="1"/>
  <c r="F2228" i="1"/>
  <c r="H2228" i="1"/>
  <c r="E2229" i="1"/>
  <c r="F2229" i="1"/>
  <c r="H2229" i="1"/>
  <c r="E2230" i="1"/>
  <c r="F2230" i="1"/>
  <c r="H2230" i="1"/>
  <c r="E2231" i="1"/>
  <c r="F2231" i="1"/>
  <c r="H2231" i="1"/>
  <c r="E2232" i="1"/>
  <c r="F2232" i="1"/>
  <c r="H2232" i="1"/>
  <c r="E2233" i="1"/>
  <c r="F2233" i="1"/>
  <c r="H2233" i="1"/>
  <c r="E2234" i="1"/>
  <c r="F2234" i="1"/>
  <c r="H2234" i="1"/>
  <c r="E2235" i="1"/>
  <c r="F2235" i="1"/>
  <c r="H2235" i="1"/>
  <c r="E2236" i="1"/>
  <c r="F2236" i="1"/>
  <c r="H2236" i="1"/>
  <c r="E2237" i="1"/>
  <c r="F2237" i="1"/>
  <c r="H2237" i="1"/>
  <c r="E2238" i="1"/>
  <c r="F2238" i="1"/>
  <c r="H2238" i="1"/>
  <c r="E2239" i="1"/>
  <c r="F2239" i="1"/>
  <c r="H2239" i="1"/>
  <c r="E2240" i="1"/>
  <c r="F2240" i="1"/>
  <c r="H2240" i="1"/>
  <c r="E2241" i="1"/>
  <c r="F2241" i="1"/>
  <c r="H2241" i="1"/>
  <c r="E2242" i="1"/>
  <c r="F2242" i="1"/>
  <c r="H2242" i="1"/>
  <c r="E2243" i="1"/>
  <c r="F2243" i="1"/>
  <c r="H2243" i="1"/>
  <c r="E2244" i="1"/>
  <c r="F2244" i="1"/>
  <c r="H2244" i="1"/>
  <c r="E2245" i="1"/>
  <c r="F2245" i="1"/>
  <c r="H2245" i="1"/>
  <c r="E2246" i="1"/>
  <c r="F2246" i="1"/>
  <c r="H2246" i="1"/>
  <c r="E2247" i="1"/>
  <c r="F2247" i="1"/>
  <c r="H2247" i="1"/>
  <c r="E2248" i="1"/>
  <c r="F2248" i="1"/>
  <c r="H2248" i="1"/>
  <c r="E2249" i="1"/>
  <c r="F2249" i="1"/>
  <c r="H2249" i="1"/>
  <c r="E2250" i="1"/>
  <c r="F2250" i="1"/>
  <c r="H2250" i="1"/>
  <c r="E2251" i="1"/>
  <c r="F2251" i="1"/>
  <c r="H2251" i="1"/>
  <c r="E2252" i="1"/>
  <c r="F2252" i="1"/>
  <c r="H2252" i="1"/>
  <c r="E2253" i="1"/>
  <c r="F2253" i="1"/>
  <c r="H2253" i="1"/>
  <c r="E2254" i="1"/>
  <c r="F2254" i="1"/>
  <c r="H2254" i="1"/>
  <c r="E2255" i="1"/>
  <c r="F2255" i="1"/>
  <c r="H2255" i="1"/>
  <c r="E2256" i="1"/>
  <c r="F2256" i="1"/>
  <c r="H2256" i="1"/>
  <c r="E2257" i="1"/>
  <c r="F2257" i="1"/>
  <c r="H2257" i="1"/>
  <c r="E2258" i="1"/>
  <c r="F2258" i="1"/>
  <c r="H2258" i="1"/>
  <c r="E2259" i="1"/>
  <c r="F2259" i="1"/>
  <c r="H2259" i="1"/>
  <c r="E2260" i="1"/>
  <c r="F2260" i="1"/>
  <c r="H2260" i="1"/>
  <c r="E2261" i="1"/>
  <c r="F2261" i="1"/>
  <c r="H2261" i="1"/>
  <c r="E2262" i="1"/>
  <c r="F2262" i="1"/>
  <c r="H2262" i="1"/>
  <c r="E2263" i="1"/>
  <c r="F2263" i="1"/>
  <c r="H2263" i="1"/>
  <c r="E2264" i="1"/>
  <c r="F2264" i="1"/>
  <c r="H2264" i="1"/>
  <c r="E2265" i="1"/>
  <c r="F2265" i="1"/>
  <c r="H2265" i="1"/>
  <c r="E2266" i="1"/>
  <c r="F2266" i="1"/>
  <c r="H2266" i="1"/>
  <c r="E2267" i="1"/>
  <c r="F2267" i="1"/>
  <c r="H2267" i="1"/>
  <c r="E2268" i="1"/>
  <c r="F2268" i="1"/>
  <c r="H2268" i="1"/>
  <c r="E2269" i="1"/>
  <c r="F2269" i="1"/>
  <c r="H2269" i="1"/>
  <c r="E2270" i="1"/>
  <c r="F2270" i="1"/>
  <c r="H2270" i="1"/>
  <c r="E2271" i="1"/>
  <c r="F2271" i="1"/>
  <c r="H2271" i="1"/>
  <c r="E2272" i="1"/>
  <c r="F2272" i="1"/>
  <c r="H2272" i="1"/>
  <c r="E2273" i="1"/>
  <c r="F2273" i="1"/>
  <c r="H2273" i="1"/>
  <c r="E2274" i="1"/>
  <c r="F2274" i="1"/>
  <c r="H2274" i="1"/>
  <c r="E2275" i="1"/>
  <c r="F2275" i="1"/>
  <c r="H2275" i="1"/>
  <c r="E2276" i="1"/>
  <c r="F2276" i="1"/>
  <c r="H2276" i="1"/>
  <c r="E2277" i="1"/>
  <c r="F2277" i="1"/>
  <c r="H2277" i="1"/>
  <c r="E2278" i="1"/>
  <c r="F2278" i="1"/>
  <c r="H2278" i="1"/>
  <c r="E2279" i="1"/>
  <c r="F2279" i="1"/>
  <c r="H2279" i="1"/>
  <c r="E2280" i="1"/>
  <c r="F2280" i="1"/>
  <c r="H2280" i="1"/>
  <c r="E2281" i="1"/>
  <c r="F2281" i="1"/>
  <c r="H2281" i="1"/>
  <c r="E2282" i="1"/>
  <c r="F2282" i="1"/>
  <c r="H2282" i="1"/>
  <c r="E2283" i="1"/>
  <c r="F2283" i="1"/>
  <c r="H2283" i="1"/>
  <c r="E2284" i="1"/>
  <c r="F2284" i="1"/>
  <c r="H2284" i="1"/>
  <c r="E2285" i="1"/>
  <c r="F2285" i="1"/>
  <c r="H2285" i="1"/>
  <c r="E2286" i="1"/>
  <c r="F2286" i="1"/>
  <c r="H2286" i="1"/>
  <c r="E2287" i="1"/>
  <c r="F2287" i="1"/>
  <c r="H2287" i="1"/>
  <c r="E2288" i="1"/>
  <c r="F2288" i="1"/>
  <c r="H2288" i="1"/>
  <c r="E2289" i="1"/>
  <c r="F2289" i="1"/>
  <c r="H2289" i="1"/>
  <c r="E2290" i="1"/>
  <c r="F2290" i="1"/>
  <c r="H2290" i="1"/>
  <c r="E2291" i="1"/>
  <c r="F2291" i="1"/>
  <c r="H2291" i="1"/>
  <c r="E2292" i="1"/>
  <c r="F2292" i="1"/>
  <c r="H2292" i="1"/>
  <c r="E2293" i="1"/>
  <c r="F2293" i="1"/>
  <c r="H2293" i="1"/>
  <c r="E2294" i="1"/>
  <c r="F2294" i="1"/>
  <c r="H2294" i="1"/>
  <c r="E2295" i="1"/>
  <c r="F2295" i="1"/>
  <c r="H2295" i="1"/>
  <c r="E2296" i="1"/>
  <c r="F2296" i="1"/>
  <c r="H2296" i="1"/>
  <c r="E2297" i="1"/>
  <c r="F2297" i="1"/>
  <c r="H2297" i="1"/>
  <c r="E2298" i="1"/>
  <c r="F2298" i="1"/>
  <c r="H2298" i="1"/>
  <c r="E2299" i="1"/>
  <c r="F2299" i="1"/>
  <c r="H2299" i="1"/>
  <c r="E2300" i="1"/>
  <c r="F2300" i="1"/>
  <c r="H2300" i="1"/>
  <c r="E2301" i="1"/>
  <c r="F2301" i="1"/>
  <c r="H2301" i="1"/>
  <c r="E2302" i="1"/>
  <c r="F2302" i="1"/>
  <c r="H2302" i="1"/>
  <c r="E2303" i="1"/>
  <c r="F2303" i="1"/>
  <c r="H2303" i="1"/>
  <c r="E2304" i="1"/>
  <c r="F2304" i="1"/>
  <c r="H2304" i="1"/>
  <c r="E2305" i="1"/>
  <c r="F2305" i="1"/>
  <c r="H2305" i="1"/>
  <c r="E2306" i="1"/>
  <c r="F2306" i="1"/>
  <c r="H2306" i="1"/>
  <c r="E2307" i="1"/>
  <c r="F2307" i="1"/>
  <c r="H2307" i="1"/>
  <c r="E2308" i="1"/>
  <c r="F2308" i="1"/>
  <c r="H2308" i="1"/>
  <c r="E2309" i="1"/>
  <c r="F2309" i="1"/>
  <c r="H2309" i="1"/>
  <c r="E2310" i="1"/>
  <c r="F2310" i="1"/>
  <c r="H2310" i="1"/>
  <c r="E2311" i="1"/>
  <c r="F2311" i="1"/>
  <c r="H2311" i="1"/>
  <c r="E2312" i="1"/>
  <c r="F2312" i="1"/>
  <c r="H2312" i="1"/>
  <c r="E2313" i="1"/>
  <c r="F2313" i="1"/>
  <c r="H2313" i="1"/>
  <c r="E2314" i="1"/>
  <c r="F2314" i="1"/>
  <c r="H2314" i="1"/>
  <c r="E2315" i="1"/>
  <c r="F2315" i="1"/>
  <c r="H2315" i="1"/>
  <c r="E2316" i="1"/>
  <c r="F2316" i="1"/>
  <c r="H2316" i="1"/>
  <c r="E2317" i="1"/>
  <c r="F2317" i="1"/>
  <c r="H2317" i="1"/>
  <c r="E2318" i="1"/>
  <c r="F2318" i="1"/>
  <c r="H2318" i="1"/>
  <c r="E2319" i="1"/>
  <c r="F2319" i="1"/>
  <c r="H2319" i="1"/>
  <c r="E2320" i="1"/>
  <c r="F2320" i="1"/>
  <c r="H2320" i="1"/>
  <c r="E2321" i="1"/>
  <c r="F2321" i="1"/>
  <c r="H2321" i="1"/>
  <c r="E2322" i="1"/>
  <c r="F2322" i="1"/>
  <c r="H2322" i="1"/>
  <c r="E2323" i="1"/>
  <c r="F2323" i="1"/>
  <c r="H2323" i="1"/>
  <c r="E2324" i="1"/>
  <c r="F2324" i="1"/>
  <c r="H2324" i="1"/>
  <c r="E2325" i="1"/>
  <c r="F2325" i="1"/>
  <c r="H2325" i="1"/>
  <c r="E2326" i="1"/>
  <c r="F2326" i="1"/>
  <c r="H2326" i="1"/>
  <c r="E2327" i="1"/>
  <c r="F2327" i="1"/>
  <c r="H2327" i="1"/>
  <c r="E2328" i="1"/>
  <c r="F2328" i="1"/>
  <c r="H2328" i="1"/>
  <c r="E2329" i="1"/>
  <c r="F2329" i="1"/>
  <c r="H2329" i="1"/>
  <c r="E2330" i="1"/>
  <c r="F2330" i="1"/>
  <c r="H2330" i="1"/>
  <c r="E2331" i="1"/>
  <c r="F2331" i="1"/>
  <c r="H2331" i="1"/>
  <c r="E2332" i="1"/>
  <c r="F2332" i="1"/>
  <c r="H2332" i="1"/>
  <c r="E2333" i="1"/>
  <c r="F2333" i="1"/>
  <c r="H2333" i="1"/>
  <c r="E2334" i="1"/>
  <c r="F2334" i="1"/>
  <c r="H2334" i="1"/>
  <c r="E2335" i="1"/>
  <c r="F2335" i="1"/>
  <c r="H2335" i="1"/>
  <c r="E2336" i="1"/>
  <c r="F2336" i="1"/>
  <c r="H2336" i="1"/>
  <c r="E2337" i="1"/>
  <c r="F2337" i="1"/>
  <c r="H2337" i="1"/>
  <c r="E2338" i="1"/>
  <c r="F2338" i="1"/>
  <c r="H2338" i="1"/>
  <c r="E2339" i="1"/>
  <c r="F2339" i="1"/>
  <c r="H2339" i="1"/>
  <c r="E2340" i="1"/>
  <c r="F2340" i="1"/>
  <c r="H2340" i="1"/>
  <c r="E2341" i="1"/>
  <c r="F2341" i="1"/>
  <c r="H2341" i="1"/>
  <c r="E2342" i="1"/>
  <c r="F2342" i="1"/>
  <c r="H2342" i="1"/>
  <c r="E2343" i="1"/>
  <c r="F2343" i="1"/>
  <c r="H2343" i="1"/>
  <c r="E2344" i="1"/>
  <c r="F2344" i="1"/>
  <c r="H2344" i="1"/>
  <c r="E2345" i="1"/>
  <c r="F2345" i="1"/>
  <c r="H2345" i="1"/>
  <c r="E2346" i="1"/>
  <c r="F2346" i="1"/>
  <c r="H2346" i="1"/>
  <c r="E2347" i="1"/>
  <c r="F2347" i="1"/>
  <c r="H2347" i="1"/>
  <c r="E2348" i="1"/>
  <c r="F2348" i="1"/>
  <c r="H2348" i="1"/>
  <c r="E2349" i="1"/>
  <c r="F2349" i="1"/>
  <c r="H2349" i="1"/>
  <c r="E2350" i="1"/>
  <c r="F2350" i="1"/>
  <c r="H2350" i="1"/>
  <c r="E2351" i="1"/>
  <c r="F2351" i="1"/>
  <c r="H2351" i="1"/>
  <c r="E2352" i="1"/>
  <c r="F2352" i="1"/>
  <c r="H2352" i="1"/>
  <c r="E2353" i="1"/>
  <c r="F2353" i="1"/>
  <c r="H2353" i="1"/>
  <c r="E2354" i="1"/>
  <c r="F2354" i="1"/>
  <c r="H2354" i="1"/>
  <c r="E2355" i="1"/>
  <c r="F2355" i="1"/>
  <c r="H2355" i="1"/>
  <c r="E2356" i="1"/>
  <c r="F2356" i="1"/>
  <c r="H2356" i="1"/>
  <c r="E2357" i="1"/>
  <c r="F2357" i="1"/>
  <c r="H2357" i="1"/>
  <c r="E2358" i="1"/>
  <c r="F2358" i="1"/>
  <c r="H2358" i="1"/>
  <c r="E2359" i="1"/>
  <c r="F2359" i="1"/>
  <c r="H2359" i="1"/>
  <c r="E2360" i="1"/>
  <c r="F2360" i="1"/>
  <c r="H2360" i="1"/>
  <c r="E2361" i="1"/>
  <c r="F2361" i="1"/>
  <c r="H2361" i="1"/>
  <c r="E2362" i="1"/>
  <c r="F2362" i="1"/>
  <c r="H2362" i="1"/>
  <c r="E2363" i="1"/>
  <c r="F2363" i="1"/>
  <c r="H2363" i="1"/>
  <c r="E2364" i="1"/>
  <c r="F2364" i="1"/>
  <c r="H2364" i="1"/>
  <c r="E2365" i="1"/>
  <c r="F2365" i="1"/>
  <c r="H2365" i="1"/>
  <c r="E2366" i="1"/>
  <c r="F2366" i="1"/>
  <c r="H2366" i="1"/>
  <c r="E2367" i="1"/>
  <c r="F2367" i="1"/>
  <c r="H2367" i="1"/>
  <c r="E2368" i="1"/>
  <c r="F2368" i="1"/>
  <c r="H2368" i="1"/>
  <c r="E2369" i="1"/>
  <c r="F2369" i="1"/>
  <c r="H2369" i="1"/>
  <c r="E2370" i="1"/>
  <c r="F2370" i="1"/>
  <c r="H2370" i="1"/>
  <c r="E2371" i="1"/>
  <c r="F2371" i="1"/>
  <c r="H2371" i="1"/>
  <c r="E2372" i="1"/>
  <c r="F2372" i="1"/>
  <c r="H2372" i="1"/>
  <c r="E2373" i="1"/>
  <c r="F2373" i="1"/>
  <c r="H2373" i="1"/>
  <c r="E2374" i="1"/>
  <c r="F2374" i="1"/>
  <c r="H2374" i="1"/>
  <c r="E2375" i="1"/>
  <c r="F2375" i="1"/>
  <c r="H2375" i="1"/>
  <c r="E2376" i="1"/>
  <c r="F2376" i="1"/>
  <c r="H2376" i="1"/>
  <c r="E2377" i="1"/>
  <c r="F2377" i="1"/>
  <c r="H2377" i="1"/>
  <c r="E2378" i="1"/>
  <c r="F2378" i="1"/>
  <c r="H2378" i="1"/>
  <c r="E2379" i="1"/>
  <c r="F2379" i="1"/>
  <c r="H2379" i="1"/>
  <c r="E2380" i="1"/>
  <c r="F2380" i="1"/>
  <c r="H2380" i="1"/>
  <c r="E2381" i="1"/>
  <c r="F2381" i="1"/>
  <c r="H2381" i="1"/>
  <c r="E2382" i="1"/>
  <c r="F2382" i="1"/>
  <c r="H2382" i="1"/>
  <c r="E2383" i="1"/>
  <c r="F2383" i="1"/>
  <c r="H2383" i="1"/>
  <c r="E2384" i="1"/>
  <c r="F2384" i="1"/>
  <c r="H2384" i="1"/>
  <c r="E2385" i="1"/>
  <c r="F2385" i="1"/>
  <c r="H2385" i="1"/>
  <c r="E2386" i="1"/>
  <c r="F2386" i="1"/>
  <c r="H2386" i="1"/>
  <c r="E2387" i="1"/>
  <c r="F2387" i="1"/>
  <c r="H2387" i="1"/>
  <c r="E2388" i="1"/>
  <c r="F2388" i="1"/>
  <c r="H2388" i="1"/>
  <c r="E2389" i="1"/>
  <c r="F2389" i="1"/>
  <c r="H2389" i="1"/>
  <c r="E2390" i="1"/>
  <c r="F2390" i="1"/>
  <c r="H2390" i="1"/>
  <c r="E2391" i="1"/>
  <c r="F2391" i="1"/>
  <c r="H2391" i="1"/>
  <c r="E2392" i="1"/>
  <c r="F2392" i="1"/>
  <c r="H2392" i="1"/>
  <c r="E2393" i="1"/>
  <c r="F2393" i="1"/>
  <c r="H2393" i="1"/>
  <c r="E2394" i="1"/>
  <c r="F2394" i="1"/>
  <c r="H2394" i="1"/>
  <c r="E2395" i="1"/>
  <c r="F2395" i="1"/>
  <c r="H2395" i="1"/>
  <c r="E2396" i="1"/>
  <c r="F2396" i="1"/>
  <c r="H2396" i="1"/>
  <c r="E2397" i="1"/>
  <c r="F2397" i="1"/>
  <c r="H2397" i="1"/>
  <c r="E2398" i="1"/>
  <c r="F2398" i="1"/>
  <c r="H2398" i="1"/>
  <c r="E2399" i="1"/>
  <c r="F2399" i="1"/>
  <c r="H2399" i="1"/>
  <c r="E2400" i="1"/>
  <c r="F2400" i="1"/>
  <c r="H2400" i="1"/>
  <c r="E2401" i="1"/>
  <c r="F2401" i="1"/>
  <c r="H2401" i="1"/>
  <c r="E2402" i="1"/>
  <c r="F2402" i="1"/>
  <c r="H2402" i="1"/>
  <c r="E2403" i="1"/>
  <c r="F2403" i="1"/>
  <c r="H2403" i="1"/>
  <c r="E2404" i="1"/>
  <c r="F2404" i="1"/>
  <c r="H2404" i="1"/>
  <c r="E2405" i="1"/>
  <c r="F2405" i="1"/>
  <c r="H2405" i="1"/>
  <c r="E2406" i="1"/>
  <c r="F2406" i="1"/>
  <c r="H2406" i="1"/>
  <c r="E2407" i="1"/>
  <c r="F2407" i="1"/>
  <c r="H2407" i="1"/>
  <c r="E2408" i="1"/>
  <c r="F2408" i="1"/>
  <c r="H2408" i="1"/>
  <c r="E2409" i="1"/>
  <c r="F2409" i="1"/>
  <c r="H2409" i="1"/>
  <c r="E2410" i="1"/>
  <c r="F2410" i="1"/>
  <c r="H2410" i="1"/>
  <c r="E2411" i="1"/>
  <c r="F2411" i="1"/>
  <c r="H2411" i="1"/>
  <c r="E2412" i="1"/>
  <c r="F2412" i="1"/>
  <c r="H2412" i="1"/>
  <c r="E2413" i="1"/>
  <c r="F2413" i="1"/>
  <c r="H2413" i="1"/>
  <c r="E2414" i="1"/>
  <c r="F2414" i="1"/>
  <c r="H2414" i="1"/>
  <c r="E2415" i="1"/>
  <c r="F2415" i="1"/>
  <c r="H2415" i="1"/>
  <c r="E2416" i="1"/>
  <c r="F2416" i="1"/>
  <c r="H2416" i="1"/>
  <c r="E2417" i="1"/>
  <c r="F2417" i="1"/>
  <c r="H2417" i="1"/>
  <c r="E2418" i="1"/>
  <c r="F2418" i="1"/>
  <c r="H2418" i="1"/>
  <c r="E2419" i="1"/>
  <c r="F2419" i="1"/>
  <c r="H2419" i="1"/>
  <c r="E2420" i="1"/>
  <c r="F2420" i="1"/>
  <c r="H2420" i="1"/>
  <c r="E2421" i="1"/>
  <c r="F2421" i="1"/>
  <c r="H2421" i="1"/>
  <c r="E2422" i="1"/>
  <c r="F2422" i="1"/>
  <c r="H2422" i="1"/>
  <c r="E2423" i="1"/>
  <c r="F2423" i="1"/>
  <c r="H2423" i="1"/>
  <c r="E2424" i="1"/>
  <c r="F2424" i="1"/>
  <c r="H2424" i="1"/>
  <c r="E2425" i="1"/>
  <c r="F2425" i="1"/>
  <c r="H2425" i="1"/>
  <c r="E2426" i="1"/>
  <c r="F2426" i="1"/>
  <c r="H2426" i="1"/>
  <c r="E2427" i="1"/>
  <c r="F2427" i="1"/>
  <c r="H2427" i="1"/>
  <c r="E2428" i="1"/>
  <c r="F2428" i="1"/>
  <c r="H2428" i="1"/>
  <c r="E2429" i="1"/>
  <c r="F2429" i="1"/>
  <c r="H2429" i="1"/>
  <c r="E2430" i="1"/>
  <c r="F2430" i="1"/>
  <c r="H2430" i="1"/>
  <c r="E2431" i="1"/>
  <c r="F2431" i="1"/>
  <c r="H2431" i="1"/>
  <c r="E2432" i="1"/>
  <c r="F2432" i="1"/>
  <c r="H2432" i="1"/>
  <c r="E2433" i="1"/>
  <c r="F2433" i="1"/>
  <c r="H2433" i="1"/>
  <c r="E2434" i="1"/>
  <c r="F2434" i="1"/>
  <c r="H2434" i="1"/>
  <c r="E2435" i="1"/>
  <c r="F2435" i="1"/>
  <c r="H2435" i="1"/>
  <c r="E2436" i="1"/>
  <c r="F2436" i="1"/>
  <c r="H2436" i="1"/>
  <c r="E2437" i="1"/>
  <c r="F2437" i="1"/>
  <c r="H2437" i="1"/>
  <c r="E2438" i="1"/>
  <c r="F2438" i="1"/>
  <c r="H2438" i="1"/>
  <c r="E2439" i="1"/>
  <c r="F2439" i="1"/>
  <c r="H2439" i="1"/>
  <c r="E2440" i="1"/>
  <c r="F2440" i="1"/>
  <c r="H2440" i="1"/>
  <c r="E2441" i="1"/>
  <c r="F2441" i="1"/>
  <c r="H2441" i="1"/>
  <c r="E2442" i="1"/>
  <c r="F2442" i="1"/>
  <c r="H2442" i="1"/>
  <c r="E2443" i="1"/>
  <c r="F2443" i="1"/>
  <c r="H2443" i="1"/>
  <c r="E2444" i="1"/>
  <c r="F2444" i="1"/>
  <c r="H2444" i="1"/>
  <c r="E2445" i="1"/>
  <c r="F2445" i="1"/>
  <c r="H2445" i="1"/>
  <c r="E2446" i="1"/>
  <c r="F2446" i="1"/>
  <c r="H2446" i="1"/>
  <c r="E2447" i="1"/>
  <c r="F2447" i="1"/>
  <c r="H2447" i="1"/>
  <c r="E2448" i="1"/>
  <c r="F2448" i="1"/>
  <c r="H2448" i="1"/>
  <c r="E2449" i="1"/>
  <c r="F2449" i="1"/>
  <c r="H2449" i="1"/>
  <c r="E2450" i="1"/>
  <c r="F2450" i="1"/>
  <c r="H2450" i="1"/>
  <c r="E2451" i="1"/>
  <c r="F2451" i="1"/>
  <c r="H2451" i="1"/>
  <c r="E2452" i="1"/>
  <c r="F2452" i="1"/>
  <c r="H2452" i="1"/>
  <c r="E2453" i="1"/>
  <c r="F2453" i="1"/>
  <c r="H2453" i="1"/>
  <c r="E2454" i="1"/>
  <c r="F2454" i="1"/>
  <c r="H2454" i="1"/>
  <c r="E2455" i="1"/>
  <c r="F2455" i="1"/>
  <c r="H2455" i="1"/>
  <c r="E2456" i="1"/>
  <c r="F2456" i="1"/>
  <c r="H2456" i="1"/>
  <c r="E2457" i="1"/>
  <c r="F2457" i="1"/>
  <c r="H2457" i="1"/>
  <c r="E2458" i="1"/>
  <c r="F2458" i="1"/>
  <c r="H2458" i="1"/>
  <c r="E2459" i="1"/>
  <c r="F2459" i="1"/>
  <c r="H2459" i="1"/>
  <c r="E2460" i="1"/>
  <c r="F2460" i="1"/>
  <c r="H2460" i="1"/>
  <c r="E2461" i="1"/>
  <c r="F2461" i="1"/>
  <c r="H2461" i="1"/>
  <c r="E2462" i="1"/>
  <c r="F2462" i="1"/>
  <c r="H2462" i="1"/>
  <c r="E2463" i="1"/>
  <c r="F2463" i="1"/>
  <c r="H2463" i="1"/>
  <c r="E2464" i="1"/>
  <c r="F2464" i="1"/>
  <c r="H2464" i="1"/>
  <c r="E2465" i="1"/>
  <c r="F2465" i="1"/>
  <c r="H2465" i="1"/>
  <c r="E2466" i="1"/>
  <c r="F2466" i="1"/>
  <c r="H2466" i="1"/>
  <c r="E2467" i="1"/>
  <c r="F2467" i="1"/>
  <c r="H2467" i="1"/>
  <c r="E2468" i="1"/>
  <c r="F2468" i="1"/>
  <c r="H2468" i="1"/>
  <c r="E2469" i="1"/>
  <c r="F2469" i="1"/>
  <c r="H2469" i="1"/>
  <c r="E2470" i="1"/>
  <c r="F2470" i="1"/>
  <c r="H2470" i="1"/>
  <c r="E2471" i="1"/>
  <c r="F2471" i="1"/>
  <c r="H2471" i="1"/>
  <c r="E2472" i="1"/>
  <c r="F2472" i="1"/>
  <c r="H2472" i="1"/>
  <c r="E2473" i="1"/>
  <c r="F2473" i="1"/>
  <c r="H2473" i="1"/>
  <c r="E2474" i="1"/>
  <c r="F2474" i="1"/>
  <c r="H2474" i="1"/>
  <c r="E2475" i="1"/>
  <c r="F2475" i="1"/>
  <c r="H2475" i="1"/>
  <c r="E2476" i="1"/>
  <c r="F2476" i="1"/>
  <c r="H2476" i="1"/>
  <c r="E2477" i="1"/>
  <c r="F2477" i="1"/>
  <c r="H2477" i="1"/>
  <c r="E2478" i="1"/>
  <c r="F2478" i="1"/>
  <c r="H2478" i="1"/>
  <c r="E2479" i="1"/>
  <c r="F2479" i="1"/>
  <c r="H2479" i="1"/>
  <c r="E2480" i="1"/>
  <c r="F2480" i="1"/>
  <c r="H2480" i="1"/>
  <c r="E2481" i="1"/>
  <c r="F2481" i="1"/>
  <c r="H2481" i="1"/>
  <c r="E2482" i="1"/>
  <c r="F2482" i="1"/>
  <c r="H2482" i="1"/>
  <c r="E2483" i="1"/>
  <c r="F2483" i="1"/>
  <c r="H2483" i="1"/>
  <c r="E2484" i="1"/>
  <c r="F2484" i="1"/>
  <c r="H2484" i="1"/>
  <c r="E2485" i="1"/>
  <c r="F2485" i="1"/>
  <c r="H2485" i="1"/>
  <c r="E2486" i="1"/>
  <c r="F2486" i="1"/>
  <c r="H2486" i="1"/>
  <c r="E2487" i="1"/>
  <c r="F2487" i="1"/>
  <c r="H2487" i="1"/>
  <c r="E2488" i="1"/>
  <c r="F2488" i="1"/>
  <c r="H2488" i="1"/>
  <c r="E2489" i="1"/>
  <c r="F2489" i="1"/>
  <c r="H2489" i="1"/>
  <c r="E2490" i="1"/>
  <c r="F2490" i="1"/>
  <c r="H2490" i="1"/>
  <c r="E2491" i="1"/>
  <c r="F2491" i="1"/>
  <c r="H2491" i="1"/>
  <c r="E2492" i="1"/>
  <c r="F2492" i="1"/>
  <c r="H2492" i="1"/>
  <c r="E2493" i="1"/>
  <c r="F2493" i="1"/>
  <c r="H2493" i="1"/>
  <c r="E2494" i="1"/>
  <c r="F2494" i="1"/>
  <c r="H2494" i="1"/>
  <c r="E2495" i="1"/>
  <c r="F2495" i="1"/>
  <c r="H2495" i="1"/>
  <c r="E2496" i="1"/>
  <c r="F2496" i="1"/>
  <c r="H2496" i="1"/>
  <c r="E2497" i="1"/>
  <c r="F2497" i="1"/>
  <c r="H2497" i="1"/>
  <c r="E2498" i="1"/>
  <c r="F2498" i="1"/>
  <c r="H2498" i="1"/>
  <c r="E2499" i="1"/>
  <c r="F2499" i="1"/>
  <c r="H2499" i="1"/>
  <c r="E2500" i="1"/>
  <c r="F2500" i="1"/>
  <c r="H2500" i="1"/>
  <c r="E2501" i="1"/>
  <c r="F2501" i="1"/>
  <c r="H2501" i="1"/>
  <c r="E2502" i="1"/>
  <c r="F2502" i="1"/>
  <c r="H2502" i="1"/>
  <c r="E2503" i="1"/>
  <c r="F2503" i="1"/>
  <c r="H2503" i="1"/>
  <c r="E2504" i="1"/>
  <c r="F2504" i="1"/>
  <c r="H2504" i="1"/>
  <c r="E2505" i="1"/>
  <c r="F2505" i="1"/>
  <c r="H2505" i="1"/>
  <c r="E2506" i="1"/>
  <c r="F2506" i="1"/>
  <c r="H2506" i="1"/>
  <c r="E2507" i="1"/>
  <c r="F2507" i="1"/>
  <c r="H2507" i="1"/>
  <c r="E2508" i="1"/>
  <c r="F2508" i="1"/>
  <c r="H2508" i="1"/>
  <c r="E2509" i="1"/>
  <c r="F2509" i="1"/>
  <c r="H2509" i="1"/>
  <c r="E2510" i="1"/>
  <c r="F2510" i="1"/>
  <c r="H2510" i="1"/>
  <c r="E2511" i="1"/>
  <c r="F2511" i="1"/>
  <c r="H2511" i="1"/>
  <c r="E2512" i="1"/>
  <c r="F2512" i="1"/>
  <c r="H2512" i="1"/>
  <c r="E2513" i="1"/>
  <c r="F2513" i="1"/>
  <c r="H2513" i="1"/>
  <c r="E2514" i="1"/>
  <c r="F2514" i="1"/>
  <c r="H2514" i="1"/>
  <c r="E2515" i="1"/>
  <c r="F2515" i="1"/>
  <c r="H2515" i="1"/>
  <c r="E2516" i="1"/>
  <c r="F2516" i="1"/>
  <c r="H2516" i="1"/>
  <c r="E2517" i="1"/>
  <c r="F2517" i="1"/>
  <c r="H2517" i="1"/>
  <c r="E2518" i="1"/>
  <c r="F2518" i="1"/>
  <c r="H2518" i="1"/>
  <c r="E2519" i="1"/>
  <c r="F2519" i="1"/>
  <c r="H2519" i="1"/>
  <c r="E2520" i="1"/>
  <c r="F2520" i="1"/>
  <c r="H2520" i="1"/>
  <c r="E2521" i="1"/>
  <c r="F2521" i="1"/>
  <c r="H2521" i="1"/>
  <c r="E2522" i="1"/>
  <c r="F2522" i="1"/>
  <c r="H2522" i="1"/>
  <c r="E2523" i="1"/>
  <c r="F2523" i="1"/>
  <c r="H2523" i="1"/>
  <c r="E2524" i="1"/>
  <c r="F2524" i="1"/>
  <c r="H2524" i="1"/>
  <c r="E2525" i="1"/>
  <c r="F2525" i="1"/>
  <c r="H2525" i="1"/>
  <c r="E2526" i="1"/>
  <c r="F2526" i="1"/>
  <c r="H2526" i="1"/>
  <c r="E2527" i="1"/>
  <c r="F2527" i="1"/>
  <c r="H2527" i="1"/>
  <c r="E2528" i="1"/>
  <c r="F2528" i="1"/>
  <c r="H2528" i="1"/>
  <c r="E2529" i="1"/>
  <c r="F2529" i="1"/>
  <c r="H2529" i="1"/>
  <c r="E2530" i="1"/>
  <c r="F2530" i="1"/>
  <c r="H2530" i="1"/>
  <c r="E2531" i="1"/>
  <c r="F2531" i="1"/>
  <c r="H2531" i="1"/>
  <c r="E2532" i="1"/>
  <c r="F2532" i="1"/>
  <c r="H2532" i="1"/>
  <c r="E2533" i="1"/>
  <c r="F2533" i="1"/>
  <c r="H2533" i="1"/>
  <c r="E2534" i="1"/>
  <c r="F2534" i="1"/>
  <c r="H2534" i="1"/>
  <c r="E2535" i="1"/>
  <c r="F2535" i="1"/>
  <c r="H2535" i="1"/>
  <c r="E2536" i="1"/>
  <c r="F2536" i="1"/>
  <c r="H2536" i="1"/>
  <c r="E2537" i="1"/>
  <c r="F2537" i="1"/>
  <c r="H2537" i="1"/>
  <c r="E2538" i="1"/>
  <c r="F2538" i="1"/>
  <c r="H2538" i="1"/>
  <c r="E2539" i="1"/>
  <c r="F2539" i="1"/>
  <c r="H2539" i="1"/>
  <c r="E2540" i="1"/>
  <c r="F2540" i="1"/>
  <c r="H2540" i="1"/>
  <c r="E2541" i="1"/>
  <c r="F2541" i="1"/>
  <c r="H2541" i="1"/>
  <c r="E2542" i="1"/>
  <c r="F2542" i="1"/>
  <c r="H2542" i="1"/>
  <c r="E2543" i="1"/>
  <c r="F2543" i="1"/>
  <c r="H2543" i="1"/>
  <c r="E2544" i="1"/>
  <c r="F2544" i="1"/>
  <c r="H2544" i="1"/>
  <c r="E2545" i="1"/>
  <c r="F2545" i="1"/>
  <c r="H2545" i="1"/>
  <c r="E2546" i="1"/>
  <c r="F2546" i="1"/>
  <c r="H2546" i="1"/>
  <c r="E2547" i="1"/>
  <c r="F2547" i="1"/>
  <c r="H2547" i="1"/>
  <c r="E2548" i="1"/>
  <c r="F2548" i="1"/>
  <c r="H2548" i="1"/>
  <c r="E2549" i="1"/>
  <c r="F2549" i="1"/>
  <c r="H2549" i="1"/>
  <c r="E2550" i="1"/>
  <c r="F2550" i="1"/>
  <c r="H2550" i="1"/>
  <c r="E2551" i="1"/>
  <c r="F2551" i="1"/>
  <c r="H2551" i="1"/>
  <c r="E2552" i="1"/>
  <c r="F2552" i="1"/>
  <c r="H2552" i="1"/>
  <c r="E2553" i="1"/>
  <c r="F2553" i="1"/>
  <c r="H2553" i="1"/>
  <c r="E2554" i="1"/>
  <c r="F2554" i="1"/>
  <c r="H2554" i="1"/>
  <c r="E2555" i="1"/>
  <c r="F2555" i="1"/>
  <c r="H2555" i="1"/>
  <c r="E2556" i="1"/>
  <c r="F2556" i="1"/>
  <c r="H2556" i="1"/>
  <c r="E2557" i="1"/>
  <c r="F2557" i="1"/>
  <c r="H2557" i="1"/>
  <c r="E2558" i="1"/>
  <c r="F2558" i="1"/>
  <c r="H2558" i="1"/>
  <c r="E2559" i="1"/>
  <c r="F2559" i="1"/>
  <c r="H2559" i="1"/>
  <c r="E2560" i="1"/>
  <c r="F2560" i="1"/>
  <c r="H2560" i="1"/>
  <c r="E2561" i="1"/>
  <c r="F2561" i="1"/>
  <c r="H2561" i="1"/>
  <c r="E2562" i="1"/>
  <c r="F2562" i="1"/>
  <c r="H2562" i="1"/>
  <c r="E2563" i="1"/>
  <c r="F2563" i="1"/>
  <c r="H2563" i="1"/>
  <c r="E2564" i="1"/>
  <c r="F2564" i="1"/>
  <c r="H2564" i="1"/>
  <c r="E2565" i="1"/>
  <c r="F2565" i="1"/>
  <c r="H2565" i="1"/>
  <c r="E2566" i="1"/>
  <c r="F2566" i="1"/>
  <c r="H2566" i="1"/>
  <c r="E2567" i="1"/>
  <c r="F2567" i="1"/>
  <c r="H2567" i="1"/>
  <c r="E2568" i="1"/>
  <c r="F2568" i="1"/>
  <c r="H2568" i="1"/>
  <c r="E2569" i="1"/>
  <c r="F2569" i="1"/>
  <c r="H2569" i="1"/>
  <c r="E2570" i="1"/>
  <c r="F2570" i="1"/>
  <c r="H2570" i="1"/>
  <c r="E2571" i="1"/>
  <c r="F2571" i="1"/>
  <c r="H2571" i="1"/>
  <c r="E2572" i="1"/>
  <c r="F2572" i="1"/>
  <c r="H2572" i="1"/>
  <c r="E2573" i="1"/>
  <c r="F2573" i="1"/>
  <c r="H2573" i="1"/>
  <c r="E2574" i="1"/>
  <c r="F2574" i="1"/>
  <c r="H2574" i="1"/>
  <c r="E2575" i="1"/>
  <c r="F2575" i="1"/>
  <c r="H2575" i="1"/>
  <c r="E2576" i="1"/>
  <c r="F2576" i="1"/>
  <c r="H2576" i="1"/>
  <c r="E2577" i="1"/>
  <c r="F2577" i="1"/>
  <c r="H2577" i="1"/>
  <c r="E2578" i="1"/>
  <c r="F2578" i="1"/>
  <c r="H2578" i="1"/>
  <c r="E2579" i="1"/>
  <c r="F2579" i="1"/>
  <c r="H2579" i="1"/>
  <c r="E2580" i="1"/>
  <c r="F2580" i="1"/>
  <c r="H2580" i="1"/>
  <c r="E2581" i="1"/>
  <c r="F2581" i="1"/>
  <c r="H2581" i="1"/>
  <c r="E2582" i="1"/>
  <c r="F2582" i="1"/>
  <c r="H2582" i="1"/>
  <c r="E2583" i="1"/>
  <c r="F2583" i="1"/>
  <c r="H2583" i="1"/>
  <c r="E2584" i="1"/>
  <c r="F2584" i="1"/>
  <c r="H2584" i="1"/>
  <c r="E2585" i="1"/>
  <c r="F2585" i="1"/>
  <c r="H2585" i="1"/>
  <c r="E2586" i="1"/>
  <c r="F2586" i="1"/>
  <c r="H2586" i="1"/>
  <c r="E2587" i="1"/>
  <c r="F2587" i="1"/>
  <c r="H2587" i="1"/>
  <c r="E2588" i="1"/>
  <c r="F2588" i="1"/>
  <c r="H2588" i="1"/>
  <c r="E2589" i="1"/>
  <c r="F2589" i="1"/>
  <c r="H2589" i="1"/>
  <c r="E2590" i="1"/>
  <c r="F2590" i="1"/>
  <c r="H2590" i="1"/>
  <c r="E2591" i="1"/>
  <c r="F2591" i="1"/>
  <c r="H2591" i="1"/>
  <c r="E2592" i="1"/>
  <c r="F2592" i="1"/>
  <c r="H2592" i="1"/>
  <c r="E2593" i="1"/>
  <c r="F2593" i="1"/>
  <c r="H2593" i="1"/>
  <c r="E2594" i="1"/>
  <c r="F2594" i="1"/>
  <c r="H2594" i="1"/>
  <c r="E2595" i="1"/>
  <c r="F2595" i="1"/>
  <c r="H2595" i="1"/>
  <c r="E2596" i="1"/>
  <c r="F2596" i="1"/>
  <c r="H2596" i="1"/>
  <c r="E2597" i="1"/>
  <c r="F2597" i="1"/>
  <c r="H2597" i="1"/>
  <c r="E2598" i="1"/>
  <c r="F2598" i="1"/>
  <c r="H2598" i="1"/>
  <c r="E2599" i="1"/>
  <c r="F2599" i="1"/>
  <c r="H2599" i="1"/>
  <c r="E2600" i="1"/>
  <c r="F2600" i="1"/>
  <c r="H2600" i="1"/>
  <c r="E2601" i="1"/>
  <c r="F2601" i="1"/>
  <c r="H2601" i="1"/>
  <c r="E2602" i="1"/>
  <c r="F2602" i="1"/>
  <c r="H2602" i="1"/>
  <c r="E2603" i="1"/>
  <c r="F2603" i="1"/>
  <c r="H2603" i="1"/>
  <c r="E2604" i="1"/>
  <c r="F2604" i="1"/>
  <c r="H2604" i="1"/>
  <c r="E2605" i="1"/>
  <c r="F2605" i="1"/>
  <c r="H2605" i="1"/>
  <c r="E2606" i="1"/>
  <c r="F2606" i="1"/>
  <c r="H2606" i="1"/>
  <c r="E2607" i="1"/>
  <c r="F2607" i="1"/>
  <c r="H2607" i="1"/>
  <c r="E2608" i="1"/>
  <c r="F2608" i="1"/>
  <c r="H2608" i="1"/>
  <c r="E2609" i="1"/>
  <c r="F2609" i="1"/>
  <c r="H2609" i="1"/>
  <c r="E2610" i="1"/>
  <c r="F2610" i="1"/>
  <c r="H2610" i="1"/>
  <c r="E2611" i="1"/>
  <c r="F2611" i="1"/>
  <c r="H2611" i="1"/>
  <c r="E2612" i="1"/>
  <c r="F2612" i="1"/>
  <c r="H2612" i="1"/>
  <c r="E2613" i="1"/>
  <c r="F2613" i="1"/>
  <c r="H2613" i="1"/>
  <c r="E2614" i="1"/>
  <c r="F2614" i="1"/>
  <c r="H2614" i="1"/>
  <c r="E2615" i="1"/>
  <c r="F2615" i="1"/>
  <c r="H2615" i="1"/>
  <c r="E2616" i="1"/>
  <c r="F2616" i="1"/>
  <c r="H2616" i="1"/>
  <c r="E2617" i="1"/>
  <c r="F2617" i="1"/>
  <c r="H2617" i="1"/>
  <c r="E2618" i="1"/>
  <c r="F2618" i="1"/>
  <c r="H2618" i="1"/>
  <c r="E2619" i="1"/>
  <c r="F2619" i="1"/>
  <c r="H2619" i="1"/>
  <c r="E2620" i="1"/>
  <c r="F2620" i="1"/>
  <c r="H2620" i="1"/>
  <c r="E2621" i="1"/>
  <c r="F2621" i="1"/>
  <c r="H2621" i="1"/>
  <c r="E2622" i="1"/>
  <c r="F2622" i="1"/>
  <c r="H2622" i="1"/>
  <c r="E2623" i="1"/>
  <c r="F2623" i="1"/>
  <c r="H2623" i="1"/>
  <c r="E2624" i="1"/>
  <c r="F2624" i="1"/>
  <c r="H2624" i="1"/>
  <c r="E2625" i="1"/>
  <c r="F2625" i="1"/>
  <c r="H2625" i="1"/>
  <c r="E2626" i="1"/>
  <c r="F2626" i="1"/>
  <c r="H2626" i="1"/>
  <c r="E2627" i="1"/>
  <c r="F2627" i="1"/>
  <c r="H2627" i="1"/>
  <c r="E2628" i="1"/>
  <c r="F2628" i="1"/>
  <c r="H2628" i="1"/>
  <c r="E2629" i="1"/>
  <c r="F2629" i="1"/>
  <c r="H2629" i="1"/>
  <c r="E2630" i="1"/>
  <c r="F2630" i="1"/>
  <c r="H2630" i="1"/>
  <c r="E2631" i="1"/>
  <c r="F2631" i="1"/>
  <c r="H2631" i="1"/>
  <c r="E2632" i="1"/>
  <c r="F2632" i="1"/>
  <c r="H2632" i="1"/>
  <c r="E2633" i="1"/>
  <c r="F2633" i="1"/>
  <c r="H2633" i="1"/>
  <c r="E2634" i="1"/>
  <c r="F2634" i="1"/>
  <c r="H2634" i="1"/>
  <c r="E2635" i="1"/>
  <c r="F2635" i="1"/>
  <c r="H2635" i="1"/>
  <c r="E2636" i="1"/>
  <c r="F2636" i="1"/>
  <c r="H2636" i="1"/>
  <c r="E2637" i="1"/>
  <c r="F2637" i="1"/>
  <c r="H2637" i="1"/>
  <c r="E2638" i="1"/>
  <c r="F2638" i="1"/>
  <c r="H2638" i="1"/>
  <c r="E2639" i="1"/>
  <c r="F2639" i="1"/>
  <c r="H2639" i="1"/>
  <c r="E2640" i="1"/>
  <c r="F2640" i="1"/>
  <c r="H2640" i="1"/>
  <c r="E2641" i="1"/>
  <c r="F2641" i="1"/>
  <c r="H2641" i="1"/>
  <c r="E2642" i="1"/>
  <c r="F2642" i="1"/>
  <c r="H2642" i="1"/>
  <c r="E2643" i="1"/>
  <c r="F2643" i="1"/>
  <c r="H2643" i="1"/>
  <c r="E2644" i="1"/>
  <c r="F2644" i="1"/>
  <c r="H2644" i="1"/>
  <c r="E2645" i="1"/>
  <c r="F2645" i="1"/>
  <c r="H2645" i="1"/>
  <c r="E2646" i="1"/>
  <c r="F2646" i="1"/>
  <c r="H2646" i="1"/>
  <c r="E2647" i="1"/>
  <c r="F2647" i="1"/>
  <c r="H2647" i="1"/>
  <c r="E2648" i="1"/>
  <c r="F2648" i="1"/>
  <c r="H2648" i="1"/>
  <c r="E2649" i="1"/>
  <c r="F2649" i="1"/>
  <c r="H2649" i="1"/>
  <c r="E2650" i="1"/>
  <c r="F2650" i="1"/>
  <c r="H2650" i="1"/>
  <c r="E2651" i="1"/>
  <c r="F2651" i="1"/>
  <c r="H2651" i="1"/>
  <c r="E2652" i="1"/>
  <c r="F2652" i="1"/>
  <c r="H2652" i="1"/>
  <c r="E2653" i="1"/>
  <c r="F2653" i="1"/>
  <c r="H2653" i="1"/>
  <c r="E2654" i="1"/>
  <c r="F2654" i="1"/>
  <c r="H2654" i="1"/>
  <c r="E2655" i="1"/>
  <c r="F2655" i="1"/>
  <c r="H2655" i="1"/>
  <c r="E2656" i="1"/>
  <c r="F2656" i="1"/>
  <c r="H2656" i="1"/>
  <c r="E2657" i="1"/>
  <c r="F2657" i="1"/>
  <c r="H2657" i="1"/>
  <c r="E2658" i="1"/>
  <c r="F2658" i="1"/>
  <c r="H2658" i="1"/>
  <c r="E2659" i="1"/>
  <c r="F2659" i="1"/>
  <c r="H2659" i="1"/>
  <c r="E2660" i="1"/>
  <c r="F2660" i="1"/>
  <c r="H2660" i="1"/>
  <c r="E2661" i="1"/>
  <c r="F2661" i="1"/>
  <c r="H2661" i="1"/>
  <c r="E2662" i="1"/>
  <c r="F2662" i="1"/>
  <c r="H2662" i="1"/>
  <c r="E2663" i="1"/>
  <c r="F2663" i="1"/>
  <c r="H2663" i="1"/>
  <c r="E2664" i="1"/>
  <c r="F2664" i="1"/>
  <c r="H2664" i="1"/>
  <c r="E2665" i="1"/>
  <c r="F2665" i="1"/>
  <c r="H2665" i="1"/>
  <c r="E2666" i="1"/>
  <c r="F2666" i="1"/>
  <c r="H2666" i="1"/>
  <c r="E2667" i="1"/>
  <c r="F2667" i="1"/>
  <c r="H2667" i="1"/>
  <c r="E2668" i="1"/>
  <c r="F2668" i="1"/>
  <c r="H2668" i="1"/>
  <c r="E2669" i="1"/>
  <c r="F2669" i="1"/>
  <c r="H2669" i="1"/>
  <c r="E2670" i="1"/>
  <c r="F2670" i="1"/>
  <c r="H2670" i="1"/>
  <c r="E2671" i="1"/>
  <c r="F2671" i="1"/>
  <c r="H2671" i="1"/>
  <c r="E2672" i="1"/>
  <c r="F2672" i="1"/>
  <c r="H2672" i="1"/>
  <c r="E2673" i="1"/>
  <c r="F2673" i="1"/>
  <c r="H2673" i="1"/>
  <c r="E2674" i="1"/>
  <c r="F2674" i="1"/>
  <c r="H2674" i="1"/>
  <c r="E2675" i="1"/>
  <c r="F2675" i="1"/>
  <c r="H2675" i="1"/>
  <c r="E2676" i="1"/>
  <c r="F2676" i="1"/>
  <c r="H2676" i="1"/>
  <c r="E2677" i="1"/>
  <c r="F2677" i="1"/>
  <c r="H2677" i="1"/>
  <c r="E2678" i="1"/>
  <c r="F2678" i="1"/>
  <c r="H2678" i="1"/>
  <c r="E2679" i="1"/>
  <c r="F2679" i="1"/>
  <c r="H2679" i="1"/>
  <c r="E2680" i="1"/>
  <c r="F2680" i="1"/>
  <c r="H2680" i="1"/>
  <c r="E2681" i="1"/>
  <c r="F2681" i="1"/>
  <c r="H2681" i="1"/>
  <c r="E2682" i="1"/>
  <c r="F2682" i="1"/>
  <c r="H2682" i="1"/>
  <c r="E2683" i="1"/>
  <c r="F2683" i="1"/>
  <c r="H2683" i="1"/>
  <c r="E2684" i="1"/>
  <c r="F2684" i="1"/>
  <c r="H2684" i="1"/>
  <c r="E2685" i="1"/>
  <c r="F2685" i="1"/>
  <c r="H2685" i="1"/>
  <c r="E2686" i="1"/>
  <c r="F2686" i="1"/>
  <c r="H2686" i="1"/>
  <c r="E2687" i="1"/>
  <c r="F2687" i="1"/>
  <c r="H2687" i="1"/>
  <c r="E2688" i="1"/>
  <c r="F2688" i="1"/>
  <c r="H2688" i="1"/>
  <c r="E2689" i="1"/>
  <c r="F2689" i="1"/>
  <c r="H2689" i="1"/>
  <c r="E2690" i="1"/>
  <c r="F2690" i="1"/>
  <c r="H2690" i="1"/>
  <c r="E2691" i="1"/>
  <c r="F2691" i="1"/>
  <c r="H2691" i="1"/>
  <c r="E2692" i="1"/>
  <c r="F2692" i="1"/>
  <c r="H2692" i="1"/>
  <c r="E2693" i="1"/>
  <c r="F2693" i="1"/>
  <c r="H2693" i="1"/>
  <c r="E2694" i="1"/>
  <c r="F2694" i="1"/>
  <c r="H2694" i="1"/>
  <c r="E2695" i="1"/>
  <c r="F2695" i="1"/>
  <c r="H2695" i="1"/>
  <c r="E2696" i="1"/>
  <c r="F2696" i="1"/>
  <c r="H2696" i="1"/>
  <c r="E2697" i="1"/>
  <c r="F2697" i="1"/>
  <c r="H2697" i="1"/>
  <c r="E2698" i="1"/>
  <c r="F2698" i="1"/>
  <c r="H2698" i="1"/>
  <c r="E2699" i="1"/>
  <c r="F2699" i="1"/>
  <c r="H2699" i="1"/>
  <c r="E2700" i="1"/>
  <c r="F2700" i="1"/>
  <c r="H2700" i="1"/>
  <c r="E2701" i="1"/>
  <c r="F2701" i="1"/>
  <c r="H2701" i="1"/>
  <c r="E2702" i="1"/>
  <c r="F2702" i="1"/>
  <c r="H2702" i="1"/>
  <c r="E2703" i="1"/>
  <c r="F2703" i="1"/>
  <c r="H2703" i="1"/>
  <c r="E2704" i="1"/>
  <c r="F2704" i="1"/>
  <c r="H2704" i="1"/>
  <c r="E2705" i="1"/>
  <c r="F2705" i="1"/>
  <c r="H2705" i="1"/>
  <c r="E2706" i="1"/>
  <c r="F2706" i="1"/>
  <c r="H2706" i="1"/>
  <c r="E2707" i="1"/>
  <c r="F2707" i="1"/>
  <c r="H2707" i="1"/>
  <c r="E2708" i="1"/>
  <c r="F2708" i="1"/>
  <c r="H2708" i="1"/>
  <c r="E2709" i="1"/>
  <c r="F2709" i="1"/>
  <c r="H2709" i="1"/>
  <c r="E2710" i="1"/>
  <c r="F2710" i="1"/>
  <c r="H2710" i="1"/>
  <c r="E2711" i="1"/>
  <c r="F2711" i="1"/>
  <c r="H2711" i="1"/>
  <c r="E2712" i="1"/>
  <c r="F2712" i="1"/>
  <c r="H2712" i="1"/>
  <c r="E2713" i="1"/>
  <c r="F2713" i="1"/>
  <c r="H2713" i="1"/>
  <c r="E2714" i="1"/>
  <c r="F2714" i="1"/>
  <c r="H2714" i="1"/>
  <c r="E2715" i="1"/>
  <c r="F2715" i="1"/>
  <c r="H2715" i="1"/>
  <c r="E2716" i="1"/>
  <c r="F2716" i="1"/>
  <c r="H2716" i="1"/>
  <c r="E2717" i="1"/>
  <c r="F2717" i="1"/>
  <c r="H2717" i="1"/>
  <c r="E2718" i="1"/>
  <c r="F2718" i="1"/>
  <c r="H2718" i="1"/>
  <c r="E2719" i="1"/>
  <c r="F2719" i="1"/>
  <c r="H2719" i="1"/>
  <c r="E2720" i="1"/>
  <c r="F2720" i="1"/>
  <c r="H2720" i="1"/>
  <c r="E2721" i="1"/>
  <c r="F2721" i="1"/>
  <c r="H2721" i="1"/>
  <c r="E2722" i="1"/>
  <c r="F2722" i="1"/>
  <c r="H2722" i="1"/>
  <c r="E2723" i="1"/>
  <c r="F2723" i="1"/>
  <c r="H2723" i="1"/>
  <c r="E2724" i="1"/>
  <c r="F2724" i="1"/>
  <c r="H2724" i="1"/>
  <c r="E2725" i="1"/>
  <c r="F2725" i="1"/>
  <c r="H2725" i="1"/>
  <c r="E2726" i="1"/>
  <c r="F2726" i="1"/>
  <c r="H2726" i="1"/>
  <c r="E2727" i="1"/>
  <c r="F2727" i="1"/>
  <c r="H2727" i="1"/>
  <c r="E2728" i="1"/>
  <c r="F2728" i="1"/>
  <c r="H2728" i="1"/>
  <c r="E2729" i="1"/>
  <c r="F2729" i="1"/>
  <c r="H2729" i="1"/>
  <c r="E2730" i="1"/>
  <c r="F2730" i="1"/>
  <c r="H2730" i="1"/>
  <c r="E2731" i="1"/>
  <c r="F2731" i="1"/>
  <c r="H2731" i="1"/>
  <c r="E2732" i="1"/>
  <c r="F2732" i="1"/>
  <c r="H2732" i="1"/>
  <c r="E2733" i="1"/>
  <c r="F2733" i="1"/>
  <c r="H2733" i="1"/>
  <c r="E2734" i="1"/>
  <c r="F2734" i="1"/>
  <c r="H2734" i="1"/>
  <c r="E2735" i="1"/>
  <c r="F2735" i="1"/>
  <c r="H2735" i="1"/>
  <c r="E2736" i="1"/>
  <c r="F2736" i="1"/>
  <c r="H2736" i="1"/>
  <c r="E2737" i="1"/>
  <c r="F2737" i="1"/>
  <c r="H2737" i="1"/>
  <c r="E2738" i="1"/>
  <c r="F2738" i="1"/>
  <c r="H2738" i="1"/>
  <c r="E2739" i="1"/>
  <c r="F2739" i="1"/>
  <c r="H2739" i="1"/>
  <c r="E2740" i="1"/>
  <c r="F2740" i="1"/>
  <c r="H2740" i="1"/>
  <c r="E2741" i="1"/>
  <c r="F2741" i="1"/>
  <c r="H2741" i="1"/>
  <c r="E2742" i="1"/>
  <c r="F2742" i="1"/>
  <c r="H2742" i="1"/>
  <c r="E2743" i="1"/>
  <c r="F2743" i="1"/>
  <c r="H2743" i="1"/>
  <c r="E2744" i="1"/>
  <c r="F2744" i="1"/>
  <c r="H2744" i="1"/>
  <c r="E2745" i="1"/>
  <c r="F2745" i="1"/>
  <c r="H2745" i="1"/>
  <c r="E2746" i="1"/>
  <c r="F2746" i="1"/>
  <c r="H2746" i="1"/>
  <c r="E2747" i="1"/>
  <c r="F2747" i="1"/>
  <c r="H2747" i="1"/>
  <c r="E2748" i="1"/>
  <c r="F2748" i="1"/>
  <c r="H2748" i="1"/>
  <c r="E2749" i="1"/>
  <c r="F2749" i="1"/>
  <c r="H2749" i="1"/>
  <c r="E2750" i="1"/>
  <c r="F2750" i="1"/>
  <c r="H2750" i="1"/>
  <c r="E2751" i="1"/>
  <c r="F2751" i="1"/>
  <c r="H2751" i="1"/>
  <c r="E2752" i="1"/>
  <c r="F2752" i="1"/>
  <c r="H2752" i="1"/>
  <c r="E2753" i="1"/>
  <c r="F2753" i="1"/>
  <c r="H2753" i="1"/>
  <c r="E2754" i="1"/>
  <c r="F2754" i="1"/>
  <c r="H2754" i="1"/>
  <c r="E2755" i="1"/>
  <c r="F2755" i="1"/>
  <c r="H2755" i="1"/>
  <c r="E2756" i="1"/>
  <c r="F2756" i="1"/>
  <c r="H2756" i="1"/>
  <c r="E2757" i="1"/>
  <c r="F2757" i="1"/>
  <c r="H2757" i="1"/>
  <c r="E2758" i="1"/>
  <c r="F2758" i="1"/>
  <c r="H2758" i="1"/>
  <c r="E2759" i="1"/>
  <c r="F2759" i="1"/>
  <c r="H2759" i="1"/>
  <c r="E2760" i="1"/>
  <c r="F2760" i="1"/>
  <c r="H2760" i="1"/>
  <c r="E2761" i="1"/>
  <c r="F2761" i="1"/>
  <c r="H2761" i="1"/>
  <c r="E2762" i="1"/>
  <c r="F2762" i="1"/>
  <c r="H2762" i="1"/>
  <c r="E2763" i="1"/>
  <c r="F2763" i="1"/>
  <c r="H2763" i="1"/>
  <c r="E2764" i="1"/>
  <c r="F2764" i="1"/>
  <c r="H2764" i="1"/>
  <c r="E2765" i="1"/>
  <c r="F2765" i="1"/>
  <c r="H2765" i="1"/>
  <c r="E2766" i="1"/>
  <c r="F2766" i="1"/>
  <c r="H2766" i="1"/>
  <c r="E2767" i="1"/>
  <c r="F2767" i="1"/>
  <c r="H2767" i="1"/>
  <c r="E2768" i="1"/>
  <c r="F2768" i="1"/>
  <c r="H2768" i="1"/>
  <c r="E2769" i="1"/>
  <c r="F2769" i="1"/>
  <c r="H2769" i="1"/>
  <c r="E2770" i="1"/>
  <c r="F2770" i="1"/>
  <c r="H2770" i="1"/>
  <c r="E2771" i="1"/>
  <c r="F2771" i="1"/>
  <c r="H2771" i="1"/>
  <c r="E2772" i="1"/>
  <c r="F2772" i="1"/>
  <c r="H2772" i="1"/>
  <c r="E2773" i="1"/>
  <c r="F2773" i="1"/>
  <c r="H2773" i="1"/>
  <c r="E2774" i="1"/>
  <c r="F2774" i="1"/>
  <c r="H2774" i="1"/>
  <c r="E2775" i="1"/>
  <c r="F2775" i="1"/>
  <c r="H2775" i="1"/>
  <c r="E2776" i="1"/>
  <c r="F2776" i="1"/>
  <c r="H2776" i="1"/>
  <c r="E2777" i="1"/>
  <c r="F2777" i="1"/>
  <c r="H2777" i="1"/>
  <c r="E2778" i="1"/>
  <c r="F2778" i="1"/>
  <c r="H2778" i="1"/>
  <c r="E2779" i="1"/>
  <c r="F2779" i="1"/>
  <c r="H2779" i="1"/>
  <c r="E2780" i="1"/>
  <c r="F2780" i="1"/>
  <c r="H2780" i="1"/>
  <c r="E2781" i="1"/>
  <c r="F2781" i="1"/>
  <c r="H2781" i="1"/>
  <c r="E2782" i="1"/>
  <c r="F2782" i="1"/>
  <c r="H2782" i="1"/>
  <c r="E2783" i="1"/>
  <c r="F2783" i="1"/>
  <c r="H2783" i="1"/>
  <c r="E2784" i="1"/>
  <c r="F2784" i="1"/>
  <c r="H2784" i="1"/>
  <c r="E2785" i="1"/>
  <c r="F2785" i="1"/>
  <c r="H2785" i="1"/>
  <c r="E2786" i="1"/>
  <c r="F2786" i="1"/>
  <c r="H2786" i="1"/>
  <c r="E2787" i="1"/>
  <c r="F2787" i="1"/>
  <c r="H2787" i="1"/>
  <c r="E2788" i="1"/>
  <c r="F2788" i="1"/>
  <c r="H2788" i="1"/>
  <c r="E2789" i="1"/>
  <c r="F2789" i="1"/>
  <c r="H2789" i="1"/>
  <c r="E2790" i="1"/>
  <c r="F2790" i="1"/>
  <c r="H2790" i="1"/>
  <c r="E2791" i="1"/>
  <c r="F2791" i="1"/>
  <c r="H2791" i="1"/>
  <c r="E2792" i="1"/>
  <c r="F2792" i="1"/>
  <c r="H2792" i="1"/>
  <c r="E2793" i="1"/>
  <c r="F2793" i="1"/>
  <c r="H2793" i="1"/>
  <c r="E2794" i="1"/>
  <c r="F2794" i="1"/>
  <c r="H2794" i="1"/>
  <c r="E2795" i="1"/>
  <c r="F2795" i="1"/>
  <c r="H2795" i="1"/>
  <c r="E2796" i="1"/>
  <c r="F2796" i="1"/>
  <c r="H2796" i="1"/>
  <c r="E2797" i="1"/>
  <c r="F2797" i="1"/>
  <c r="H2797" i="1"/>
  <c r="E2798" i="1"/>
  <c r="F2798" i="1"/>
  <c r="H2798" i="1"/>
  <c r="E2799" i="1"/>
  <c r="F2799" i="1"/>
  <c r="H2799" i="1"/>
  <c r="E2800" i="1"/>
  <c r="F2800" i="1"/>
  <c r="H2800" i="1"/>
  <c r="E2801" i="1"/>
  <c r="F2801" i="1"/>
  <c r="H2801" i="1"/>
  <c r="E2802" i="1"/>
  <c r="F2802" i="1"/>
  <c r="H2802" i="1"/>
  <c r="E2803" i="1"/>
  <c r="F2803" i="1"/>
  <c r="H2803" i="1"/>
  <c r="E2804" i="1"/>
  <c r="F2804" i="1"/>
  <c r="H2804" i="1"/>
  <c r="E2805" i="1"/>
  <c r="F2805" i="1"/>
  <c r="H2805" i="1"/>
  <c r="E2806" i="1"/>
  <c r="F2806" i="1"/>
  <c r="H2806" i="1"/>
  <c r="E2807" i="1"/>
  <c r="F2807" i="1"/>
  <c r="H2807" i="1"/>
  <c r="E2808" i="1"/>
  <c r="F2808" i="1"/>
  <c r="H2808" i="1"/>
  <c r="E2809" i="1"/>
  <c r="F2809" i="1"/>
  <c r="H2809" i="1"/>
  <c r="E2810" i="1"/>
  <c r="F2810" i="1"/>
  <c r="H2810" i="1"/>
  <c r="E2811" i="1"/>
  <c r="F2811" i="1"/>
  <c r="H2811" i="1"/>
  <c r="E2812" i="1"/>
  <c r="F2812" i="1"/>
  <c r="H2812" i="1"/>
  <c r="E2813" i="1"/>
  <c r="F2813" i="1"/>
  <c r="H2813" i="1"/>
  <c r="E2814" i="1"/>
  <c r="F2814" i="1"/>
  <c r="H2814" i="1"/>
  <c r="E2815" i="1"/>
  <c r="F2815" i="1"/>
  <c r="H2815" i="1"/>
  <c r="E2816" i="1"/>
  <c r="F2816" i="1"/>
  <c r="H2816" i="1"/>
  <c r="E2817" i="1"/>
  <c r="F2817" i="1"/>
  <c r="H2817" i="1"/>
  <c r="E2818" i="1"/>
  <c r="F2818" i="1"/>
  <c r="H2818" i="1"/>
  <c r="E2819" i="1"/>
  <c r="F2819" i="1"/>
  <c r="H2819" i="1"/>
  <c r="E2820" i="1"/>
  <c r="F2820" i="1"/>
  <c r="H2820" i="1"/>
  <c r="E2821" i="1"/>
  <c r="F2821" i="1"/>
  <c r="H2821" i="1"/>
  <c r="E2822" i="1"/>
  <c r="F2822" i="1"/>
  <c r="H2822" i="1"/>
  <c r="E2823" i="1"/>
  <c r="F2823" i="1"/>
  <c r="H2823" i="1"/>
  <c r="E2824" i="1"/>
  <c r="F2824" i="1"/>
  <c r="H2824" i="1"/>
  <c r="E2825" i="1"/>
  <c r="F2825" i="1"/>
  <c r="H2825" i="1"/>
  <c r="E2826" i="1"/>
  <c r="F2826" i="1"/>
  <c r="H2826" i="1"/>
  <c r="E2827" i="1"/>
  <c r="F2827" i="1"/>
  <c r="H2827" i="1"/>
  <c r="E2828" i="1"/>
  <c r="F2828" i="1"/>
  <c r="H2828" i="1"/>
  <c r="E2829" i="1"/>
  <c r="F2829" i="1"/>
  <c r="H2829" i="1"/>
  <c r="E2830" i="1"/>
  <c r="F2830" i="1"/>
  <c r="H2830" i="1"/>
  <c r="E2831" i="1"/>
  <c r="F2831" i="1"/>
  <c r="H2831" i="1"/>
  <c r="E2832" i="1"/>
  <c r="F2832" i="1"/>
  <c r="H2832" i="1"/>
  <c r="E2833" i="1"/>
  <c r="F2833" i="1"/>
  <c r="H2833" i="1"/>
  <c r="E2834" i="1"/>
  <c r="F2834" i="1"/>
  <c r="H2834" i="1"/>
  <c r="E2835" i="1"/>
  <c r="F2835" i="1"/>
  <c r="H2835" i="1"/>
  <c r="E2836" i="1"/>
  <c r="F2836" i="1"/>
  <c r="H2836" i="1"/>
  <c r="E2837" i="1"/>
  <c r="F2837" i="1"/>
  <c r="H2837" i="1"/>
  <c r="E2838" i="1"/>
  <c r="F2838" i="1"/>
  <c r="H2838" i="1"/>
  <c r="E2839" i="1"/>
  <c r="F2839" i="1"/>
  <c r="H2839" i="1"/>
  <c r="E2840" i="1"/>
  <c r="F2840" i="1"/>
  <c r="H2840" i="1"/>
  <c r="E2841" i="1"/>
  <c r="F2841" i="1"/>
  <c r="H2841" i="1"/>
  <c r="E2842" i="1"/>
  <c r="F2842" i="1"/>
  <c r="H2842" i="1"/>
  <c r="E2843" i="1"/>
  <c r="F2843" i="1"/>
  <c r="H2843" i="1"/>
  <c r="E2844" i="1"/>
  <c r="F2844" i="1"/>
  <c r="H2844" i="1"/>
  <c r="E2845" i="1"/>
  <c r="F2845" i="1"/>
  <c r="H2845" i="1"/>
  <c r="E2846" i="1"/>
  <c r="F2846" i="1"/>
  <c r="H2846" i="1"/>
  <c r="E2847" i="1"/>
  <c r="F2847" i="1"/>
  <c r="H2847" i="1"/>
  <c r="E2848" i="1"/>
  <c r="F2848" i="1"/>
  <c r="H2848" i="1"/>
  <c r="E2849" i="1"/>
  <c r="F2849" i="1"/>
  <c r="H2849" i="1"/>
  <c r="E2850" i="1"/>
  <c r="F2850" i="1"/>
  <c r="H2850" i="1"/>
  <c r="E2851" i="1"/>
  <c r="F2851" i="1"/>
  <c r="H2851" i="1"/>
  <c r="E2852" i="1"/>
  <c r="F2852" i="1"/>
  <c r="H2852" i="1"/>
  <c r="E2853" i="1"/>
  <c r="F2853" i="1"/>
  <c r="H2853" i="1"/>
  <c r="E2854" i="1"/>
  <c r="F2854" i="1"/>
  <c r="H2854" i="1"/>
  <c r="E2855" i="1"/>
  <c r="F2855" i="1"/>
  <c r="H2855" i="1"/>
  <c r="E2856" i="1"/>
  <c r="F2856" i="1"/>
  <c r="H2856" i="1"/>
  <c r="E2857" i="1"/>
  <c r="F2857" i="1"/>
  <c r="H2857" i="1"/>
  <c r="E2858" i="1"/>
  <c r="F2858" i="1"/>
  <c r="H2858" i="1"/>
  <c r="E2859" i="1"/>
  <c r="F2859" i="1"/>
  <c r="H2859" i="1"/>
  <c r="E2860" i="1"/>
  <c r="F2860" i="1"/>
  <c r="H2860" i="1"/>
  <c r="E2861" i="1"/>
  <c r="F2861" i="1"/>
  <c r="H2861" i="1"/>
  <c r="E2862" i="1"/>
  <c r="F2862" i="1"/>
  <c r="H2862" i="1"/>
  <c r="E2863" i="1"/>
  <c r="F2863" i="1"/>
  <c r="H2863" i="1"/>
  <c r="E2864" i="1"/>
  <c r="F2864" i="1"/>
  <c r="H2864" i="1"/>
  <c r="E2865" i="1"/>
  <c r="F2865" i="1"/>
  <c r="H2865" i="1"/>
  <c r="E2866" i="1"/>
  <c r="F2866" i="1"/>
  <c r="H2866" i="1"/>
  <c r="E2867" i="1"/>
  <c r="F2867" i="1"/>
  <c r="H2867" i="1"/>
  <c r="E2868" i="1"/>
  <c r="F2868" i="1"/>
  <c r="H2868" i="1"/>
  <c r="E2869" i="1"/>
  <c r="F2869" i="1"/>
  <c r="H2869" i="1"/>
  <c r="E2870" i="1"/>
  <c r="F2870" i="1"/>
  <c r="H2870" i="1"/>
  <c r="E2871" i="1"/>
  <c r="F2871" i="1"/>
  <c r="H2871" i="1"/>
  <c r="E2872" i="1"/>
  <c r="F2872" i="1"/>
  <c r="H2872" i="1"/>
  <c r="E2873" i="1"/>
  <c r="F2873" i="1"/>
  <c r="H2873" i="1"/>
  <c r="E2874" i="1"/>
  <c r="F2874" i="1"/>
  <c r="H2874" i="1"/>
  <c r="E2875" i="1"/>
  <c r="F2875" i="1"/>
  <c r="H2875" i="1"/>
  <c r="E2876" i="1"/>
  <c r="F2876" i="1"/>
  <c r="H2876" i="1"/>
  <c r="E2877" i="1"/>
  <c r="F2877" i="1"/>
  <c r="H2877" i="1"/>
  <c r="E2878" i="1"/>
  <c r="F2878" i="1"/>
  <c r="H2878" i="1"/>
  <c r="E2879" i="1"/>
  <c r="F2879" i="1"/>
  <c r="H2879" i="1"/>
  <c r="E2880" i="1"/>
  <c r="F2880" i="1"/>
  <c r="H2880" i="1"/>
  <c r="E2881" i="1"/>
  <c r="F2881" i="1"/>
  <c r="H2881" i="1"/>
  <c r="E2882" i="1"/>
  <c r="F2882" i="1"/>
  <c r="H2882" i="1"/>
  <c r="E2883" i="1"/>
  <c r="F2883" i="1"/>
  <c r="H2883" i="1"/>
  <c r="E2884" i="1"/>
  <c r="F2884" i="1"/>
  <c r="H2884" i="1"/>
  <c r="E2885" i="1"/>
  <c r="F2885" i="1"/>
  <c r="H2885" i="1"/>
  <c r="E2886" i="1"/>
  <c r="F2886" i="1"/>
  <c r="H2886" i="1"/>
  <c r="E2887" i="1"/>
  <c r="F2887" i="1"/>
  <c r="H2887" i="1"/>
  <c r="E2888" i="1"/>
  <c r="F2888" i="1"/>
  <c r="H2888" i="1"/>
  <c r="E2889" i="1"/>
  <c r="F2889" i="1"/>
  <c r="H2889" i="1"/>
  <c r="E2890" i="1"/>
  <c r="F2890" i="1"/>
  <c r="H2890" i="1"/>
  <c r="E2891" i="1"/>
  <c r="F2891" i="1"/>
  <c r="H2891" i="1"/>
  <c r="E2892" i="1"/>
  <c r="F2892" i="1"/>
  <c r="H2892" i="1"/>
  <c r="E2893" i="1"/>
  <c r="F2893" i="1"/>
  <c r="H2893" i="1"/>
  <c r="E2894" i="1"/>
  <c r="F2894" i="1"/>
  <c r="H2894" i="1"/>
  <c r="E2895" i="1"/>
  <c r="F2895" i="1"/>
  <c r="H2895" i="1"/>
  <c r="E2896" i="1"/>
  <c r="F2896" i="1"/>
  <c r="H2896" i="1"/>
  <c r="E2897" i="1"/>
  <c r="F2897" i="1"/>
  <c r="H2897" i="1"/>
  <c r="E2898" i="1"/>
  <c r="F2898" i="1"/>
  <c r="H2898" i="1"/>
  <c r="E2899" i="1"/>
  <c r="F2899" i="1"/>
  <c r="H2899" i="1"/>
  <c r="E2900" i="1"/>
  <c r="F2900" i="1"/>
  <c r="H2900" i="1"/>
  <c r="E2901" i="1"/>
  <c r="F2901" i="1"/>
  <c r="H2901" i="1"/>
  <c r="E2902" i="1"/>
  <c r="F2902" i="1"/>
  <c r="H2902" i="1"/>
  <c r="E2903" i="1"/>
  <c r="F2903" i="1"/>
  <c r="H2903" i="1"/>
  <c r="E2904" i="1"/>
  <c r="F2904" i="1"/>
  <c r="H2904" i="1"/>
  <c r="E2905" i="1"/>
  <c r="F2905" i="1"/>
  <c r="H2905" i="1"/>
  <c r="E2906" i="1"/>
  <c r="F2906" i="1"/>
  <c r="H2906" i="1"/>
  <c r="E2907" i="1"/>
  <c r="F2907" i="1"/>
  <c r="H2907" i="1"/>
  <c r="E2908" i="1"/>
  <c r="F2908" i="1"/>
  <c r="H2908" i="1"/>
  <c r="E2909" i="1"/>
  <c r="F2909" i="1"/>
  <c r="H2909" i="1"/>
  <c r="E2910" i="1"/>
  <c r="F2910" i="1"/>
  <c r="H2910" i="1"/>
  <c r="E2911" i="1"/>
  <c r="F2911" i="1"/>
  <c r="H2911" i="1"/>
  <c r="E2912" i="1"/>
  <c r="F2912" i="1"/>
  <c r="H2912" i="1"/>
  <c r="E2913" i="1"/>
  <c r="F2913" i="1"/>
  <c r="H2913" i="1"/>
  <c r="E2914" i="1"/>
  <c r="F2914" i="1"/>
  <c r="H2914" i="1"/>
  <c r="E2915" i="1"/>
  <c r="F2915" i="1"/>
  <c r="H2915" i="1"/>
  <c r="E2916" i="1"/>
  <c r="F2916" i="1"/>
  <c r="H2916" i="1"/>
  <c r="E2917" i="1"/>
  <c r="F2917" i="1"/>
  <c r="H2917" i="1"/>
  <c r="E2918" i="1"/>
  <c r="F2918" i="1"/>
  <c r="H2918" i="1"/>
  <c r="E2919" i="1"/>
  <c r="F2919" i="1"/>
  <c r="H2919" i="1"/>
  <c r="E2920" i="1"/>
  <c r="F2920" i="1"/>
  <c r="H2920" i="1"/>
  <c r="E2921" i="1"/>
  <c r="F2921" i="1"/>
  <c r="H2921" i="1"/>
  <c r="E2922" i="1"/>
  <c r="F2922" i="1"/>
  <c r="H2922" i="1"/>
  <c r="E2923" i="1"/>
  <c r="F2923" i="1"/>
  <c r="H2923" i="1"/>
  <c r="E2924" i="1"/>
  <c r="F2924" i="1"/>
  <c r="H2924" i="1"/>
  <c r="E2925" i="1"/>
  <c r="F2925" i="1"/>
  <c r="H2925" i="1"/>
  <c r="E2926" i="1"/>
  <c r="F2926" i="1"/>
  <c r="H2926" i="1"/>
  <c r="E2927" i="1"/>
  <c r="F2927" i="1"/>
  <c r="H2927" i="1"/>
  <c r="E2928" i="1"/>
  <c r="F2928" i="1"/>
  <c r="H2928" i="1"/>
  <c r="E2929" i="1"/>
  <c r="F2929" i="1"/>
  <c r="H2929" i="1"/>
  <c r="E2930" i="1"/>
  <c r="F2930" i="1"/>
  <c r="H2930" i="1"/>
  <c r="E2931" i="1"/>
  <c r="F2931" i="1"/>
  <c r="H2931" i="1"/>
  <c r="E2932" i="1"/>
  <c r="F2932" i="1"/>
  <c r="H2932" i="1"/>
  <c r="E2933" i="1"/>
  <c r="F2933" i="1"/>
  <c r="H2933" i="1"/>
  <c r="E2934" i="1"/>
  <c r="F2934" i="1"/>
  <c r="H2934" i="1"/>
  <c r="E2935" i="1"/>
  <c r="F2935" i="1"/>
  <c r="H2935" i="1"/>
  <c r="E2936" i="1"/>
  <c r="F2936" i="1"/>
  <c r="H2936" i="1"/>
  <c r="E2937" i="1"/>
  <c r="F2937" i="1"/>
  <c r="H2937" i="1"/>
  <c r="E2938" i="1"/>
  <c r="F2938" i="1"/>
  <c r="H2938" i="1"/>
  <c r="E2939" i="1"/>
  <c r="F2939" i="1"/>
  <c r="H2939" i="1"/>
  <c r="E2940" i="1"/>
  <c r="F2940" i="1"/>
  <c r="H2940" i="1"/>
  <c r="E2941" i="1"/>
  <c r="F2941" i="1"/>
  <c r="H2941" i="1"/>
  <c r="E2942" i="1"/>
  <c r="F2942" i="1"/>
  <c r="H2942" i="1"/>
  <c r="E2943" i="1"/>
  <c r="F2943" i="1"/>
  <c r="H2943" i="1"/>
  <c r="E2944" i="1"/>
  <c r="F2944" i="1"/>
  <c r="H2944" i="1"/>
  <c r="E2945" i="1"/>
  <c r="F2945" i="1"/>
  <c r="H2945" i="1"/>
  <c r="E2946" i="1"/>
  <c r="F2946" i="1"/>
  <c r="H2946" i="1"/>
  <c r="E2947" i="1"/>
  <c r="F2947" i="1"/>
  <c r="H2947" i="1"/>
  <c r="E2948" i="1"/>
  <c r="F2948" i="1"/>
  <c r="H2948" i="1"/>
  <c r="E2949" i="1"/>
  <c r="F2949" i="1"/>
  <c r="H2949" i="1"/>
  <c r="E2950" i="1"/>
  <c r="F2950" i="1"/>
  <c r="H2950" i="1"/>
  <c r="E2951" i="1"/>
  <c r="F2951" i="1"/>
  <c r="H2951" i="1"/>
  <c r="E2952" i="1"/>
  <c r="F2952" i="1"/>
  <c r="H2952" i="1"/>
  <c r="E2953" i="1"/>
  <c r="F2953" i="1"/>
  <c r="H2953" i="1"/>
  <c r="E2954" i="1"/>
  <c r="F2954" i="1"/>
  <c r="H2954" i="1"/>
  <c r="E2955" i="1"/>
  <c r="F2955" i="1"/>
  <c r="H2955" i="1"/>
  <c r="E2956" i="1"/>
  <c r="F2956" i="1"/>
  <c r="H2956" i="1"/>
  <c r="E2957" i="1"/>
  <c r="F2957" i="1"/>
  <c r="H2957" i="1"/>
  <c r="E2958" i="1"/>
  <c r="F2958" i="1"/>
  <c r="H2958" i="1"/>
  <c r="E2959" i="1"/>
  <c r="F2959" i="1"/>
  <c r="H2959" i="1"/>
  <c r="E2960" i="1"/>
  <c r="F2960" i="1"/>
  <c r="H2960" i="1"/>
  <c r="E2961" i="1"/>
  <c r="F2961" i="1"/>
  <c r="H2961" i="1"/>
  <c r="E2962" i="1"/>
  <c r="F2962" i="1"/>
  <c r="H2962" i="1"/>
  <c r="E2963" i="1"/>
  <c r="F2963" i="1"/>
  <c r="H2963" i="1"/>
  <c r="E2964" i="1"/>
  <c r="F2964" i="1"/>
  <c r="H2964" i="1"/>
  <c r="E2965" i="1"/>
  <c r="F2965" i="1"/>
  <c r="H2965" i="1"/>
  <c r="E2966" i="1"/>
  <c r="F2966" i="1"/>
  <c r="H2966" i="1"/>
  <c r="E2967" i="1"/>
  <c r="F2967" i="1"/>
  <c r="H2967" i="1"/>
  <c r="E2968" i="1"/>
  <c r="F2968" i="1"/>
  <c r="H2968" i="1"/>
  <c r="E2969" i="1"/>
  <c r="F2969" i="1"/>
  <c r="H2969" i="1"/>
  <c r="E2970" i="1"/>
  <c r="F2970" i="1"/>
  <c r="H2970" i="1"/>
  <c r="E2971" i="1"/>
  <c r="F2971" i="1"/>
  <c r="H2971" i="1"/>
  <c r="E2972" i="1"/>
  <c r="F2972" i="1"/>
  <c r="H2972" i="1"/>
  <c r="E2973" i="1"/>
  <c r="F2973" i="1"/>
  <c r="H2973" i="1"/>
  <c r="E2974" i="1"/>
  <c r="F2974" i="1"/>
  <c r="H2974" i="1"/>
  <c r="E2975" i="1"/>
  <c r="F2975" i="1"/>
  <c r="H2975" i="1"/>
  <c r="E2976" i="1"/>
  <c r="F2976" i="1"/>
  <c r="H2976" i="1"/>
  <c r="E2977" i="1"/>
  <c r="F2977" i="1"/>
  <c r="H2977" i="1"/>
  <c r="E2978" i="1"/>
  <c r="F2978" i="1"/>
  <c r="H2978" i="1"/>
  <c r="E2979" i="1"/>
  <c r="F2979" i="1"/>
  <c r="H2979" i="1"/>
  <c r="E2980" i="1"/>
  <c r="F2980" i="1"/>
  <c r="H2980" i="1"/>
  <c r="E2981" i="1"/>
  <c r="F2981" i="1"/>
  <c r="H2981" i="1"/>
  <c r="E2982" i="1"/>
  <c r="F2982" i="1"/>
  <c r="H2982" i="1"/>
  <c r="E2983" i="1"/>
  <c r="F2983" i="1"/>
  <c r="H2983" i="1"/>
  <c r="E2984" i="1"/>
  <c r="F2984" i="1"/>
  <c r="H2984" i="1"/>
  <c r="E2985" i="1"/>
  <c r="F2985" i="1"/>
  <c r="H2985" i="1"/>
  <c r="E2986" i="1"/>
  <c r="F2986" i="1"/>
  <c r="H2986" i="1"/>
  <c r="E2987" i="1"/>
  <c r="F2987" i="1"/>
  <c r="H2987" i="1"/>
  <c r="E2988" i="1"/>
  <c r="F2988" i="1"/>
  <c r="H2988" i="1"/>
  <c r="E2989" i="1"/>
  <c r="F2989" i="1"/>
  <c r="H2989" i="1"/>
  <c r="E2990" i="1"/>
  <c r="F2990" i="1"/>
  <c r="H2990" i="1"/>
  <c r="E2991" i="1"/>
  <c r="F2991" i="1"/>
  <c r="H2991" i="1"/>
  <c r="E2992" i="1"/>
  <c r="F2992" i="1"/>
  <c r="H2992" i="1"/>
  <c r="E2993" i="1"/>
  <c r="F2993" i="1"/>
  <c r="H2993" i="1"/>
  <c r="E2994" i="1"/>
  <c r="F2994" i="1"/>
  <c r="H2994" i="1"/>
  <c r="E2995" i="1"/>
  <c r="F2995" i="1"/>
  <c r="H2995" i="1"/>
  <c r="E2996" i="1"/>
  <c r="F2996" i="1"/>
  <c r="H2996" i="1"/>
  <c r="E2997" i="1"/>
  <c r="F2997" i="1"/>
  <c r="H2997" i="1"/>
  <c r="E2998" i="1"/>
  <c r="F2998" i="1"/>
  <c r="H2998" i="1"/>
  <c r="E2999" i="1"/>
  <c r="F2999" i="1"/>
  <c r="H2999" i="1"/>
  <c r="E3000" i="1"/>
  <c r="F3000" i="1"/>
  <c r="H3000" i="1"/>
  <c r="E3001" i="1"/>
  <c r="F3001" i="1"/>
  <c r="H3001" i="1"/>
  <c r="E3002" i="1"/>
  <c r="F3002" i="1"/>
  <c r="H3002" i="1"/>
  <c r="E3003" i="1"/>
  <c r="F3003" i="1"/>
  <c r="H3003" i="1"/>
  <c r="E3004" i="1"/>
  <c r="F3004" i="1"/>
  <c r="H3004" i="1"/>
  <c r="E3005" i="1"/>
  <c r="F3005" i="1"/>
  <c r="H3005" i="1"/>
  <c r="E3006" i="1"/>
  <c r="F3006" i="1"/>
  <c r="H3006" i="1"/>
  <c r="E3007" i="1"/>
  <c r="F3007" i="1"/>
  <c r="H3007" i="1"/>
  <c r="E3008" i="1"/>
  <c r="F3008" i="1"/>
  <c r="H3008" i="1"/>
  <c r="E3009" i="1"/>
  <c r="F3009" i="1"/>
  <c r="H3009" i="1"/>
  <c r="E3010" i="1"/>
  <c r="F3010" i="1"/>
  <c r="H3010" i="1"/>
  <c r="E3011" i="1"/>
  <c r="F3011" i="1"/>
  <c r="H3011" i="1"/>
  <c r="E3012" i="1"/>
  <c r="F3012" i="1"/>
  <c r="H3012" i="1"/>
  <c r="E3013" i="1"/>
  <c r="F3013" i="1"/>
  <c r="H3013" i="1"/>
  <c r="E3014" i="1"/>
  <c r="F3014" i="1"/>
  <c r="H3014" i="1"/>
  <c r="E3015" i="1"/>
  <c r="F3015" i="1"/>
  <c r="H3015" i="1"/>
  <c r="E3016" i="1"/>
  <c r="F3016" i="1"/>
  <c r="H3016" i="1"/>
  <c r="E3017" i="1"/>
  <c r="F3017" i="1"/>
  <c r="H3017" i="1"/>
  <c r="E3018" i="1"/>
  <c r="F3018" i="1"/>
  <c r="H3018" i="1"/>
  <c r="E3019" i="1"/>
  <c r="F3019" i="1"/>
  <c r="H3019" i="1"/>
  <c r="E3020" i="1"/>
  <c r="F3020" i="1"/>
  <c r="H3020" i="1"/>
  <c r="E3021" i="1"/>
  <c r="F3021" i="1"/>
  <c r="H3021" i="1"/>
  <c r="E3022" i="1"/>
  <c r="F3022" i="1"/>
  <c r="H3022" i="1"/>
  <c r="E3023" i="1"/>
  <c r="F3023" i="1"/>
  <c r="H3023" i="1"/>
  <c r="E3024" i="1"/>
  <c r="F3024" i="1"/>
  <c r="H3024" i="1"/>
  <c r="E3025" i="1"/>
  <c r="F3025" i="1"/>
  <c r="H3025" i="1"/>
  <c r="E3026" i="1"/>
  <c r="F3026" i="1"/>
  <c r="H3026" i="1"/>
  <c r="E3027" i="1"/>
  <c r="F3027" i="1"/>
  <c r="H3027" i="1"/>
  <c r="E3028" i="1"/>
  <c r="F3028" i="1"/>
  <c r="H3028" i="1"/>
  <c r="E3029" i="1"/>
  <c r="F3029" i="1"/>
  <c r="H3029" i="1"/>
  <c r="E3030" i="1"/>
  <c r="F3030" i="1"/>
  <c r="H3030" i="1"/>
  <c r="E3031" i="1"/>
  <c r="F3031" i="1"/>
  <c r="H3031" i="1"/>
  <c r="E3032" i="1"/>
  <c r="F3032" i="1"/>
  <c r="H3032" i="1"/>
  <c r="E3033" i="1"/>
  <c r="F3033" i="1"/>
  <c r="H3033" i="1"/>
  <c r="E3034" i="1"/>
  <c r="F3034" i="1"/>
  <c r="H3034" i="1"/>
  <c r="E3035" i="1"/>
  <c r="F3035" i="1"/>
  <c r="H3035" i="1"/>
  <c r="E3036" i="1"/>
  <c r="F3036" i="1"/>
  <c r="H3036" i="1"/>
  <c r="E3037" i="1"/>
  <c r="F3037" i="1"/>
  <c r="H3037" i="1"/>
  <c r="E3038" i="1"/>
  <c r="F3038" i="1"/>
  <c r="H3038" i="1"/>
  <c r="E3039" i="1"/>
  <c r="F3039" i="1"/>
  <c r="H3039" i="1"/>
  <c r="E3040" i="1"/>
  <c r="F3040" i="1"/>
  <c r="H3040" i="1"/>
  <c r="E3041" i="1"/>
  <c r="F3041" i="1"/>
  <c r="H3041" i="1"/>
  <c r="E3042" i="1"/>
  <c r="F3042" i="1"/>
  <c r="H3042" i="1"/>
  <c r="E3043" i="1"/>
  <c r="F3043" i="1"/>
  <c r="H3043" i="1"/>
  <c r="E3044" i="1"/>
  <c r="F3044" i="1"/>
  <c r="H3044" i="1"/>
  <c r="E3045" i="1"/>
  <c r="F3045" i="1"/>
  <c r="H3045" i="1"/>
  <c r="E3046" i="1"/>
  <c r="F3046" i="1"/>
  <c r="H3046" i="1"/>
  <c r="E3047" i="1"/>
  <c r="F3047" i="1"/>
  <c r="H3047" i="1"/>
  <c r="E3048" i="1"/>
  <c r="F3048" i="1"/>
  <c r="H3048" i="1"/>
  <c r="E3049" i="1"/>
  <c r="F3049" i="1"/>
  <c r="H3049" i="1"/>
  <c r="E3050" i="1"/>
  <c r="F3050" i="1"/>
  <c r="H3050" i="1"/>
  <c r="E3051" i="1"/>
  <c r="F3051" i="1"/>
  <c r="H3051" i="1"/>
  <c r="E3052" i="1"/>
  <c r="F3052" i="1"/>
  <c r="H3052" i="1"/>
  <c r="E3053" i="1"/>
  <c r="F3053" i="1"/>
  <c r="H3053" i="1"/>
  <c r="E3054" i="1"/>
  <c r="F3054" i="1"/>
  <c r="H3054" i="1"/>
  <c r="E3055" i="1"/>
  <c r="F3055" i="1"/>
  <c r="H3055" i="1"/>
  <c r="E3056" i="1"/>
  <c r="F3056" i="1"/>
  <c r="H3056" i="1"/>
  <c r="E3057" i="1"/>
  <c r="F3057" i="1"/>
  <c r="H3057" i="1"/>
  <c r="E3058" i="1"/>
  <c r="F3058" i="1"/>
  <c r="H3058" i="1"/>
  <c r="E3059" i="1"/>
  <c r="F3059" i="1"/>
  <c r="H3059" i="1"/>
  <c r="E3060" i="1"/>
  <c r="F3060" i="1"/>
  <c r="H3060" i="1"/>
  <c r="E3061" i="1"/>
  <c r="F3061" i="1"/>
  <c r="H3061" i="1"/>
  <c r="E3062" i="1"/>
  <c r="F3062" i="1"/>
  <c r="H3062" i="1"/>
  <c r="E3063" i="1"/>
  <c r="F3063" i="1"/>
  <c r="H3063" i="1"/>
  <c r="E3064" i="1"/>
  <c r="F3064" i="1"/>
  <c r="H3064" i="1"/>
  <c r="E3065" i="1"/>
  <c r="F3065" i="1"/>
  <c r="H3065" i="1"/>
  <c r="E3066" i="1"/>
  <c r="F3066" i="1"/>
  <c r="H3066" i="1"/>
  <c r="E3067" i="1"/>
  <c r="F3067" i="1"/>
  <c r="H3067" i="1"/>
  <c r="E3068" i="1"/>
  <c r="F3068" i="1"/>
  <c r="H3068" i="1"/>
  <c r="E3069" i="1"/>
  <c r="F3069" i="1"/>
  <c r="H3069" i="1"/>
  <c r="E3070" i="1"/>
  <c r="F3070" i="1"/>
  <c r="H3070" i="1"/>
  <c r="E3071" i="1"/>
  <c r="F3071" i="1"/>
  <c r="H3071" i="1"/>
  <c r="E3072" i="1"/>
  <c r="F3072" i="1"/>
  <c r="H3072" i="1"/>
  <c r="E3073" i="1"/>
  <c r="F3073" i="1"/>
  <c r="H3073" i="1"/>
  <c r="E3074" i="1"/>
  <c r="F3074" i="1"/>
  <c r="H3074" i="1"/>
  <c r="E3075" i="1"/>
  <c r="F3075" i="1"/>
  <c r="H3075" i="1"/>
  <c r="E3076" i="1"/>
  <c r="F3076" i="1"/>
  <c r="H3076" i="1"/>
  <c r="E3077" i="1"/>
  <c r="F3077" i="1"/>
  <c r="H3077" i="1"/>
  <c r="E3078" i="1"/>
  <c r="F3078" i="1"/>
  <c r="H3078" i="1"/>
  <c r="E3079" i="1"/>
  <c r="F3079" i="1"/>
  <c r="H3079" i="1"/>
  <c r="E3080" i="1"/>
  <c r="F3080" i="1"/>
  <c r="H3080" i="1"/>
  <c r="E3081" i="1"/>
  <c r="F3081" i="1"/>
  <c r="H3081" i="1"/>
  <c r="E3082" i="1"/>
  <c r="F3082" i="1"/>
  <c r="H3082" i="1"/>
  <c r="E3083" i="1"/>
  <c r="F3083" i="1"/>
  <c r="H3083" i="1"/>
  <c r="E3084" i="1"/>
  <c r="F3084" i="1"/>
  <c r="H3084" i="1"/>
  <c r="E3085" i="1"/>
  <c r="F3085" i="1"/>
  <c r="H3085" i="1"/>
  <c r="E3086" i="1"/>
  <c r="F3086" i="1"/>
  <c r="H3086" i="1"/>
  <c r="E3087" i="1"/>
  <c r="F3087" i="1"/>
  <c r="H3087" i="1"/>
  <c r="E3088" i="1"/>
  <c r="F3088" i="1"/>
  <c r="H3088" i="1"/>
  <c r="E3089" i="1"/>
  <c r="F3089" i="1"/>
  <c r="H3089" i="1"/>
  <c r="E3090" i="1"/>
  <c r="F3090" i="1"/>
  <c r="H3090" i="1"/>
  <c r="E3091" i="1"/>
  <c r="F3091" i="1"/>
  <c r="H3091" i="1"/>
  <c r="E3092" i="1"/>
  <c r="F3092" i="1"/>
  <c r="H3092" i="1"/>
  <c r="E3093" i="1"/>
  <c r="F3093" i="1"/>
  <c r="H3093" i="1"/>
  <c r="E3094" i="1"/>
  <c r="F3094" i="1"/>
  <c r="H3094" i="1"/>
  <c r="E3095" i="1"/>
  <c r="F3095" i="1"/>
  <c r="H3095" i="1"/>
  <c r="E3096" i="1"/>
  <c r="F3096" i="1"/>
  <c r="H3096" i="1"/>
  <c r="E3097" i="1"/>
  <c r="F3097" i="1"/>
  <c r="H3097" i="1"/>
  <c r="E3098" i="1"/>
  <c r="F3098" i="1"/>
  <c r="H3098" i="1"/>
  <c r="E3099" i="1"/>
  <c r="F3099" i="1"/>
  <c r="H3099" i="1"/>
  <c r="E3100" i="1"/>
  <c r="F3100" i="1"/>
  <c r="H3100" i="1"/>
  <c r="E3101" i="1"/>
  <c r="F3101" i="1"/>
  <c r="H3101" i="1"/>
  <c r="E3102" i="1"/>
  <c r="F3102" i="1"/>
  <c r="H3102" i="1"/>
  <c r="E3103" i="1"/>
  <c r="F3103" i="1"/>
  <c r="H3103" i="1"/>
  <c r="E3104" i="1"/>
  <c r="F3104" i="1"/>
  <c r="H3104" i="1"/>
  <c r="E3105" i="1"/>
  <c r="F3105" i="1"/>
  <c r="H3105" i="1"/>
  <c r="E3106" i="1"/>
  <c r="F3106" i="1"/>
  <c r="H3106" i="1"/>
  <c r="E3107" i="1"/>
  <c r="F3107" i="1"/>
  <c r="H3107" i="1"/>
  <c r="E3108" i="1"/>
  <c r="F3108" i="1"/>
  <c r="H3108" i="1"/>
  <c r="E3109" i="1"/>
  <c r="F3109" i="1"/>
  <c r="H3109" i="1"/>
  <c r="E3110" i="1"/>
  <c r="F3110" i="1"/>
  <c r="H3110" i="1"/>
  <c r="E3111" i="1"/>
  <c r="F3111" i="1"/>
  <c r="H3111" i="1"/>
  <c r="E3112" i="1"/>
  <c r="F3112" i="1"/>
  <c r="H3112" i="1"/>
  <c r="E3113" i="1"/>
  <c r="F3113" i="1"/>
  <c r="H3113" i="1"/>
  <c r="E3114" i="1"/>
  <c r="F3114" i="1"/>
  <c r="H3114" i="1"/>
  <c r="E3115" i="1"/>
  <c r="F3115" i="1"/>
  <c r="H3115" i="1"/>
  <c r="E3116" i="1"/>
  <c r="F3116" i="1"/>
  <c r="H3116" i="1"/>
  <c r="E3117" i="1"/>
  <c r="F3117" i="1"/>
  <c r="H3117" i="1"/>
  <c r="E3118" i="1"/>
  <c r="F3118" i="1"/>
  <c r="H3118" i="1"/>
  <c r="E3119" i="1"/>
  <c r="F3119" i="1"/>
  <c r="H3119" i="1"/>
  <c r="E3120" i="1"/>
  <c r="F3120" i="1"/>
  <c r="H3120" i="1"/>
  <c r="E3121" i="1"/>
  <c r="F3121" i="1"/>
  <c r="H3121" i="1"/>
  <c r="E3122" i="1"/>
  <c r="F3122" i="1"/>
  <c r="H3122" i="1"/>
  <c r="E3123" i="1"/>
  <c r="F3123" i="1"/>
  <c r="H3123" i="1"/>
  <c r="E3124" i="1"/>
  <c r="F3124" i="1"/>
  <c r="H3124" i="1"/>
  <c r="E3125" i="1"/>
  <c r="F3125" i="1"/>
  <c r="H3125" i="1"/>
  <c r="E3126" i="1"/>
  <c r="F3126" i="1"/>
  <c r="H3126" i="1"/>
  <c r="E3127" i="1"/>
  <c r="F3127" i="1"/>
  <c r="H3127" i="1"/>
  <c r="E3128" i="1"/>
  <c r="F3128" i="1"/>
  <c r="H3128" i="1"/>
  <c r="E3129" i="1"/>
  <c r="F3129" i="1"/>
  <c r="H3129" i="1"/>
  <c r="E3130" i="1"/>
  <c r="F3130" i="1"/>
  <c r="H3130" i="1"/>
  <c r="E3131" i="1"/>
  <c r="F3131" i="1"/>
  <c r="H3131" i="1"/>
  <c r="E3132" i="1"/>
  <c r="F3132" i="1"/>
  <c r="H3132" i="1"/>
  <c r="E3133" i="1"/>
  <c r="F3133" i="1"/>
  <c r="H3133" i="1"/>
  <c r="E3134" i="1"/>
  <c r="F3134" i="1"/>
  <c r="H3134" i="1"/>
  <c r="E3135" i="1"/>
  <c r="F3135" i="1"/>
  <c r="H3135" i="1"/>
  <c r="E3136" i="1"/>
  <c r="F3136" i="1"/>
  <c r="H3136" i="1"/>
  <c r="E3137" i="1"/>
  <c r="F3137" i="1"/>
  <c r="H3137" i="1"/>
  <c r="E3138" i="1"/>
  <c r="F3138" i="1"/>
  <c r="H3138" i="1"/>
  <c r="E3139" i="1"/>
  <c r="F3139" i="1"/>
  <c r="H3139" i="1"/>
  <c r="E3140" i="1"/>
  <c r="F3140" i="1"/>
  <c r="H3140" i="1"/>
  <c r="E3141" i="1"/>
  <c r="F3141" i="1"/>
  <c r="H3141" i="1"/>
  <c r="E3142" i="1"/>
  <c r="F3142" i="1"/>
  <c r="H3142" i="1"/>
  <c r="E3143" i="1"/>
  <c r="F3143" i="1"/>
  <c r="H3143" i="1"/>
  <c r="E3144" i="1"/>
  <c r="F3144" i="1"/>
  <c r="H3144" i="1"/>
  <c r="E3145" i="1"/>
  <c r="F3145" i="1"/>
  <c r="H3145" i="1"/>
  <c r="E3146" i="1"/>
  <c r="F3146" i="1"/>
  <c r="H3146" i="1"/>
  <c r="E3147" i="1"/>
  <c r="F3147" i="1"/>
  <c r="H3147" i="1"/>
  <c r="E3148" i="1"/>
  <c r="F3148" i="1"/>
  <c r="H3148" i="1"/>
  <c r="E3149" i="1"/>
  <c r="F3149" i="1"/>
  <c r="H3149" i="1"/>
  <c r="E3150" i="1"/>
  <c r="F3150" i="1"/>
  <c r="H3150" i="1"/>
  <c r="E3151" i="1"/>
  <c r="F3151" i="1"/>
  <c r="H3151" i="1"/>
  <c r="E3152" i="1"/>
  <c r="F3152" i="1"/>
  <c r="H3152" i="1"/>
  <c r="E3153" i="1"/>
  <c r="F3153" i="1"/>
  <c r="H3153" i="1"/>
  <c r="E3154" i="1"/>
  <c r="F3154" i="1"/>
  <c r="H3154" i="1"/>
  <c r="E3155" i="1"/>
  <c r="F3155" i="1"/>
  <c r="H3155" i="1"/>
  <c r="E3156" i="1"/>
  <c r="F3156" i="1"/>
  <c r="H3156" i="1"/>
  <c r="E3157" i="1"/>
  <c r="F3157" i="1"/>
  <c r="H3157" i="1"/>
  <c r="E3158" i="1"/>
  <c r="F3158" i="1"/>
  <c r="H3158" i="1"/>
  <c r="E3159" i="1"/>
  <c r="F3159" i="1"/>
  <c r="H3159" i="1"/>
  <c r="E3160" i="1"/>
  <c r="F3160" i="1"/>
  <c r="H3160" i="1"/>
  <c r="E3161" i="1"/>
  <c r="F3161" i="1"/>
  <c r="H3161" i="1"/>
  <c r="E3162" i="1"/>
  <c r="F3162" i="1"/>
  <c r="H3162" i="1"/>
  <c r="E3163" i="1"/>
  <c r="F3163" i="1"/>
  <c r="H3163" i="1"/>
  <c r="E3164" i="1"/>
  <c r="F3164" i="1"/>
  <c r="H3164" i="1"/>
  <c r="E3165" i="1"/>
  <c r="F3165" i="1"/>
  <c r="H3165" i="1"/>
  <c r="E3166" i="1"/>
  <c r="F3166" i="1"/>
  <c r="H3166" i="1"/>
  <c r="E3167" i="1"/>
  <c r="F3167" i="1"/>
  <c r="H3167" i="1"/>
  <c r="E3168" i="1"/>
  <c r="F3168" i="1"/>
  <c r="H3168" i="1"/>
  <c r="E3169" i="1"/>
  <c r="F3169" i="1"/>
  <c r="H3169" i="1"/>
  <c r="E3170" i="1"/>
  <c r="F3170" i="1"/>
  <c r="H3170" i="1"/>
  <c r="E3171" i="1"/>
  <c r="F3171" i="1"/>
  <c r="H3171" i="1"/>
  <c r="E3172" i="1"/>
  <c r="F3172" i="1"/>
  <c r="H3172" i="1"/>
  <c r="E3173" i="1"/>
  <c r="F3173" i="1"/>
  <c r="H3173" i="1"/>
  <c r="E3174" i="1"/>
  <c r="F3174" i="1"/>
  <c r="H3174" i="1"/>
  <c r="E3175" i="1"/>
  <c r="F3175" i="1"/>
  <c r="H3175" i="1"/>
  <c r="E3176" i="1"/>
  <c r="F3176" i="1"/>
  <c r="H3176" i="1"/>
  <c r="E3177" i="1"/>
  <c r="F3177" i="1"/>
  <c r="H3177" i="1"/>
  <c r="E3178" i="1"/>
  <c r="F3178" i="1"/>
  <c r="H3178" i="1"/>
  <c r="E3179" i="1"/>
  <c r="F3179" i="1"/>
  <c r="H3179" i="1"/>
  <c r="E3180" i="1"/>
  <c r="F3180" i="1"/>
  <c r="H3180" i="1"/>
  <c r="E3181" i="1"/>
  <c r="F3181" i="1"/>
  <c r="H3181" i="1"/>
  <c r="E3182" i="1"/>
  <c r="F3182" i="1"/>
  <c r="H3182" i="1"/>
  <c r="E3183" i="1"/>
  <c r="F3183" i="1"/>
  <c r="H3183" i="1"/>
  <c r="E3184" i="1"/>
  <c r="F3184" i="1"/>
  <c r="H3184" i="1"/>
  <c r="E3185" i="1"/>
  <c r="F3185" i="1"/>
  <c r="H3185" i="1"/>
  <c r="E3186" i="1"/>
  <c r="F3186" i="1"/>
  <c r="H3186" i="1"/>
  <c r="E3187" i="1"/>
  <c r="F3187" i="1"/>
  <c r="H3187" i="1"/>
  <c r="E3188" i="1"/>
  <c r="F3188" i="1"/>
  <c r="H3188" i="1"/>
  <c r="E3189" i="1"/>
  <c r="F3189" i="1"/>
  <c r="H3189" i="1"/>
  <c r="E3190" i="1"/>
  <c r="F3190" i="1"/>
  <c r="H3190" i="1"/>
  <c r="E3191" i="1"/>
  <c r="F3191" i="1"/>
  <c r="H3191" i="1"/>
  <c r="E3192" i="1"/>
  <c r="F3192" i="1"/>
  <c r="H3192" i="1"/>
  <c r="E3193" i="1"/>
  <c r="F3193" i="1"/>
  <c r="H3193" i="1"/>
  <c r="E3194" i="1"/>
  <c r="F3194" i="1"/>
  <c r="H3194" i="1"/>
  <c r="E3195" i="1"/>
  <c r="F3195" i="1"/>
  <c r="H3195" i="1"/>
  <c r="E3196" i="1"/>
  <c r="F3196" i="1"/>
  <c r="H3196" i="1"/>
  <c r="E3197" i="1"/>
  <c r="F3197" i="1"/>
  <c r="H3197" i="1"/>
  <c r="E3198" i="1"/>
  <c r="F3198" i="1"/>
  <c r="H3198" i="1"/>
  <c r="E3199" i="1"/>
  <c r="F3199" i="1"/>
  <c r="H3199" i="1"/>
  <c r="E3200" i="1"/>
  <c r="F3200" i="1"/>
  <c r="H3200" i="1"/>
  <c r="E3201" i="1"/>
  <c r="F3201" i="1"/>
  <c r="H3201" i="1"/>
  <c r="E3202" i="1"/>
  <c r="F3202" i="1"/>
  <c r="H3202" i="1"/>
  <c r="E3203" i="1"/>
  <c r="F3203" i="1"/>
  <c r="H3203" i="1"/>
  <c r="E3204" i="1"/>
  <c r="F3204" i="1"/>
  <c r="H3204" i="1"/>
  <c r="E3205" i="1"/>
  <c r="F3205" i="1"/>
  <c r="H3205" i="1"/>
  <c r="E3206" i="1"/>
  <c r="F3206" i="1"/>
  <c r="H3206" i="1"/>
  <c r="E3207" i="1"/>
  <c r="F3207" i="1"/>
  <c r="H3207" i="1"/>
  <c r="E3208" i="1"/>
  <c r="F3208" i="1"/>
  <c r="H3208" i="1"/>
  <c r="E3209" i="1"/>
  <c r="F3209" i="1"/>
  <c r="H3209" i="1"/>
  <c r="E3210" i="1"/>
  <c r="F3210" i="1"/>
  <c r="H3210" i="1"/>
  <c r="E3211" i="1"/>
  <c r="F3211" i="1"/>
  <c r="H3211" i="1"/>
  <c r="E3212" i="1"/>
  <c r="F3212" i="1"/>
  <c r="H3212" i="1"/>
  <c r="E3213" i="1"/>
  <c r="F3213" i="1"/>
  <c r="H3213" i="1"/>
  <c r="E3214" i="1"/>
  <c r="F3214" i="1"/>
  <c r="H3214" i="1"/>
  <c r="E3215" i="1"/>
  <c r="F3215" i="1"/>
  <c r="H3215" i="1"/>
  <c r="E3216" i="1"/>
  <c r="F3216" i="1"/>
  <c r="H3216" i="1"/>
  <c r="E3217" i="1"/>
  <c r="F3217" i="1"/>
  <c r="H3217" i="1"/>
  <c r="E3218" i="1"/>
  <c r="F3218" i="1"/>
  <c r="H3218" i="1"/>
  <c r="E3219" i="1"/>
  <c r="F3219" i="1"/>
  <c r="H3219" i="1"/>
  <c r="E3220" i="1"/>
  <c r="F3220" i="1"/>
  <c r="H3220" i="1"/>
  <c r="E3221" i="1"/>
  <c r="F3221" i="1"/>
  <c r="H3221" i="1"/>
  <c r="E3222" i="1"/>
  <c r="F3222" i="1"/>
  <c r="H3222" i="1"/>
  <c r="E3223" i="1"/>
  <c r="F3223" i="1"/>
  <c r="H3223" i="1"/>
  <c r="E3224" i="1"/>
  <c r="F3224" i="1"/>
  <c r="H3224" i="1"/>
  <c r="E3225" i="1"/>
  <c r="F3225" i="1"/>
  <c r="H3225" i="1"/>
  <c r="E3226" i="1"/>
  <c r="F3226" i="1"/>
  <c r="H3226" i="1"/>
  <c r="E3227" i="1"/>
  <c r="F3227" i="1"/>
  <c r="H3227" i="1"/>
  <c r="E3228" i="1"/>
  <c r="F3228" i="1"/>
  <c r="H3228" i="1"/>
  <c r="E3229" i="1"/>
  <c r="F3229" i="1"/>
  <c r="H3229" i="1"/>
  <c r="E3230" i="1"/>
  <c r="F3230" i="1"/>
  <c r="H3230" i="1"/>
  <c r="E3231" i="1"/>
  <c r="F3231" i="1"/>
  <c r="H3231" i="1"/>
  <c r="E3232" i="1"/>
  <c r="F3232" i="1"/>
  <c r="H3232" i="1"/>
  <c r="E3233" i="1"/>
  <c r="F3233" i="1"/>
  <c r="H3233" i="1"/>
  <c r="E3234" i="1"/>
  <c r="F3234" i="1"/>
  <c r="H3234" i="1"/>
  <c r="E3235" i="1"/>
  <c r="F3235" i="1"/>
  <c r="H3235" i="1"/>
  <c r="E3236" i="1"/>
  <c r="F3236" i="1"/>
  <c r="H3236" i="1"/>
  <c r="E3237" i="1"/>
  <c r="F3237" i="1"/>
  <c r="H3237" i="1"/>
</calcChain>
</file>

<file path=xl/sharedStrings.xml><?xml version="1.0" encoding="utf-8"?>
<sst xmlns="http://schemas.openxmlformats.org/spreadsheetml/2006/main" count="720" uniqueCount="573">
  <si>
    <t>Name</t>
  </si>
  <si>
    <t>Check #</t>
  </si>
  <si>
    <t>Check Amount</t>
  </si>
  <si>
    <t>Check Date</t>
  </si>
  <si>
    <t>Invoice ID</t>
  </si>
  <si>
    <t>Invoice Desc</t>
  </si>
  <si>
    <t>Invoice Payment</t>
  </si>
  <si>
    <t>GL Description</t>
  </si>
  <si>
    <t>AIRPLEXUS  INC</t>
  </si>
  <si>
    <t>ALTICE USA INC</t>
  </si>
  <si>
    <t>BLUEBONNET PETROLEUM INC</t>
  </si>
  <si>
    <t>BUD CROSS FORD  INC.</t>
  </si>
  <si>
    <t>CENTURYLINK COMMUNICATIONS  LLC</t>
  </si>
  <si>
    <t>CHARITY ROGERS</t>
  </si>
  <si>
    <t>CITIBANK NA</t>
  </si>
  <si>
    <t>CORRECTIONS SOFTWARE SOLUTIONS LP</t>
  </si>
  <si>
    <t>DONNA DAMON</t>
  </si>
  <si>
    <t>JASON WALKER</t>
  </si>
  <si>
    <t>LEXISNEXIS RISK DATA MANAGEMENT INC</t>
  </si>
  <si>
    <t>MATTHEW L CLARK</t>
  </si>
  <si>
    <t>OFFICE DEPOT  INC</t>
  </si>
  <si>
    <t>ONE SOURCE TOXICOLOGY</t>
  </si>
  <si>
    <t>GE CAPITAL INFORMATION TECCHNOLOGY SOLUTIONS  INC</t>
  </si>
  <si>
    <t>ROBERT M &amp; DAN B ALFORD LLC</t>
  </si>
  <si>
    <t>CHARTER COMMUNICATIONS HOLDINGS  LLC</t>
  </si>
  <si>
    <t>TEXAS DEPT OF CRIMINAL JUSTICE</t>
  </si>
  <si>
    <t>TIB-THE INDEPENDENT BANKERSBANK</t>
  </si>
  <si>
    <t>UBEO OF EAST TEXAS  INC.</t>
  </si>
  <si>
    <t>UNITED STATES POSTAL SERVICE</t>
  </si>
  <si>
    <t>WALMART STORES TEXAS  LLC</t>
  </si>
  <si>
    <t>WORKERS ASSISTANCE PROGRAM</t>
  </si>
  <si>
    <t>CHRISTINA CANNON</t>
  </si>
  <si>
    <t>973 MATERIALS  LLC</t>
  </si>
  <si>
    <t>A PLUS BAIL BONDS</t>
  </si>
  <si>
    <t>ARNOLD OIL COMPANY OF AUSTIN LP</t>
  </si>
  <si>
    <t>TIMOTHY HALL</t>
  </si>
  <si>
    <t>AAA FIRE &amp; SAFETY EQUIP CO.  INC.</t>
  </si>
  <si>
    <t>ADAM DAKOTA ROWINS</t>
  </si>
  <si>
    <t>ADAM MUERY</t>
  </si>
  <si>
    <t>ADENA LEWIS</t>
  </si>
  <si>
    <t>DESIGNPD LLC</t>
  </si>
  <si>
    <t>ALAMO  GROUP (TX)  INC</t>
  </si>
  <si>
    <t>ALBERT NEAL PFEIFFER</t>
  </si>
  <si>
    <t>ALEJANDRO RODRIGUEZ</t>
  </si>
  <si>
    <t>ALETA PEACOCK</t>
  </si>
  <si>
    <t>ALLIED INSURANCE</t>
  </si>
  <si>
    <t>="15</t>
  </si>
  <si>
    <t>835  10/19/18"</t>
  </si>
  <si>
    <t>TEXAS ENTERPRISES INC.</t>
  </si>
  <si>
    <t>AMANDA BRUCE</t>
  </si>
  <si>
    <t>S &amp; D PLUMBING-GIDDINGS LLC</t>
  </si>
  <si>
    <t>AMAZON CAPITAL SERVICES INC</t>
  </si>
  <si>
    <t>AMAZON.COM LLC</t>
  </si>
  <si>
    <t>AMERICAN FASTENERS  INC.</t>
  </si>
  <si>
    <t>AMERICAN TIRE DISTRIBUTORS INC</t>
  </si>
  <si>
    <t>AMERISOURCEBERGEN</t>
  </si>
  <si>
    <t>AMG PRINTING &amp; MAILING  LLC</t>
  </si>
  <si>
    <t>ANDERSON &amp; ANDERSON LAW FIRM PC</t>
  </si>
  <si>
    <t>ANDERSON MACHINERY AUSTIN INC</t>
  </si>
  <si>
    <t>ANIMAL CARE EQUIPMENT</t>
  </si>
  <si>
    <t>ANIXTER INC</t>
  </si>
  <si>
    <t>MHI SOLUTIONS  LLC</t>
  </si>
  <si>
    <t>ASSOCIATION OF PUBLIC SAFETY COMM OFFICIALS</t>
  </si>
  <si>
    <t>C APPLEMAN ENT INC</t>
  </si>
  <si>
    <t>APRIL KUCK</t>
  </si>
  <si>
    <t>AQUA BEVERAGE COMPANY/OZARKA</t>
  </si>
  <si>
    <t>AQUA WATER SUPPLY CORPORATION</t>
  </si>
  <si>
    <t>ARA IMAGING / ST.DAVIDS IMAGING LP</t>
  </si>
  <si>
    <t>ARCHITEXAS - ARCHITECTURE  PLANNING &amp; HISTORIC PRE</t>
  </si>
  <si>
    <t>ARSENAL ADVERTISING LLC</t>
  </si>
  <si>
    <t>AT &amp; T</t>
  </si>
  <si>
    <t>AT&amp;T</t>
  </si>
  <si>
    <t>AT&amp;T MOBILITY</t>
  </si>
  <si>
    <t>AT&amp;T MOBILITY-W&amp;M</t>
  </si>
  <si>
    <t>AUGUST FORADORY</t>
  </si>
  <si>
    <t>GATEHOUSE MEDIA TEXAS HOLDINGS II  INC.</t>
  </si>
  <si>
    <t>AUSTIN GASTROENTEROLOGY ANESTHESIA ASSOC</t>
  </si>
  <si>
    <t>AUSTIN GASTROENTERLOGY</t>
  </si>
  <si>
    <t>AUSTIN KIDNEY ASSOCIATES  PA</t>
  </si>
  <si>
    <t>AUSTIN RADIOLOGICAL ASSOC</t>
  </si>
  <si>
    <t>AUSTIN SOUTHWEST ORTHOPAEDIC GROUP</t>
  </si>
  <si>
    <t>AUTUMN J SMITH</t>
  </si>
  <si>
    <t>JIM ATTRA INC</t>
  </si>
  <si>
    <t>BUILD A SIGN  LLC</t>
  </si>
  <si>
    <t>MICHAEL OLDHAM TIRE INC</t>
  </si>
  <si>
    <t>BASTROP AIR CONDITIONING &amp; HEATING</t>
  </si>
  <si>
    <t>BASTROP CENTRAL APPRAISAL DIST.</t>
  </si>
  <si>
    <t>BASTROP COUNTY SHERIFF'S DEPT</t>
  </si>
  <si>
    <t>="11</t>
  </si>
  <si>
    <t>505"</t>
  </si>
  <si>
    <t>DANIEL L HEPKER</t>
  </si>
  <si>
    <t>BASTROP COUNTY SOIL &amp; WATER CONSERVATION DISTRICT</t>
  </si>
  <si>
    <t>BASTROP COUNTY CARES</t>
  </si>
  <si>
    <t>BASTROP COUNTY MEDICAL ASSOC PA</t>
  </si>
  <si>
    <t>BASTROP MEDICAL CLINIC</t>
  </si>
  <si>
    <t>BASTROP OUTDOOR</t>
  </si>
  <si>
    <t>BASTROP PROVIDENCE  LLC</t>
  </si>
  <si>
    <t>BASTROP PUBLIC LIBRARY</t>
  </si>
  <si>
    <t>CITY OF BASTROP</t>
  </si>
  <si>
    <t>BASTROP TREE SERVICE  INC</t>
  </si>
  <si>
    <t>DAVID H OUTON</t>
  </si>
  <si>
    <t>BEN E KEITH CO.</t>
  </si>
  <si>
    <t>BENJAMIN FOODS  LLC</t>
  </si>
  <si>
    <t>BENTON ESKEW</t>
  </si>
  <si>
    <t>MULTI SERVICE CORP</t>
  </si>
  <si>
    <t>B C FOOD GROUP  LLC</t>
  </si>
  <si>
    <t>BETTY YOAST</t>
  </si>
  <si>
    <t>322"</t>
  </si>
  <si>
    <t>BEXAR COUNTY SHERIFF</t>
  </si>
  <si>
    <t>BICKERSTAFF HEATH DELGADO ACOSTA LLP</t>
  </si>
  <si>
    <t>BIG WRENCH ROAD SERVICE INC</t>
  </si>
  <si>
    <t>MAURINE MC LEAN</t>
  </si>
  <si>
    <t>BILLY JOSHUA GILL</t>
  </si>
  <si>
    <t>BIMBO FOODS INC</t>
  </si>
  <si>
    <t>BLAS J. COY  JR.</t>
  </si>
  <si>
    <t>BLUEBONNET AREA CRIME STOPPERS PROGRAM</t>
  </si>
  <si>
    <t>BLUEBONNET ELECTRIC COOPERATIVE  INC.</t>
  </si>
  <si>
    <t>BLUEBONNET TRAILS MHMR</t>
  </si>
  <si>
    <t>BOB BARKER COMPANY  INC.</t>
  </si>
  <si>
    <t>BOBBY BROWN</t>
  </si>
  <si>
    <t>BRAUNTEX MATERIALS INC</t>
  </si>
  <si>
    <t>BRAZORIA COUNTY SHERIFF</t>
  </si>
  <si>
    <t>BRIAN GARVEL</t>
  </si>
  <si>
    <t>BRIDGETTE ESCOBEDO</t>
  </si>
  <si>
    <t>LAW OFFICE OF BRYAN W. MCDANIEL  P.C.</t>
  </si>
  <si>
    <t>BUREAU OF VITAL STATISTICS</t>
  </si>
  <si>
    <t>CALLYO 2009 CORP</t>
  </si>
  <si>
    <t>CAPITAL AREA COUNCIL OF GOVERNMENTS</t>
  </si>
  <si>
    <t>CAPITOL BEARING SERVICE OF AUSTIN  INC.</t>
  </si>
  <si>
    <t>DAVID &amp; SUSAN MC ADAMS</t>
  </si>
  <si>
    <t>CARAHSOFT TECHNOLOGY CORPORATION</t>
  </si>
  <si>
    <t>TIB-THE INDEPENDENT BANKERS BANK</t>
  </si>
  <si>
    <t>CECIL R REYNOLDS PHD</t>
  </si>
  <si>
    <t>CENTERPOINT ENERGY</t>
  </si>
  <si>
    <t>CENTEX MATERIALS LLC</t>
  </si>
  <si>
    <t>CENTEX MECHANICAL INC</t>
  </si>
  <si>
    <t>CENTRAL TEXAS BARRICADES INC</t>
  </si>
  <si>
    <t>CENTRAL TEXAS AUTOPSY</t>
  </si>
  <si>
    <t>CHARLES W CARVER</t>
  </si>
  <si>
    <t>CHARM-TEX</t>
  </si>
  <si>
    <t>CHESTNUT STREET BONDING COMPANY</t>
  </si>
  <si>
    <t>CHILDREN'S ADVOCACY CENTER</t>
  </si>
  <si>
    <t>CHRIS MATT DILLON</t>
  </si>
  <si>
    <t>CINTAS</t>
  </si>
  <si>
    <t>CINTAS CORPORATION</t>
  </si>
  <si>
    <t>CINTAS CORPORATION #86</t>
  </si>
  <si>
    <t>CITY OF SMITHVILLE</t>
  </si>
  <si>
    <t>CLIFFORD POWER SYSTEMS INC</t>
  </si>
  <si>
    <t>CLINICAL PATHOLOGY ASSOC. OF AUSTIN</t>
  </si>
  <si>
    <t>CLINICAL PATHOLOGY LABORATORIES INC</t>
  </si>
  <si>
    <t>CNA SURETY</t>
  </si>
  <si>
    <t>COLORADO COUNTY SHERIFF</t>
  </si>
  <si>
    <t>SHIVOHAM GROUP LP</t>
  </si>
  <si>
    <t>COMMUNITY HEALTH CENTERS</t>
  </si>
  <si>
    <t>CONSOLIDATED ELECTRIC DIST</t>
  </si>
  <si>
    <t>CONVERGENCE CABLING  INC.</t>
  </si>
  <si>
    <t>CORAM ALTERNATE SITE SERVICES  INC</t>
  </si>
  <si>
    <t>COTHRON SECURITY SOLUTIONS  LLC</t>
  </si>
  <si>
    <t>CRESSIDA EVELYN KWOLEK  Ph.D.</t>
  </si>
  <si>
    <t>CRISTINA HELMERICHS</t>
  </si>
  <si>
    <t>CRYSTAL DEAR</t>
  </si>
  <si>
    <t>CPI QUALIFIED PLAN CONSULTANTS  INC.</t>
  </si>
  <si>
    <t>CUSTOM PRODUCTS CORPORATION</t>
  </si>
  <si>
    <t>DAHILL</t>
  </si>
  <si>
    <t>DALLAS COUNTY CONSTABLE PCT 1</t>
  </si>
  <si>
    <t>DAN HAYES</t>
  </si>
  <si>
    <t>DANA SAFETY SUPPLY  INC.</t>
  </si>
  <si>
    <t>DAVID B BROOKS</t>
  </si>
  <si>
    <t>DAVID C. FOLKERS  M.D.</t>
  </si>
  <si>
    <t>DAVID M COLLINS</t>
  </si>
  <si>
    <t>DAVID WILHELM</t>
  </si>
  <si>
    <t>DELL</t>
  </si>
  <si>
    <t>SETON FAMILY OF HOSPITALS</t>
  </si>
  <si>
    <t>DENTRUST DENTAL TX PC</t>
  </si>
  <si>
    <t>DEREK KEY</t>
  </si>
  <si>
    <t>DIANE GUTHRIE</t>
  </si>
  <si>
    <t>DICKENS LOCKSMITH INC</t>
  </si>
  <si>
    <t>DEPARTMENT OF INFORMATION RESOURCES</t>
  </si>
  <si>
    <t>DISCOUNT DOOR &amp; METAL  LLC</t>
  </si>
  <si>
    <t>DONNIE STARK</t>
  </si>
  <si>
    <t>DOUBLE D INTERNATIONAL FOOD CO.  INC.</t>
  </si>
  <si>
    <t>DUNNE &amp; JUAREZ L.L.C.</t>
  </si>
  <si>
    <t>DURAN GRAVEL CO. INC</t>
  </si>
  <si>
    <t>ECOLAB INC</t>
  </si>
  <si>
    <t>EDEN K9 CONSULTING &amp; TRAINING CORP</t>
  </si>
  <si>
    <t>EDUARDO GUERRERO</t>
  </si>
  <si>
    <t>ELECTION SYSTEMS &amp; SOFTWARE INC</t>
  </si>
  <si>
    <t>RALPH DAVID GLASS</t>
  </si>
  <si>
    <t>CITY OF ELGIN UTILITIES</t>
  </si>
  <si>
    <t>ELLIOTT ELECTRIC SUPPLY INC</t>
  </si>
  <si>
    <t>ELLIS COUNTY SHERIFF</t>
  </si>
  <si>
    <t>ZH AIRPORT  LLC</t>
  </si>
  <si>
    <t>ENVIRONMENTAL SYSTEMS RESEARCH INSTITUTE  INC</t>
  </si>
  <si>
    <t>ERGON ASPHALT &amp; EMULSIONS INC</t>
  </si>
  <si>
    <t>EWALD KUBOTA  INC.</t>
  </si>
  <si>
    <t>BASTROP COUNTY WOMEN'S SHELTER</t>
  </si>
  <si>
    <t>FAMILY HEALTH CENTER OF BASTROP PLLC</t>
  </si>
  <si>
    <t>FBI-LEEDA INC</t>
  </si>
  <si>
    <t>FEDERAL EXPRESS</t>
  </si>
  <si>
    <t>FEDEX</t>
  </si>
  <si>
    <t>FIRST SPEAR LLC</t>
  </si>
  <si>
    <t>FLEETPRIDE</t>
  </si>
  <si>
    <t>FOREMOST COUNTY MUTUAL INS CO</t>
  </si>
  <si>
    <t>347  10/01/18"</t>
  </si>
  <si>
    <t>FORREST L. SANDERSON</t>
  </si>
  <si>
    <t>FRANCES HUNTER</t>
  </si>
  <si>
    <t>AUSTIN TRUCK &amp; EQUIPMENT  LTD</t>
  </si>
  <si>
    <t>EUGENE W BRIGGS JR</t>
  </si>
  <si>
    <t>GALLS PARENT HOLDINGS LLC</t>
  </si>
  <si>
    <t>GALVESTON COUNTY SHERIFF</t>
  </si>
  <si>
    <t>GARMENTS TO GO  INC</t>
  </si>
  <si>
    <t>GOVERNMENTAL COLLECTORS ASSOCIATION OF TEXAS</t>
  </si>
  <si>
    <t>BRIDGESTONE AMERICAS INC</t>
  </si>
  <si>
    <t>GERMAN S. BLANCO</t>
  </si>
  <si>
    <t>GILLESPIE COUNTY SHERIFF</t>
  </si>
  <si>
    <t>GIPSON PENDERGRASS PEOPLE'S MORTUARY LLC</t>
  </si>
  <si>
    <t>GRAINGER INC</t>
  </si>
  <si>
    <t>GRAND JUNCTION NEWSPAPERS</t>
  </si>
  <si>
    <t>GRAPEVINE DODGE CHRYSLER JEEP  LLC</t>
  </si>
  <si>
    <t>GREATER ELGIN CHAMBER OF COMMERCE</t>
  </si>
  <si>
    <t>GRUBER TECHNICAL</t>
  </si>
  <si>
    <t>GULF COAST PAPER CO. INC.</t>
  </si>
  <si>
    <t>HARRIS COUNTY CONSTABLE PCT 1</t>
  </si>
  <si>
    <t>HEADSETS DIRECT INC.</t>
  </si>
  <si>
    <t>HEARTLAND QUARRIES  LLC</t>
  </si>
  <si>
    <t>HENDERSON COUNTY SHERIFF</t>
  </si>
  <si>
    <t>HENGST PRINTING &amp; SUPPLIES</t>
  </si>
  <si>
    <t>BUTLER ANIMAL HEALTH</t>
  </si>
  <si>
    <t>HERSHCAP BACKHOE &amp; DITCHING  INC.</t>
  </si>
  <si>
    <t>="10</t>
  </si>
  <si>
    <t>658  10/12/18"</t>
  </si>
  <si>
    <t>HILL COUNTRY ELECTRIC SUPPLY</t>
  </si>
  <si>
    <t>HILLARY LONG</t>
  </si>
  <si>
    <t>1859 HISTORIC HOTELS  LTD</t>
  </si>
  <si>
    <t>HOCKLEY COUNTY SHERIFF</t>
  </si>
  <si>
    <t>BASCOM L HODGES JR</t>
  </si>
  <si>
    <t>HODGSON G ECKEL</t>
  </si>
  <si>
    <t>BD HOLT CO</t>
  </si>
  <si>
    <t>CITIBANK (SOUTH DAKOTA)N.A./THE HOME DEPOT</t>
  </si>
  <si>
    <t>RS EQUIPMENT CO</t>
  </si>
  <si>
    <t>HUDSON ENERGY CORP</t>
  </si>
  <si>
    <t>ICS</t>
  </si>
  <si>
    <t>IDW LLC</t>
  </si>
  <si>
    <t>INCIDENT RESPONSE TECHNOLOGIES INC</t>
  </si>
  <si>
    <t>INDIGENT HEALTHCARE SOLUTIONS</t>
  </si>
  <si>
    <t>INTERNATIONAL PUBLIC MANAGMENT ASSOCIATION FOR HR</t>
  </si>
  <si>
    <t>IRON MOUNTAIN RECORDS MGMT INC</t>
  </si>
  <si>
    <t>INSTITUTE OF SUPPLY MANGEMENT-RIO GRANDE VALLEY</t>
  </si>
  <si>
    <t>JAMES ALLEN</t>
  </si>
  <si>
    <t>JAMES O. BURKE</t>
  </si>
  <si>
    <t>JAY'S TIRE &amp; AUTOMOTIVE REPAIR INC</t>
  </si>
  <si>
    <t>JENKINS &amp; JENKINS LLP</t>
  </si>
  <si>
    <t>383"</t>
  </si>
  <si>
    <t>305"</t>
  </si>
  <si>
    <t>JAMES MORGAN</t>
  </si>
  <si>
    <t>JOHN DEERE FINANCIAL f.s.b.</t>
  </si>
  <si>
    <t>JORDAN MC DONALD</t>
  </si>
  <si>
    <t>JUSTIN MATTHEW FOHN</t>
  </si>
  <si>
    <t>KIP &amp; CECI CHEMICAL SOLUTIONS</t>
  </si>
  <si>
    <t>KATHRYN HOLBERG</t>
  </si>
  <si>
    <t>KELLY-MOORE PAINT COMPANY  INC</t>
  </si>
  <si>
    <t>KEN'S BODY SHOP  LLC</t>
  </si>
  <si>
    <t>KENNETH GONSOULIN</t>
  </si>
  <si>
    <t>="16</t>
  </si>
  <si>
    <t>181  10/9/18"</t>
  </si>
  <si>
    <t>181  11/8/18"</t>
  </si>
  <si>
    <t>KENNETH LIMUEL</t>
  </si>
  <si>
    <t>KENT BROUSSARD TOWER RENTAL INC</t>
  </si>
  <si>
    <t>KIMCO SERVICES  INC</t>
  </si>
  <si>
    <t>KLEIBER FORD TRACTOR  INC.</t>
  </si>
  <si>
    <t>KRISTI POWELL</t>
  </si>
  <si>
    <t>KUBOTA TRACTOR CORPORATION</t>
  </si>
  <si>
    <t>LA GRANGE FORD</t>
  </si>
  <si>
    <t>THE LA GRANGE PARTS HOUSE INC</t>
  </si>
  <si>
    <t>LABATT INSTITUTIONAL SUPPLY CO</t>
  </si>
  <si>
    <t>LAUREN CONCRETE  INC</t>
  </si>
  <si>
    <t>LAURENCE DUNNE  II</t>
  </si>
  <si>
    <t>LAURIE INGRAM</t>
  </si>
  <si>
    <t>J. MARQUE MOORE</t>
  </si>
  <si>
    <t>LEE COUNTY WATER SUPPLY CORP</t>
  </si>
  <si>
    <t>LENNOX INDUSTRIES INC</t>
  </si>
  <si>
    <t>LEROY FERRELL</t>
  </si>
  <si>
    <t>LEXISNEXIS RISK DATA MGMT INC</t>
  </si>
  <si>
    <t>LIBERTY FIRE PROTECTION INC</t>
  </si>
  <si>
    <t>LIBERTY TIRE RECYCLING</t>
  </si>
  <si>
    <t>LINDA HARMON-TAX ASSESSOR</t>
  </si>
  <si>
    <t>LIQUID ENVIRONMENTAL SOLUTIONS</t>
  </si>
  <si>
    <t>LISA BARRIGA</t>
  </si>
  <si>
    <t>LISA M. MIMS</t>
  </si>
  <si>
    <t>LISA SMITH</t>
  </si>
  <si>
    <t>LLOYD GOSSELINK ROCHELLE &amp; TOWNSEND. PC</t>
  </si>
  <si>
    <t>LONE STAR CIRCLE OF CARE</t>
  </si>
  <si>
    <t>UNITED KWB COLLABORATIONS LLC</t>
  </si>
  <si>
    <t>LONGHORN EMERGENCY MEDICAL ASSOC PA</t>
  </si>
  <si>
    <t>LONGHORN MOBILE GLASS SERVICE INC</t>
  </si>
  <si>
    <t>LONNIE LAWRENCE DAVIS JR</t>
  </si>
  <si>
    <t>LOWE'S</t>
  </si>
  <si>
    <t>LYNN MITCHELL</t>
  </si>
  <si>
    <t>LYNN PEAVEY CO.</t>
  </si>
  <si>
    <t>MARIA ANFOSSO</t>
  </si>
  <si>
    <t>MARK WHITE</t>
  </si>
  <si>
    <t>JOHN W GASPARINI INC</t>
  </si>
  <si>
    <t>MARY BETH SCOTT</t>
  </si>
  <si>
    <t>MATHESON TRI-GAS INC</t>
  </si>
  <si>
    <t>MAURICE C. COOK</t>
  </si>
  <si>
    <t>MC LENNAN COUNTY CONSTABLE PCT 1</t>
  </si>
  <si>
    <t>McCOY'S BUILDING SUPPLY CENTER</t>
  </si>
  <si>
    <t>McCREARY  VESELKA  BRAGG &amp; ALLEN P</t>
  </si>
  <si>
    <t>McDEE ENTERPRISES</t>
  </si>
  <si>
    <t>TERENCE WAYNE MEADOWS</t>
  </si>
  <si>
    <t>MEDIMPACT HEALTHCARE SYSTEMS INC</t>
  </si>
  <si>
    <t>MEGAN FAITH BROWN</t>
  </si>
  <si>
    <t>MICHAEL HARBICH</t>
  </si>
  <si>
    <t>MICHELE FRITSCHE C.S.R.</t>
  </si>
  <si>
    <t>GALLS  LLC</t>
  </si>
  <si>
    <t>Children's Advocacy Center</t>
  </si>
  <si>
    <t>Family Crisis Center</t>
  </si>
  <si>
    <t>COURT APPOINTED SPECIAL ADVOCA</t>
  </si>
  <si>
    <t>DEBORA DOHERTY BRESETTE</t>
  </si>
  <si>
    <t>DEAN FREDERICK SCHOONMAKER</t>
  </si>
  <si>
    <t>JOSEPH PAUL PEKAR JR</t>
  </si>
  <si>
    <t>DANA MARI SANCHEZ</t>
  </si>
  <si>
    <t>JOHN WILLIAM SUMMERS II</t>
  </si>
  <si>
    <t>JAMES DAVID RICE</t>
  </si>
  <si>
    <t>HOWARD JOSEPH WEIDKNECHT</t>
  </si>
  <si>
    <t>MAYRA J MCALISTER</t>
  </si>
  <si>
    <t>AUSTIN RAY WOODS</t>
  </si>
  <si>
    <t>BAILEY MARIE BISHOP</t>
  </si>
  <si>
    <t>BLANDA BURNEY HOLLOWAY</t>
  </si>
  <si>
    <t>RONNIE ARNOLD ROBINSON</t>
  </si>
  <si>
    <t>GEORGE EDWARD CAMERON</t>
  </si>
  <si>
    <t>HALEY ELISABETH BISHOP</t>
  </si>
  <si>
    <t>SHIRLEY EDWARDS BAKER</t>
  </si>
  <si>
    <t>DERA LYNN RONQUILLO</t>
  </si>
  <si>
    <t>RONA KAY CONRING</t>
  </si>
  <si>
    <t>CHELSEA LEIGH WYLES</t>
  </si>
  <si>
    <t>THOMAS MACON THOMPSON</t>
  </si>
  <si>
    <t>STEVEN ERNST ACKERMANN</t>
  </si>
  <si>
    <t>ALICIA MENDOZA CASTILLO</t>
  </si>
  <si>
    <t>LAURA STARK CUNNINGHAM</t>
  </si>
  <si>
    <t>KAYLA LYNN PENROD</t>
  </si>
  <si>
    <t>ANNE ELIZABETH STROHM</t>
  </si>
  <si>
    <t>DAVID PAUL YEAKLE</t>
  </si>
  <si>
    <t>SARA MCCARTY ALEMAN</t>
  </si>
  <si>
    <t>FRED ALLEN BURRELL SR</t>
  </si>
  <si>
    <t>RHONDA MARIE PENA</t>
  </si>
  <si>
    <t>ANN MARIE GERAGHTY</t>
  </si>
  <si>
    <t>CHANNA MIA GUERRERO</t>
  </si>
  <si>
    <t>CARLOS ANTONIO GANDIA</t>
  </si>
  <si>
    <t>JAMES ALTON STUART</t>
  </si>
  <si>
    <t>JAMES CHRISTOPHER LEYENDECKER</t>
  </si>
  <si>
    <t>JEFFERY WADE BROWNING</t>
  </si>
  <si>
    <t>MELTON LEVALLE PENSON JR</t>
  </si>
  <si>
    <t>JESUS PENA JR</t>
  </si>
  <si>
    <t>ERIN MARIE PERKINS</t>
  </si>
  <si>
    <t>ELENA VLADIMIROVNA JOHNSON</t>
  </si>
  <si>
    <t>ZO MIA LOCK</t>
  </si>
  <si>
    <t>NICK B MARTINEZ</t>
  </si>
  <si>
    <t>JULIA SCOTT CUMMINGS</t>
  </si>
  <si>
    <t>ELIZABETH D MILLER-RIVERA</t>
  </si>
  <si>
    <t>SONYA MARIE AMAYA</t>
  </si>
  <si>
    <t>STEWART WAYNE MORRILL</t>
  </si>
  <si>
    <t>MARGARET ROBERTA CAFFALETTE</t>
  </si>
  <si>
    <t>CELIA ANNETTE FAUBERT</t>
  </si>
  <si>
    <t>CINDY MARISA SAUCEDO</t>
  </si>
  <si>
    <t>STEPHEN LEE SAVAGE</t>
  </si>
  <si>
    <t>REBEKAH KATE SANTOY</t>
  </si>
  <si>
    <t>LISA ANN GLATT</t>
  </si>
  <si>
    <t>CASEY SHEA AUSTIN</t>
  </si>
  <si>
    <t>PAUL STEVENS STLOUIS</t>
  </si>
  <si>
    <t>CECIL MATTHEW LANE</t>
  </si>
  <si>
    <t>MARK ANTHONY YAKLIN</t>
  </si>
  <si>
    <t>JEREMY ANGEL ZUNIGA</t>
  </si>
  <si>
    <t>DAVID RIVERA SOLORZANO</t>
  </si>
  <si>
    <t>BARBARA LEDESMA-TREJO</t>
  </si>
  <si>
    <t>DAVID FRANK CROSBY</t>
  </si>
  <si>
    <t>BOBBY VON WINKLER</t>
  </si>
  <si>
    <t>ARMANDO ARMAS</t>
  </si>
  <si>
    <t>ANTHONY JULIAN SANTIAGO ROJAS</t>
  </si>
  <si>
    <t>JAMES LEROY STOWE</t>
  </si>
  <si>
    <t>KRISTIE BELLA WEHE</t>
  </si>
  <si>
    <t>LISA BENDELE REGISTER</t>
  </si>
  <si>
    <t>RACHEL MICHELLE SCARBROUGH</t>
  </si>
  <si>
    <t>KAREN JOY REYNOLDS</t>
  </si>
  <si>
    <t>CHERYL LYNN HAWKINS</t>
  </si>
  <si>
    <t>JOHN PAUL KIRKLAND</t>
  </si>
  <si>
    <t>BONNIE SUE SHIMEK</t>
  </si>
  <si>
    <t>SOUTHWEST TEXAS EQUIPMENT DIST INC</t>
  </si>
  <si>
    <t>MONARCH DISPOSAL  LLC</t>
  </si>
  <si>
    <t>MOORE CLEAN</t>
  </si>
  <si>
    <t>MOORE MEDICAL LLC</t>
  </si>
  <si>
    <t>HAJOCA CORPORATION</t>
  </si>
  <si>
    <t>MORSCO SUPPLY  LLC</t>
  </si>
  <si>
    <t>MOTOROLA INC</t>
  </si>
  <si>
    <t>NALCO COMPANY LLC</t>
  </si>
  <si>
    <t>NALLEY HVAC MECHANICAL LLC</t>
  </si>
  <si>
    <t>NATIONAL FOOD GROUP INC</t>
  </si>
  <si>
    <t>NEAFCS</t>
  </si>
  <si>
    <t>O'REILLY AUTOMOTIVE  INC.</t>
  </si>
  <si>
    <t>SOUTHERN FOODS GROUP LP</t>
  </si>
  <si>
    <t>OFFICE DEPOT</t>
  </si>
  <si>
    <t>WE GET LIT  LLC</t>
  </si>
  <si>
    <t>ROGER C. OSBORN</t>
  </si>
  <si>
    <t>OUTLAW TRUCK OUTFITTERS</t>
  </si>
  <si>
    <t>SL PARKER PARTNERSHIP LLC</t>
  </si>
  <si>
    <t>PATRICK ELECTRIC SERVICE</t>
  </si>
  <si>
    <t>JACOB  COX</t>
  </si>
  <si>
    <t>PATTERSON  VETERINARY SUPPLY INC</t>
  </si>
  <si>
    <t>PATTILLO  BROWN &amp; HILL   LLP</t>
  </si>
  <si>
    <t>PHILIP R DUCLOUX</t>
  </si>
  <si>
    <t>POPE PRO ENTERPRISES INC</t>
  </si>
  <si>
    <t>PRODUCTIVITY CENTER INC</t>
  </si>
  <si>
    <t>PROGRESSIVE - RESTITUTION ACCT</t>
  </si>
  <si>
    <t>181  10/09/18"</t>
  </si>
  <si>
    <t>PROSPERITY BANK</t>
  </si>
  <si>
    <t>="13</t>
  </si>
  <si>
    <t>122  10/16/18"</t>
  </si>
  <si>
    <t>ELGIN PROVIDENCE LLC</t>
  </si>
  <si>
    <t>PUTNAM KAYE REITER</t>
  </si>
  <si>
    <t>QUEST DIAGNOSTICS CLINICAL LABORATORIES</t>
  </si>
  <si>
    <t>R &amp; D BISHOP INC</t>
  </si>
  <si>
    <t>NESTLE WATERS N AMERICA INC</t>
  </si>
  <si>
    <t>REPUBLIC SERVICES INC BFI WASTE SERVICE</t>
  </si>
  <si>
    <t>REPUBLIC TRUCK SALES   PARTS  &amp; REPAIRS LLC</t>
  </si>
  <si>
    <t>RESERVE ACCOUNT</t>
  </si>
  <si>
    <t>REYNOLDS &amp; KEINARTH</t>
  </si>
  <si>
    <t>RIATA FORD</t>
  </si>
  <si>
    <t>RICHARD ALLAN DICKMAN JR</t>
  </si>
  <si>
    <t>RICOH USA INC</t>
  </si>
  <si>
    <t>CIT TECHNOLOGY FINANCE</t>
  </si>
  <si>
    <t>ROADRUNNER RADIOLOGY EQUIP LLC</t>
  </si>
  <si>
    <t>ROBERT C. STEUBING</t>
  </si>
  <si>
    <t>ROBERT E CANTU M.D. P.A.</t>
  </si>
  <si>
    <t>ROSE PIETSCH COUNTY CLERK</t>
  </si>
  <si>
    <t>ST DAVID'S HEALTHCARE PARTNERSHIP</t>
  </si>
  <si>
    <t>SAFELITE FULFILLMENT INC</t>
  </si>
  <si>
    <t>TRAVIS CNTY DOMESTIC VIOLENCE &amp; SEXUAL ASSAULT</t>
  </si>
  <si>
    <t>SAMMY LERMA III MD</t>
  </si>
  <si>
    <t>SCOTT &amp; WHITE HOSPITAL - TAYLOR</t>
  </si>
  <si>
    <t>SCOTT &amp; WHITE MEM HOSPITAL</t>
  </si>
  <si>
    <t>SCOTT MERRIMAN INC</t>
  </si>
  <si>
    <t>SECURUS TECHNOLOGIES INC</t>
  </si>
  <si>
    <t>SHARON HANCOCK</t>
  </si>
  <si>
    <t>="14</t>
  </si>
  <si>
    <t>962  10/16/18"</t>
  </si>
  <si>
    <t>FERRELLGAS  LP</t>
  </si>
  <si>
    <t>SHEA MAYBERRY</t>
  </si>
  <si>
    <t>SHI GOVERNMENT SOLUTIONS INC.</t>
  </si>
  <si>
    <t>SHOPPA'S FARM SUPPLY</t>
  </si>
  <si>
    <t>SHRED-IT US HOLDCO  INC</t>
  </si>
  <si>
    <t>SIGNATURE SMILES</t>
  </si>
  <si>
    <t>SILSBEE FORD</t>
  </si>
  <si>
    <t>SIRCHIE FINGER PRINT LABORATORIES</t>
  </si>
  <si>
    <t>SKILLPATH NATIONAL SEMINARS TRAINING</t>
  </si>
  <si>
    <t>SMITH STORES  INC.</t>
  </si>
  <si>
    <t>SMITHVILLE AUTO PARTS  INC</t>
  </si>
  <si>
    <t>SOLARWINDS</t>
  </si>
  <si>
    <t>SOUTHERN TIRE MART LLC</t>
  </si>
  <si>
    <t>DS WATERS OF AMERICA INC</t>
  </si>
  <si>
    <t>ST. MARK'S MEDICAL CENTER</t>
  </si>
  <si>
    <t>ST.DAVID'S HEALTHCARE PARTNERSHIP</t>
  </si>
  <si>
    <t>ST.DAVIDS HEART &amp; VASCULAR  PLLC</t>
  </si>
  <si>
    <t>STANLEY CONVERGENT SECURITY SOLUTIONS  INC</t>
  </si>
  <si>
    <t>STAPLES ADVANTAGE</t>
  </si>
  <si>
    <t>STATE BAR OF TEXAS</t>
  </si>
  <si>
    <t>STATE FARM</t>
  </si>
  <si>
    <t>STATE OF TEXAS</t>
  </si>
  <si>
    <t>STERICYCLE  INC.</t>
  </si>
  <si>
    <t>STEVE GRANADO</t>
  </si>
  <si>
    <t>STEVEN A LOGSDON</t>
  </si>
  <si>
    <t>STEVEN A LONG</t>
  </si>
  <si>
    <t>STEVEN HILBIG</t>
  </si>
  <si>
    <t>STUDIO SOUP HOLDINGS  LLC</t>
  </si>
  <si>
    <t>MATTHEW LEE SULLINS</t>
  </si>
  <si>
    <t>SUN COAST RESOURCES</t>
  </si>
  <si>
    <t>TAMARA BATOT</t>
  </si>
  <si>
    <t>TAMMY GOODSON</t>
  </si>
  <si>
    <t>TARRANT COUNTY CONSTABLE PCT 7</t>
  </si>
  <si>
    <t>TAS ENVIRONMENTAL SERVICES  LP</t>
  </si>
  <si>
    <t>TAVCO SERVICES INC</t>
  </si>
  <si>
    <t>TAYLOR SECURITY SYSTEMS  LLC</t>
  </si>
  <si>
    <t>TEJAS ELEVATOR COMPANY</t>
  </si>
  <si>
    <t>JOHN J FIETSAM INC</t>
  </si>
  <si>
    <t>TEX-CON OIL CO</t>
  </si>
  <si>
    <t>TEXAS AGGREGATES  LLC</t>
  </si>
  <si>
    <t>TEXAS ASSOCIATES INSURORS AGENCY</t>
  </si>
  <si>
    <t>TEXAS BLACKLAND HARDWARE</t>
  </si>
  <si>
    <t>TEXAS DEPARTMENT OF FAMILY PROTECTIVE SERVICES</t>
  </si>
  <si>
    <t>TEXAS DEPT OF PUBLIC SAFETY</t>
  </si>
  <si>
    <t>072  10/05/18"</t>
  </si>
  <si>
    <t>TEXAS ECONOMIC DEVELOPMENT COUNCIL</t>
  </si>
  <si>
    <t>TEXAS FIRST CAT RENTAL</t>
  </si>
  <si>
    <t>TEXAS ASSOCIATION OF COUNTIES</t>
  </si>
  <si>
    <t>TEXAS JUSTICE COURT TRAINING CENTER</t>
  </si>
  <si>
    <t>TEXAS PARKS &amp; WILDLIFE DEPARTMENT</t>
  </si>
  <si>
    <t>TEXAS PRISONER TRANSPORTATION DIVISION LLC</t>
  </si>
  <si>
    <t>TEXAS PUBLIC HEALTH ASSOCIATION</t>
  </si>
  <si>
    <t>TEXAS VISION CLINIC  PLLC</t>
  </si>
  <si>
    <t>BUG MASTER EXTERMINATING SERVICES  LTD</t>
  </si>
  <si>
    <t>JAMES ANDREW CASEY</t>
  </si>
  <si>
    <t>THE JWLEHMAN GROUP  LLC</t>
  </si>
  <si>
    <t>THE MICHELSON FOUND ANIMALS FOUNDATION  INC.</t>
  </si>
  <si>
    <t>RICHARD NELSON MOORE</t>
  </si>
  <si>
    <t>THE NITSCHE GROUP</t>
  </si>
  <si>
    <t>WEST PUBLISHING CORPORATION</t>
  </si>
  <si>
    <t>TIM MAHONEY  ATTORNEY AT LAW  PC</t>
  </si>
  <si>
    <t>TWE-ADVANCE/NEWHOUSE PARTNERSHIP</t>
  </si>
  <si>
    <t>TOMMY POTS</t>
  </si>
  <si>
    <t>TRACTOR SUPPLY CREDIT PLAN</t>
  </si>
  <si>
    <t>TRAVIS COUNTY CONSTABLE PCT 5</t>
  </si>
  <si>
    <t>TRAVIS COUNTY CLERK</t>
  </si>
  <si>
    <t>TRAVIS COUNTY MEDICAL EXAMINER</t>
  </si>
  <si>
    <t>KAUFFMAN TIRE</t>
  </si>
  <si>
    <t>TRI-COUNTY PRACTICE ASSOCIATION</t>
  </si>
  <si>
    <t>TROY WALTERS</t>
  </si>
  <si>
    <t>TTIA</t>
  </si>
  <si>
    <t>TULL FARLEY</t>
  </si>
  <si>
    <t>TYLER TECHNOLOGIES INC</t>
  </si>
  <si>
    <t>ULINE</t>
  </si>
  <si>
    <t>COUFAL-PRATER EQUIPMENT  LLC</t>
  </si>
  <si>
    <t>UNITED REFRIGERATION INC</t>
  </si>
  <si>
    <t>UPS</t>
  </si>
  <si>
    <t>VICTORIA COUNTY SHERIFF</t>
  </si>
  <si>
    <t>TEXAS DEPARTMENT OF STATE HEALTH SERVICES</t>
  </si>
  <si>
    <t>US BANK NA</t>
  </si>
  <si>
    <t>WAL-MART  BASTROP</t>
  </si>
  <si>
    <t>645  10/11/18"</t>
  </si>
  <si>
    <t>WALLER COUNTY ASPHALT INC</t>
  </si>
  <si>
    <t>WALMART COMMUNITY BRC</t>
  </si>
  <si>
    <t>WASTE MANAGEMENT OF TEXAS INC</t>
  </si>
  <si>
    <t>WATCH GUARD VIDEO</t>
  </si>
  <si>
    <t>WATERLOGIC USA INC</t>
  </si>
  <si>
    <t>WAYNE MEUTH</t>
  </si>
  <si>
    <t>="12</t>
  </si>
  <si>
    <t>911  10/25/18"</t>
  </si>
  <si>
    <t>PROGRESSIVE WASTE SOLUTIONS OF TX. INC.</t>
  </si>
  <si>
    <t>WIND KNOT INCORPORATED</t>
  </si>
  <si>
    <t>COBRA EQUIPMENT RENTALS</t>
  </si>
  <si>
    <t>WEI-ANN LIN (REIMBURSEMENTS ONLY)</t>
  </si>
  <si>
    <t>MAO PHARMACY INC</t>
  </si>
  <si>
    <t>WIDNER &amp; ALFORD OMS  PLLC</t>
  </si>
  <si>
    <t>WILLIAMSON COUNTY CONSTABLE PCT 3</t>
  </si>
  <si>
    <t>WILSON 5 LAWN CARE</t>
  </si>
  <si>
    <t>XEROX CORPORATION</t>
  </si>
  <si>
    <t>YOLANDA MORALES</t>
  </si>
  <si>
    <t>YOLANDA WHEATON</t>
  </si>
  <si>
    <t>ZBATTERY.COM INC</t>
  </si>
  <si>
    <t>ZOETIS US LLC</t>
  </si>
  <si>
    <t>A &amp; E WELDING</t>
  </si>
  <si>
    <t>CLEGG INDUSTRIES INC.</t>
  </si>
  <si>
    <t>ELBERT ESQUIVEL</t>
  </si>
  <si>
    <t>FIRST NATIONAL BANK</t>
  </si>
  <si>
    <t>GEOGRAPHIC INFORMATION SERVICES  INC</t>
  </si>
  <si>
    <t>PARK CONTRACTORS  INC</t>
  </si>
  <si>
    <t>SPEED FAB-CRETE CORPORATION</t>
  </si>
  <si>
    <t>TREEFOLKS INC</t>
  </si>
  <si>
    <t>ALLSTATE-AMERICAN HERITAGE LIFE INS CO</t>
  </si>
  <si>
    <t>BASTROP CNTY ADULT PROBATION</t>
  </si>
  <si>
    <t>COLONIAL LIFE &amp; ACCIDENT INS. CO.</t>
  </si>
  <si>
    <t>DEBORAH B LANGEHENNIG</t>
  </si>
  <si>
    <t>GUARDIAN</t>
  </si>
  <si>
    <t>INTERNAL REVENUE SERVICE - ACS SUPPORT</t>
  </si>
  <si>
    <t>IRS-PAYROLL TAXES</t>
  </si>
  <si>
    <t>KANSAS PAYMENT CENTER/ SN11D000883</t>
  </si>
  <si>
    <t>MICHIGAN STATE DISBURSEMENT UNIT(MiSDU)</t>
  </si>
  <si>
    <t>MONUMENTAL LIFE INS CO</t>
  </si>
  <si>
    <t>GERALD FLORES OLIVO</t>
  </si>
  <si>
    <t>TAC HEALTH BENEFITS POOL</t>
  </si>
  <si>
    <t>TOTAL ADMINISTRATIVE SERVICES CORPORATION</t>
  </si>
  <si>
    <t>TEXAS ATTY.GENERAL'S OFFICE</t>
  </si>
  <si>
    <t>TEXAS CNTY &amp; DIST RETIREMENT SYS</t>
  </si>
  <si>
    <t>TEXAS LEGAL PROTECTION PLAN INC</t>
  </si>
  <si>
    <t>Amount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</si>
</sst>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11"/>
  <sheetViews>
    <sheetView tabSelected="1" workbookViewId="0"/>
  </sheetViews>
  <sheetFormatPr defaultRowHeight="15" x14ac:dyDescent="0.25"/>
  <cols>
    <col min="1" max="1" width="55.5703125" bestFit="1" customWidth="1"/>
    <col min="2" max="2" width="7.7109375" bestFit="1" customWidth="1"/>
    <col min="3" max="3" width="14" style="3" bestFit="1" customWidth="1"/>
    <col min="4" max="4" width="10.85546875" bestFit="1" customWidth="1"/>
    <col min="5" max="5" width="19.7109375" bestFit="1" customWidth="1"/>
    <col min="6" max="6" width="35.42578125" bestFit="1" customWidth="1"/>
    <col min="7" max="7" width="27.140625" style="2" bestFit="1" customWidth="1"/>
    <col min="8" max="8" width="35.140625" bestFit="1" customWidth="1"/>
  </cols>
  <sheetData>
    <row r="1" spans="1:8" x14ac:dyDescent="0.25">
      <c r="A1" t="s">
        <v>0</v>
      </c>
      <c r="B1" t="s">
        <v>1</v>
      </c>
      <c r="C1" s="3" t="s">
        <v>2</v>
      </c>
      <c r="D1" t="s">
        <v>3</v>
      </c>
      <c r="E1" t="s">
        <v>4</v>
      </c>
      <c r="F1" t="s">
        <v>5</v>
      </c>
      <c r="G1" s="2" t="s">
        <v>6</v>
      </c>
      <c r="H1" t="s">
        <v>7</v>
      </c>
    </row>
    <row r="2" spans="1:8" x14ac:dyDescent="0.25">
      <c r="A2" t="s">
        <v>8</v>
      </c>
      <c r="B2">
        <v>999999</v>
      </c>
      <c r="C2" s="3">
        <v>190.25</v>
      </c>
      <c r="D2" s="1">
        <v>43418</v>
      </c>
      <c r="E2" t="str">
        <f>"44871"</f>
        <v>44871</v>
      </c>
      <c r="F2" t="str">
        <f>"BUSINESS INTERNET/STATIC IP"</f>
        <v>BUSINESS INTERNET/STATIC IP</v>
      </c>
      <c r="G2" s="2">
        <v>145.5</v>
      </c>
      <c r="H2" t="str">
        <f>"BUSINESS INTERNET/STATIC IP"</f>
        <v>BUSINESS INTERNET/STATIC IP</v>
      </c>
    </row>
    <row r="3" spans="1:8" x14ac:dyDescent="0.25">
      <c r="E3" t="str">
        <f>"44872"</f>
        <v>44872</v>
      </c>
      <c r="F3" t="str">
        <f>"DOMAIN HOSTING"</f>
        <v>DOMAIN HOSTING</v>
      </c>
      <c r="G3" s="2">
        <v>44.75</v>
      </c>
      <c r="H3" t="str">
        <f>"DOMAIN HOSTING"</f>
        <v>DOMAIN HOSTING</v>
      </c>
    </row>
    <row r="4" spans="1:8" x14ac:dyDescent="0.25">
      <c r="A4" t="s">
        <v>8</v>
      </c>
      <c r="B4">
        <v>999999</v>
      </c>
      <c r="C4" s="3">
        <v>1284</v>
      </c>
      <c r="D4" s="1">
        <v>43431</v>
      </c>
      <c r="E4" t="str">
        <f>"45165"</f>
        <v>45165</v>
      </c>
      <c r="F4" t="str">
        <f>"COMPUTER SYSTEM/MICROSOFT OFF"</f>
        <v>COMPUTER SYSTEM/MICROSOFT OFF</v>
      </c>
      <c r="G4" s="2">
        <v>1284</v>
      </c>
      <c r="H4" t="str">
        <f>"COMPUTER SYSTEM/MICROSOFT OFF"</f>
        <v>COMPUTER SYSTEM/MICROSOFT OFF</v>
      </c>
    </row>
    <row r="5" spans="1:8" x14ac:dyDescent="0.25">
      <c r="A5" t="s">
        <v>9</v>
      </c>
      <c r="B5">
        <v>2422</v>
      </c>
      <c r="C5" s="3">
        <v>223.5</v>
      </c>
      <c r="D5" s="1">
        <v>43417</v>
      </c>
      <c r="E5" t="str">
        <f>"201811064876"</f>
        <v>201811064876</v>
      </c>
      <c r="F5" t="str">
        <f>"ACCT#100001-8659-708279001"</f>
        <v>ACCT#100001-8659-708279001</v>
      </c>
      <c r="G5" s="2">
        <v>223.5</v>
      </c>
      <c r="H5" t="str">
        <f>"ACCT#100001-8659-708279001"</f>
        <v>ACCT#100001-8659-708279001</v>
      </c>
    </row>
    <row r="6" spans="1:8" x14ac:dyDescent="0.25">
      <c r="A6" t="s">
        <v>10</v>
      </c>
      <c r="B6">
        <v>2423</v>
      </c>
      <c r="C6" s="3">
        <v>59.41</v>
      </c>
      <c r="D6" s="1">
        <v>43417</v>
      </c>
      <c r="E6" t="str">
        <f>"201811064874"</f>
        <v>201811064874</v>
      </c>
      <c r="F6" t="str">
        <f>"ACCT#BASTRO/VEH-BASIC"</f>
        <v>ACCT#BASTRO/VEH-BASIC</v>
      </c>
      <c r="G6" s="2">
        <v>59.41</v>
      </c>
      <c r="H6" t="str">
        <f>"ACCT#BASTRO/VEH-BASIC"</f>
        <v>ACCT#BASTRO/VEH-BASIC</v>
      </c>
    </row>
    <row r="7" spans="1:8" x14ac:dyDescent="0.25">
      <c r="A7" t="s">
        <v>11</v>
      </c>
      <c r="B7">
        <v>2424</v>
      </c>
      <c r="C7" s="3">
        <v>52.05</v>
      </c>
      <c r="D7" s="1">
        <v>43417</v>
      </c>
      <c r="E7" t="str">
        <f>"201811064875"</f>
        <v>201811064875</v>
      </c>
      <c r="F7" t="str">
        <f>"2018 CHEV MALIBU MAINTENANCE"</f>
        <v>2018 CHEV MALIBU MAINTENANCE</v>
      </c>
      <c r="G7" s="2">
        <v>52.05</v>
      </c>
      <c r="H7" t="str">
        <f>"2018 CHEV MALIBU MAINTENANCE"</f>
        <v>2018 CHEV MALIBU MAINTENANCE</v>
      </c>
    </row>
    <row r="8" spans="1:8" x14ac:dyDescent="0.25">
      <c r="A8" t="s">
        <v>12</v>
      </c>
      <c r="B8">
        <v>2425</v>
      </c>
      <c r="C8" s="3">
        <v>28.75</v>
      </c>
      <c r="D8" s="1">
        <v>43417</v>
      </c>
      <c r="E8" t="str">
        <f>"1454077718"</f>
        <v>1454077718</v>
      </c>
      <c r="F8" t="str">
        <f>"ACCT#36550462/PHONE SVC"</f>
        <v>ACCT#36550462/PHONE SVC</v>
      </c>
      <c r="G8" s="2">
        <v>28.75</v>
      </c>
      <c r="H8" t="str">
        <f>"ACCT#36550462/PHONE SVC"</f>
        <v>ACCT#36550462/PHONE SVC</v>
      </c>
    </row>
    <row r="9" spans="1:8" x14ac:dyDescent="0.25">
      <c r="A9" t="s">
        <v>13</v>
      </c>
      <c r="B9">
        <v>999999</v>
      </c>
      <c r="C9" s="3">
        <v>210</v>
      </c>
      <c r="D9" s="1">
        <v>43418</v>
      </c>
      <c r="E9" t="str">
        <f>"201811064877"</f>
        <v>201811064877</v>
      </c>
      <c r="F9" t="str">
        <f>"ALCOHOL &amp; DRUG ASSESSMENTS"</f>
        <v>ALCOHOL &amp; DRUG ASSESSMENTS</v>
      </c>
      <c r="G9" s="2">
        <v>210</v>
      </c>
      <c r="H9" t="str">
        <f>"ALCOHOL &amp; DRUG ASSESSMENTS"</f>
        <v>ALCOHOL &amp; DRUG ASSESSMENTS</v>
      </c>
    </row>
    <row r="10" spans="1:8" x14ac:dyDescent="0.25">
      <c r="E10" t="str">
        <f>""</f>
        <v/>
      </c>
      <c r="F10" t="str">
        <f>""</f>
        <v/>
      </c>
      <c r="H10" t="str">
        <f>"ALCOHOL &amp; DRUG ASSESSMENTS"</f>
        <v>ALCOHOL &amp; DRUG ASSESSMENTS</v>
      </c>
    </row>
    <row r="11" spans="1:8" x14ac:dyDescent="0.25">
      <c r="A11" t="s">
        <v>14</v>
      </c>
      <c r="B11">
        <v>2435</v>
      </c>
      <c r="C11" s="3">
        <v>129.86000000000001</v>
      </c>
      <c r="D11" s="1">
        <v>43430</v>
      </c>
      <c r="E11" t="str">
        <f>"000000065155376811"</f>
        <v>000000065155376811</v>
      </c>
      <c r="F11" t="str">
        <f>"ACCT#065 155 376/VEHICLE FUEL"</f>
        <v>ACCT#065 155 376/VEHICLE FUEL</v>
      </c>
      <c r="G11" s="2">
        <v>129.86000000000001</v>
      </c>
      <c r="H11" t="str">
        <f>"ACCT#065 155 376/VEHICLE FUEL"</f>
        <v>ACCT#065 155 376/VEHICLE FUEL</v>
      </c>
    </row>
    <row r="12" spans="1:8" x14ac:dyDescent="0.25">
      <c r="E12" t="str">
        <f>""</f>
        <v/>
      </c>
      <c r="F12" t="str">
        <f>""</f>
        <v/>
      </c>
      <c r="H12" t="str">
        <f>"ACCT#065 155 376/VEHICLE FUEL"</f>
        <v>ACCT#065 155 376/VEHICLE FUEL</v>
      </c>
    </row>
    <row r="13" spans="1:8" x14ac:dyDescent="0.25">
      <c r="A13" t="s">
        <v>15</v>
      </c>
      <c r="B13">
        <v>999999</v>
      </c>
      <c r="C13" s="3">
        <v>3980</v>
      </c>
      <c r="D13" s="1">
        <v>43418</v>
      </c>
      <c r="E13" t="str">
        <f>"45607"</f>
        <v>45607</v>
      </c>
      <c r="F13" t="str">
        <f>"PROF SVCS FOR DECEMBER 2018"</f>
        <v>PROF SVCS FOR DECEMBER 2018</v>
      </c>
      <c r="G13" s="2">
        <v>3980</v>
      </c>
      <c r="H13" t="str">
        <f>"PROF SVCS FOR DECEMBER 2018"</f>
        <v>PROF SVCS FOR DECEMBER 2018</v>
      </c>
    </row>
    <row r="14" spans="1:8" x14ac:dyDescent="0.25">
      <c r="A14" t="s">
        <v>16</v>
      </c>
      <c r="B14">
        <v>2436</v>
      </c>
      <c r="C14" s="3">
        <v>370.74</v>
      </c>
      <c r="D14" s="1">
        <v>43430</v>
      </c>
      <c r="E14" t="str">
        <f>"201811165256"</f>
        <v>201811165256</v>
      </c>
      <c r="F14" t="str">
        <f>"HOTEL/MEALS"</f>
        <v>HOTEL/MEALS</v>
      </c>
      <c r="G14" s="2">
        <v>370.74</v>
      </c>
      <c r="H14" t="str">
        <f>"HOTEL/MEALS"</f>
        <v>HOTEL/MEALS</v>
      </c>
    </row>
    <row r="15" spans="1:8" x14ac:dyDescent="0.25">
      <c r="A15" t="s">
        <v>17</v>
      </c>
      <c r="B15">
        <v>2426</v>
      </c>
      <c r="C15" s="3">
        <v>47.96</v>
      </c>
      <c r="D15" s="1">
        <v>43417</v>
      </c>
      <c r="E15" t="str">
        <f>"201811064878"</f>
        <v>201811064878</v>
      </c>
      <c r="F15" t="str">
        <f>"MILEAGE REIMBURSEMENT"</f>
        <v>MILEAGE REIMBURSEMENT</v>
      </c>
      <c r="G15" s="2">
        <v>47.96</v>
      </c>
      <c r="H15" t="str">
        <f>"MILEAGE REIMBURSEMENT"</f>
        <v>MILEAGE REIMBURSEMENT</v>
      </c>
    </row>
    <row r="16" spans="1:8" x14ac:dyDescent="0.25">
      <c r="A16" t="s">
        <v>18</v>
      </c>
      <c r="B16">
        <v>2427</v>
      </c>
      <c r="C16" s="3">
        <v>50</v>
      </c>
      <c r="D16" s="1">
        <v>43417</v>
      </c>
      <c r="E16" t="str">
        <f>"1223984-20181031"</f>
        <v>1223984-20181031</v>
      </c>
      <c r="F16" t="str">
        <f>"BILLING ID:1223984/CSCD"</f>
        <v>BILLING ID:1223984/CSCD</v>
      </c>
      <c r="G16" s="2">
        <v>50</v>
      </c>
      <c r="H16" t="str">
        <f>"BILLING ID:1223984/CSCD"</f>
        <v>BILLING ID:1223984/CSCD</v>
      </c>
    </row>
    <row r="17" spans="1:8" x14ac:dyDescent="0.25">
      <c r="A17" t="s">
        <v>19</v>
      </c>
      <c r="B17">
        <v>2428</v>
      </c>
      <c r="C17" s="3">
        <v>860.05</v>
      </c>
      <c r="D17" s="1">
        <v>43417</v>
      </c>
      <c r="E17" t="str">
        <f>"201811064879"</f>
        <v>201811064879</v>
      </c>
      <c r="F17" t="str">
        <f>"MILEAGE REIMBURSEMENT"</f>
        <v>MILEAGE REIMBURSEMENT</v>
      </c>
      <c r="G17" s="2">
        <v>76.849999999999994</v>
      </c>
      <c r="H17" t="str">
        <f>"MILEAGE REIMBURSEMENT"</f>
        <v>MILEAGE REIMBURSEMENT</v>
      </c>
    </row>
    <row r="18" spans="1:8" x14ac:dyDescent="0.25">
      <c r="E18" t="str">
        <f>"201811064880"</f>
        <v>201811064880</v>
      </c>
      <c r="F18" t="str">
        <f>"HOTEL/PER DIEM"</f>
        <v>HOTEL/PER DIEM</v>
      </c>
      <c r="G18" s="2">
        <v>783.2</v>
      </c>
      <c r="H18" t="str">
        <f>"HOTEL/PER DIEM"</f>
        <v>HOTEL/PER DIEM</v>
      </c>
    </row>
    <row r="19" spans="1:8" x14ac:dyDescent="0.25">
      <c r="A19" t="s">
        <v>20</v>
      </c>
      <c r="B19">
        <v>2429</v>
      </c>
      <c r="C19" s="3">
        <v>406.76</v>
      </c>
      <c r="D19" s="1">
        <v>43417</v>
      </c>
      <c r="E19" t="str">
        <f>"219328438001"</f>
        <v>219328438001</v>
      </c>
      <c r="F19" t="str">
        <f>"ACCT#60805099/ORD#219328438001"</f>
        <v>ACCT#60805099/ORD#219328438001</v>
      </c>
      <c r="G19" s="2">
        <v>64.989999999999995</v>
      </c>
      <c r="H19" t="str">
        <f>"ACCT#60805099/BILLING:3755073"</f>
        <v>ACCT#60805099/BILLING:3755073</v>
      </c>
    </row>
    <row r="20" spans="1:8" x14ac:dyDescent="0.25">
      <c r="E20" t="str">
        <f>"219369149001"</f>
        <v>219369149001</v>
      </c>
      <c r="F20" t="str">
        <f>"ACCT#60805099/ORD#219369149001"</f>
        <v>ACCT#60805099/ORD#219369149001</v>
      </c>
      <c r="G20" s="2">
        <v>109.85</v>
      </c>
      <c r="H20" t="str">
        <f>"ACCT#60805099/ORD#219369149001"</f>
        <v>ACCT#60805099/ORD#219369149001</v>
      </c>
    </row>
    <row r="21" spans="1:8" x14ac:dyDescent="0.25">
      <c r="E21" t="str">
        <f>"219369433001"</f>
        <v>219369433001</v>
      </c>
      <c r="F21" t="str">
        <f>"ACCT#60805099/ORD#219369433001"</f>
        <v>ACCT#60805099/ORD#219369433001</v>
      </c>
      <c r="G21" s="2">
        <v>9.51</v>
      </c>
      <c r="H21" t="str">
        <f>"ACCT#60805099/ORD#219369433001"</f>
        <v>ACCT#60805099/ORD#219369433001</v>
      </c>
    </row>
    <row r="22" spans="1:8" x14ac:dyDescent="0.25">
      <c r="E22" t="str">
        <f>"219369434001"</f>
        <v>219369434001</v>
      </c>
      <c r="F22" t="str">
        <f>"ACCT#60805099/ORD#219369434001"</f>
        <v>ACCT#60805099/ORD#219369434001</v>
      </c>
      <c r="G22" s="2">
        <v>15.23</v>
      </c>
      <c r="H22" t="str">
        <f>"ACCT#60805099/ORD#219369434001"</f>
        <v>ACCT#60805099/ORD#219369434001</v>
      </c>
    </row>
    <row r="23" spans="1:8" x14ac:dyDescent="0.25">
      <c r="E23" t="str">
        <f>"219369435001"</f>
        <v>219369435001</v>
      </c>
      <c r="F23" t="str">
        <f>"ACCT#60805099/ORD#219369435001"</f>
        <v>ACCT#60805099/ORD#219369435001</v>
      </c>
      <c r="G23" s="2">
        <v>26.5</v>
      </c>
      <c r="H23" t="str">
        <f>"ACCT#60805099/ORD#219369435001"</f>
        <v>ACCT#60805099/ORD#219369435001</v>
      </c>
    </row>
    <row r="24" spans="1:8" x14ac:dyDescent="0.25">
      <c r="E24" t="str">
        <f>"219763122001"</f>
        <v>219763122001</v>
      </c>
      <c r="F24" t="str">
        <f>"ACCT#60805099/ORD#219763122001"</f>
        <v>ACCT#60805099/ORD#219763122001</v>
      </c>
      <c r="G24" s="2">
        <v>119.32</v>
      </c>
      <c r="H24" t="str">
        <f>"ACCT#60805099/ORD#219763122001"</f>
        <v>ACCT#60805099/ORD#219763122001</v>
      </c>
    </row>
    <row r="25" spans="1:8" x14ac:dyDescent="0.25">
      <c r="E25" t="str">
        <f>"223537942001"</f>
        <v>223537942001</v>
      </c>
      <c r="F25" t="str">
        <f>"ACCT#60805099/ORD#223537942001"</f>
        <v>ACCT#60805099/ORD#223537942001</v>
      </c>
      <c r="G25" s="2">
        <v>61.36</v>
      </c>
      <c r="H25" t="str">
        <f>"ACCT#60805099/ORD#223537942001"</f>
        <v>ACCT#60805099/ORD#223537942001</v>
      </c>
    </row>
    <row r="26" spans="1:8" x14ac:dyDescent="0.25">
      <c r="A26" t="s">
        <v>20</v>
      </c>
      <c r="B26">
        <v>2437</v>
      </c>
      <c r="C26" s="3">
        <v>944.06</v>
      </c>
      <c r="D26" s="1">
        <v>43430</v>
      </c>
      <c r="E26" t="str">
        <f>"209785519001"</f>
        <v>209785519001</v>
      </c>
      <c r="F26" t="str">
        <f>"ACCT#60805099/OFFICE SUPPLIES"</f>
        <v>ACCT#60805099/OFFICE SUPPLIES</v>
      </c>
      <c r="G26" s="2">
        <v>269.17</v>
      </c>
      <c r="H26" t="str">
        <f t="shared" ref="H26:H35" si="0">"ACCT#60805099/OFFICE SUPPLIES"</f>
        <v>ACCT#60805099/OFFICE SUPPLIES</v>
      </c>
    </row>
    <row r="27" spans="1:8" x14ac:dyDescent="0.25">
      <c r="E27" t="str">
        <f>""</f>
        <v/>
      </c>
      <c r="F27" t="str">
        <f>""</f>
        <v/>
      </c>
      <c r="H27" t="str">
        <f t="shared" si="0"/>
        <v>ACCT#60805099/OFFICE SUPPLIES</v>
      </c>
    </row>
    <row r="28" spans="1:8" x14ac:dyDescent="0.25">
      <c r="E28" t="str">
        <f>""</f>
        <v/>
      </c>
      <c r="F28" t="str">
        <f>""</f>
        <v/>
      </c>
      <c r="H28" t="str">
        <f t="shared" si="0"/>
        <v>ACCT#60805099/OFFICE SUPPLIES</v>
      </c>
    </row>
    <row r="29" spans="1:8" x14ac:dyDescent="0.25">
      <c r="E29" t="str">
        <f>""</f>
        <v/>
      </c>
      <c r="F29" t="str">
        <f>""</f>
        <v/>
      </c>
      <c r="H29" t="str">
        <f t="shared" si="0"/>
        <v>ACCT#60805099/OFFICE SUPPLIES</v>
      </c>
    </row>
    <row r="30" spans="1:8" x14ac:dyDescent="0.25">
      <c r="E30" t="str">
        <f>""</f>
        <v/>
      </c>
      <c r="F30" t="str">
        <f>""</f>
        <v/>
      </c>
      <c r="H30" t="str">
        <f t="shared" si="0"/>
        <v>ACCT#60805099/OFFICE SUPPLIES</v>
      </c>
    </row>
    <row r="31" spans="1:8" x14ac:dyDescent="0.25">
      <c r="E31" t="str">
        <f>"226406849001"</f>
        <v>226406849001</v>
      </c>
      <c r="F31" t="str">
        <f>"ACCT#60805099/OFFICE SUPPLIES"</f>
        <v>ACCT#60805099/OFFICE SUPPLIES</v>
      </c>
      <c r="G31" s="2">
        <v>131.96</v>
      </c>
      <c r="H31" t="str">
        <f t="shared" si="0"/>
        <v>ACCT#60805099/OFFICE SUPPLIES</v>
      </c>
    </row>
    <row r="32" spans="1:8" x14ac:dyDescent="0.25">
      <c r="E32" t="str">
        <f>"228250655001"</f>
        <v>228250655001</v>
      </c>
      <c r="F32" t="str">
        <f>"ACCT#60805099/OFFICE SUPPLIES"</f>
        <v>ACCT#60805099/OFFICE SUPPLIES</v>
      </c>
      <c r="G32" s="2">
        <v>131.96</v>
      </c>
      <c r="H32" t="str">
        <f t="shared" si="0"/>
        <v>ACCT#60805099/OFFICE SUPPLIES</v>
      </c>
    </row>
    <row r="33" spans="1:8" x14ac:dyDescent="0.25">
      <c r="E33" t="str">
        <f>"228253774001"</f>
        <v>228253774001</v>
      </c>
      <c r="F33" t="str">
        <f>"ACCT#60805099/OFFICE SUPPLIES"</f>
        <v>ACCT#60805099/OFFICE SUPPLIES</v>
      </c>
      <c r="G33" s="2">
        <v>136.99</v>
      </c>
      <c r="H33" t="str">
        <f t="shared" si="0"/>
        <v>ACCT#60805099/OFFICE SUPPLIES</v>
      </c>
    </row>
    <row r="34" spans="1:8" x14ac:dyDescent="0.25">
      <c r="E34" t="str">
        <f>"228283217001"</f>
        <v>228283217001</v>
      </c>
      <c r="F34" t="str">
        <f>"ACCT#60805099/OFFICE SUPPLIES"</f>
        <v>ACCT#60805099/OFFICE SUPPLIES</v>
      </c>
      <c r="G34" s="2">
        <v>136.99</v>
      </c>
      <c r="H34" t="str">
        <f t="shared" si="0"/>
        <v>ACCT#60805099/OFFICE SUPPLIES</v>
      </c>
    </row>
    <row r="35" spans="1:8" x14ac:dyDescent="0.25">
      <c r="E35" t="str">
        <f>"228284256001"</f>
        <v>228284256001</v>
      </c>
      <c r="F35" t="str">
        <f>"ACCT#60805099/OFFICE SUPPLIES"</f>
        <v>ACCT#60805099/OFFICE SUPPLIES</v>
      </c>
      <c r="G35" s="2">
        <v>136.99</v>
      </c>
      <c r="H35" t="str">
        <f t="shared" si="0"/>
        <v>ACCT#60805099/OFFICE SUPPLIES</v>
      </c>
    </row>
    <row r="36" spans="1:8" x14ac:dyDescent="0.25">
      <c r="A36" t="s">
        <v>21</v>
      </c>
      <c r="B36">
        <v>2438</v>
      </c>
      <c r="C36" s="3">
        <v>132</v>
      </c>
      <c r="D36" s="1">
        <v>43430</v>
      </c>
      <c r="E36" t="str">
        <f>"83370"</f>
        <v>83370</v>
      </c>
      <c r="F36" t="str">
        <f>"CLIENT ID:21254/U/A CONFIRMAT"</f>
        <v>CLIENT ID:21254/U/A CONFIRMAT</v>
      </c>
      <c r="G36" s="2">
        <v>108</v>
      </c>
      <c r="H36" t="str">
        <f>"CLIENT ID:21254/U/A CONFIRMAT"</f>
        <v>CLIENT ID:21254/U/A CONFIRMAT</v>
      </c>
    </row>
    <row r="37" spans="1:8" x14ac:dyDescent="0.25">
      <c r="E37" t="str">
        <f>"83371"</f>
        <v>83371</v>
      </c>
      <c r="F37" t="str">
        <f>"CLIENT ID:21263/U/A CONFIRMAT"</f>
        <v>CLIENT ID:21263/U/A CONFIRMAT</v>
      </c>
      <c r="G37" s="2">
        <v>24</v>
      </c>
      <c r="H37" t="str">
        <f>"CLIENT ID:21263/U/A CONFIRMAT"</f>
        <v>CLIENT ID:21263/U/A CONFIRMAT</v>
      </c>
    </row>
    <row r="38" spans="1:8" x14ac:dyDescent="0.25">
      <c r="A38" t="s">
        <v>22</v>
      </c>
      <c r="B38">
        <v>2430</v>
      </c>
      <c r="C38" s="3">
        <v>354.29</v>
      </c>
      <c r="D38" s="1">
        <v>43417</v>
      </c>
      <c r="E38" t="str">
        <f>"101281284"</f>
        <v>101281284</v>
      </c>
      <c r="F38" t="str">
        <f>"ACCT#969045-1009520A9"</f>
        <v>ACCT#969045-1009520A9</v>
      </c>
      <c r="G38" s="2">
        <v>178</v>
      </c>
      <c r="H38" t="str">
        <f>"ACCT#969045-1009520A9"</f>
        <v>ACCT#969045-1009520A9</v>
      </c>
    </row>
    <row r="39" spans="1:8" x14ac:dyDescent="0.25">
      <c r="E39" t="str">
        <f>"101282042"</f>
        <v>101282042</v>
      </c>
      <c r="F39" t="str">
        <f>"ACCT#1581891-1029681ML"</f>
        <v>ACCT#1581891-1029681ML</v>
      </c>
      <c r="G39" s="2">
        <v>176.29</v>
      </c>
      <c r="H39" t="str">
        <f>"ACCT#1581891-1029681ML"</f>
        <v>ACCT#1581891-1029681ML</v>
      </c>
    </row>
    <row r="40" spans="1:8" x14ac:dyDescent="0.25">
      <c r="A40" t="s">
        <v>23</v>
      </c>
      <c r="B40">
        <v>999999</v>
      </c>
      <c r="C40" s="3">
        <v>26.46</v>
      </c>
      <c r="D40" s="1">
        <v>43418</v>
      </c>
      <c r="E40" t="str">
        <f>"174433"</f>
        <v>174433</v>
      </c>
      <c r="F40" t="str">
        <f>"ACCT#PROBAT/UNLEADED"</f>
        <v>ACCT#PROBAT/UNLEADED</v>
      </c>
      <c r="G40" s="2">
        <v>26.46</v>
      </c>
      <c r="H40" t="str">
        <f>"ACCT#PROBAT/UNLEADED"</f>
        <v>ACCT#PROBAT/UNLEADED</v>
      </c>
    </row>
    <row r="41" spans="1:8" x14ac:dyDescent="0.25">
      <c r="A41" t="s">
        <v>24</v>
      </c>
      <c r="B41">
        <v>2431</v>
      </c>
      <c r="C41" s="3">
        <v>407.13</v>
      </c>
      <c r="D41" s="1">
        <v>43417</v>
      </c>
      <c r="E41" t="str">
        <f>"0047972101918"</f>
        <v>0047972101918</v>
      </c>
      <c r="F41" t="str">
        <f>"ACCT#8260161110047972/INTERNET"</f>
        <v>ACCT#8260161110047972/INTERNET</v>
      </c>
      <c r="G41" s="2">
        <v>407.13</v>
      </c>
      <c r="H41" t="str">
        <f>"ACCT#8260161110047972/INTERNET"</f>
        <v>ACCT#8260161110047972/INTERNET</v>
      </c>
    </row>
    <row r="42" spans="1:8" x14ac:dyDescent="0.25">
      <c r="A42" t="s">
        <v>25</v>
      </c>
      <c r="B42">
        <v>2432</v>
      </c>
      <c r="C42" s="3">
        <v>200</v>
      </c>
      <c r="D42" s="1">
        <v>43417</v>
      </c>
      <c r="E42" t="str">
        <f>"201811064881"</f>
        <v>201811064881</v>
      </c>
      <c r="F42" t="str">
        <f>"TRACY NORTH-CSO CERT"</f>
        <v>TRACY NORTH-CSO CERT</v>
      </c>
      <c r="G42" s="2">
        <v>200</v>
      </c>
      <c r="H42" t="str">
        <f>"TRACY NORTH-CSO CERT"</f>
        <v>TRACY NORTH-CSO CERT</v>
      </c>
    </row>
    <row r="43" spans="1:8" x14ac:dyDescent="0.25">
      <c r="A43" t="s">
        <v>26</v>
      </c>
      <c r="B43">
        <v>0</v>
      </c>
      <c r="C43" s="3">
        <v>1986.53</v>
      </c>
      <c r="D43" s="1">
        <v>43430</v>
      </c>
      <c r="E43" t="str">
        <f>"201811165258"</f>
        <v>201811165258</v>
      </c>
      <c r="F43" t="str">
        <f>"ACCT XXXX 0132/OFFICE SUPPLIES"</f>
        <v>ACCT XXXX 0132/OFFICE SUPPLIES</v>
      </c>
      <c r="G43" s="2">
        <v>1986.53</v>
      </c>
      <c r="H43" t="str">
        <f t="shared" ref="H43:H48" si="1">"ACCT XXXX 0132/OFFICE SUPPLIES"</f>
        <v>ACCT XXXX 0132/OFFICE SUPPLIES</v>
      </c>
    </row>
    <row r="44" spans="1:8" x14ac:dyDescent="0.25">
      <c r="E44" t="str">
        <f>""</f>
        <v/>
      </c>
      <c r="F44" t="str">
        <f>""</f>
        <v/>
      </c>
      <c r="H44" t="str">
        <f t="shared" si="1"/>
        <v>ACCT XXXX 0132/OFFICE SUPPLIES</v>
      </c>
    </row>
    <row r="45" spans="1:8" x14ac:dyDescent="0.25">
      <c r="E45" t="str">
        <f>""</f>
        <v/>
      </c>
      <c r="F45" t="str">
        <f>""</f>
        <v/>
      </c>
      <c r="H45" t="str">
        <f t="shared" si="1"/>
        <v>ACCT XXXX 0132/OFFICE SUPPLIES</v>
      </c>
    </row>
    <row r="46" spans="1:8" x14ac:dyDescent="0.25">
      <c r="E46" t="str">
        <f>""</f>
        <v/>
      </c>
      <c r="F46" t="str">
        <f>""</f>
        <v/>
      </c>
      <c r="H46" t="str">
        <f t="shared" si="1"/>
        <v>ACCT XXXX 0132/OFFICE SUPPLIES</v>
      </c>
    </row>
    <row r="47" spans="1:8" x14ac:dyDescent="0.25">
      <c r="E47" t="str">
        <f>""</f>
        <v/>
      </c>
      <c r="F47" t="str">
        <f>""</f>
        <v/>
      </c>
      <c r="H47" t="str">
        <f t="shared" si="1"/>
        <v>ACCT XXXX 0132/OFFICE SUPPLIES</v>
      </c>
    </row>
    <row r="48" spans="1:8" x14ac:dyDescent="0.25">
      <c r="E48" t="str">
        <f>""</f>
        <v/>
      </c>
      <c r="F48" t="str">
        <f>""</f>
        <v/>
      </c>
      <c r="H48" t="str">
        <f t="shared" si="1"/>
        <v>ACCT XXXX 0132/OFFICE SUPPLIES</v>
      </c>
    </row>
    <row r="49" spans="1:8" x14ac:dyDescent="0.25">
      <c r="A49" t="s">
        <v>27</v>
      </c>
      <c r="B49">
        <v>2433</v>
      </c>
      <c r="C49" s="3">
        <v>195</v>
      </c>
      <c r="D49" s="1">
        <v>43417</v>
      </c>
      <c r="E49" t="str">
        <f>"23604160"</f>
        <v>23604160</v>
      </c>
      <c r="F49" t="str">
        <f>"AGREEMENT#012-1173727-000"</f>
        <v>AGREEMENT#012-1173727-000</v>
      </c>
      <c r="G49" s="2">
        <v>195</v>
      </c>
      <c r="H49" t="str">
        <f>"AGREEMENT#012-1173727-000"</f>
        <v>AGREEMENT#012-1173727-000</v>
      </c>
    </row>
    <row r="50" spans="1:8" x14ac:dyDescent="0.25">
      <c r="A50" t="s">
        <v>28</v>
      </c>
      <c r="B50">
        <v>2439</v>
      </c>
      <c r="C50" s="3">
        <v>182</v>
      </c>
      <c r="D50" s="1">
        <v>43430</v>
      </c>
      <c r="E50" t="str">
        <f>"201811165257"</f>
        <v>201811165257</v>
      </c>
      <c r="F50" t="str">
        <f>"BOX RENEWAL #N"</f>
        <v>BOX RENEWAL #N</v>
      </c>
      <c r="G50" s="2">
        <v>182</v>
      </c>
      <c r="H50" t="str">
        <f>"BOX RENEWAL #N"</f>
        <v>BOX RENEWAL #N</v>
      </c>
    </row>
    <row r="51" spans="1:8" x14ac:dyDescent="0.25">
      <c r="A51" t="s">
        <v>29</v>
      </c>
      <c r="B51">
        <v>2440</v>
      </c>
      <c r="C51" s="3">
        <v>33.47</v>
      </c>
      <c r="D51" s="1">
        <v>43430</v>
      </c>
      <c r="E51" t="str">
        <f>"201811165259"</f>
        <v>201811165259</v>
      </c>
      <c r="F51" t="str">
        <f>"ACCT#4019/PROBATION DEPT"</f>
        <v>ACCT#4019/PROBATION DEPT</v>
      </c>
      <c r="G51" s="2">
        <v>33.47</v>
      </c>
      <c r="H51" t="str">
        <f>"ACCT#4019/PROBATION DEPT"</f>
        <v>ACCT#4019/PROBATION DEPT</v>
      </c>
    </row>
    <row r="52" spans="1:8" x14ac:dyDescent="0.25">
      <c r="A52" t="s">
        <v>30</v>
      </c>
      <c r="B52">
        <v>2434</v>
      </c>
      <c r="C52" s="3">
        <v>500</v>
      </c>
      <c r="D52" s="1">
        <v>43417</v>
      </c>
      <c r="E52" t="str">
        <f>"HTS19-1"</f>
        <v>HTS19-1</v>
      </c>
      <c r="F52" t="str">
        <f>"HIV UPDATE"</f>
        <v>HIV UPDATE</v>
      </c>
      <c r="G52" s="2">
        <v>500</v>
      </c>
      <c r="H52" t="str">
        <f>"HIV UPDATE"</f>
        <v>HIV UPDATE</v>
      </c>
    </row>
    <row r="53" spans="1:8" x14ac:dyDescent="0.25">
      <c r="A53" t="s">
        <v>31</v>
      </c>
      <c r="B53">
        <v>79385</v>
      </c>
      <c r="C53" s="3">
        <v>75</v>
      </c>
      <c r="D53" s="1">
        <v>43417</v>
      </c>
      <c r="E53" t="str">
        <f>"201811024804"</f>
        <v>201811024804</v>
      </c>
      <c r="F53" t="str">
        <f>"BAIL BOND COUPONS"</f>
        <v>BAIL BOND COUPONS</v>
      </c>
      <c r="G53" s="2">
        <v>75</v>
      </c>
      <c r="H53" t="str">
        <f>"BAIL BOND COUPONS"</f>
        <v>BAIL BOND COUPONS</v>
      </c>
    </row>
    <row r="54" spans="1:8" x14ac:dyDescent="0.25">
      <c r="A54" t="s">
        <v>31</v>
      </c>
      <c r="B54">
        <v>79641</v>
      </c>
      <c r="C54" s="3">
        <v>15</v>
      </c>
      <c r="D54" s="1">
        <v>43430</v>
      </c>
      <c r="E54" t="str">
        <f>"201811155158"</f>
        <v>201811155158</v>
      </c>
      <c r="F54" t="str">
        <f>"REFUND BAIL BOND COUPON #22095"</f>
        <v>REFUND BAIL BOND COUPON #22095</v>
      </c>
      <c r="G54" s="2">
        <v>15</v>
      </c>
      <c r="H54" t="str">
        <f>"REFUND BAIL BOND COUPON #22095"</f>
        <v>REFUND BAIL BOND COUPON #22095</v>
      </c>
    </row>
    <row r="55" spans="1:8" x14ac:dyDescent="0.25">
      <c r="A55" t="s">
        <v>32</v>
      </c>
      <c r="B55">
        <v>79386</v>
      </c>
      <c r="C55" s="3">
        <v>789.78</v>
      </c>
      <c r="D55" s="1">
        <v>43417</v>
      </c>
      <c r="E55" t="str">
        <f>"9725-004-104009"</f>
        <v>9725-004-104009</v>
      </c>
      <c r="F55" t="str">
        <f>"ACCT#9725-004/REC BASE/PCT#1"</f>
        <v>ACCT#9725-004/REC BASE/PCT#1</v>
      </c>
      <c r="G55" s="2">
        <v>84.79</v>
      </c>
      <c r="H55" t="str">
        <f>"ACCT#9725-004/REC BASE/PCT#1"</f>
        <v>ACCT#9725-004/REC BASE/PCT#1</v>
      </c>
    </row>
    <row r="56" spans="1:8" x14ac:dyDescent="0.25">
      <c r="E56" t="str">
        <f>"9725-004-104046"</f>
        <v>9725-004-104046</v>
      </c>
      <c r="F56" t="str">
        <f>"ACCT#9725-004/REC BASE/PCT#1"</f>
        <v>ACCT#9725-004/REC BASE/PCT#1</v>
      </c>
      <c r="G56" s="2">
        <v>704.99</v>
      </c>
      <c r="H56" t="str">
        <f>"ACCT#9725-004/REC BASE/PCT#1"</f>
        <v>ACCT#9725-004/REC BASE/PCT#1</v>
      </c>
    </row>
    <row r="57" spans="1:8" x14ac:dyDescent="0.25">
      <c r="A57" t="s">
        <v>32</v>
      </c>
      <c r="B57">
        <v>79642</v>
      </c>
      <c r="C57" s="3">
        <v>3996.96</v>
      </c>
      <c r="D57" s="1">
        <v>43430</v>
      </c>
      <c r="E57" t="str">
        <f>"9725-004-104082"</f>
        <v>9725-004-104082</v>
      </c>
      <c r="F57" t="str">
        <f>"RECYCLED BASE / P1"</f>
        <v>RECYCLED BASE / P1</v>
      </c>
      <c r="G57" s="2">
        <v>650.65</v>
      </c>
      <c r="H57" t="str">
        <f>"RECYCLED BASE / P1"</f>
        <v>RECYCLED BASE / P1</v>
      </c>
    </row>
    <row r="58" spans="1:8" x14ac:dyDescent="0.25">
      <c r="E58" t="str">
        <f>"9725-004-104115"</f>
        <v>9725-004-104115</v>
      </c>
      <c r="F58" t="str">
        <f>"RECYCLED BASE / P1"</f>
        <v>RECYCLED BASE / P1</v>
      </c>
      <c r="G58" s="2">
        <v>1658.5</v>
      </c>
      <c r="H58" t="str">
        <f>"RECYCLED BASE / P1"</f>
        <v>RECYCLED BASE / P1</v>
      </c>
    </row>
    <row r="59" spans="1:8" x14ac:dyDescent="0.25">
      <c r="E59" t="str">
        <f>"9725-004-104183"</f>
        <v>9725-004-104183</v>
      </c>
      <c r="F59" t="str">
        <f>"RECYCLED BASE / P1"</f>
        <v>RECYCLED BASE / P1</v>
      </c>
      <c r="G59" s="2">
        <v>223.74</v>
      </c>
      <c r="H59" t="str">
        <f>"RECYCLED BASE / P1"</f>
        <v>RECYCLED BASE / P1</v>
      </c>
    </row>
    <row r="60" spans="1:8" x14ac:dyDescent="0.25">
      <c r="E60" t="str">
        <f>"9725-004-104207"</f>
        <v>9725-004-104207</v>
      </c>
      <c r="F60" t="str">
        <f>"RECYCLED BASE / P1"</f>
        <v>RECYCLED BASE / P1</v>
      </c>
      <c r="G60" s="2">
        <v>1464.07</v>
      </c>
      <c r="H60" t="str">
        <f>"RECYCLED BASE / P1"</f>
        <v>RECYCLED BASE / P1</v>
      </c>
    </row>
    <row r="61" spans="1:8" x14ac:dyDescent="0.25">
      <c r="A61" t="s">
        <v>33</v>
      </c>
      <c r="B61">
        <v>79387</v>
      </c>
      <c r="C61" s="3">
        <v>105</v>
      </c>
      <c r="D61" s="1">
        <v>43417</v>
      </c>
      <c r="E61" t="str">
        <f>"201811024805"</f>
        <v>201811024805</v>
      </c>
      <c r="F61" t="str">
        <f>"BAIL BOND COUPONS"</f>
        <v>BAIL BOND COUPONS</v>
      </c>
      <c r="G61" s="2">
        <v>105</v>
      </c>
      <c r="H61" t="str">
        <f>"BAIL BOND COUPONS"</f>
        <v>BAIL BOND COUPONS</v>
      </c>
    </row>
    <row r="62" spans="1:8" x14ac:dyDescent="0.25">
      <c r="A62" t="s">
        <v>34</v>
      </c>
      <c r="B62">
        <v>79388</v>
      </c>
      <c r="C62" s="3">
        <v>486.15</v>
      </c>
      <c r="D62" s="1">
        <v>43417</v>
      </c>
      <c r="E62" t="str">
        <f>"201811064843"</f>
        <v>201811064843</v>
      </c>
      <c r="F62" t="str">
        <f>"STATEMENT#324846/CUST:16500/P4"</f>
        <v>STATEMENT#324846/CUST:16500/P4</v>
      </c>
      <c r="G62" s="2">
        <v>486.15</v>
      </c>
      <c r="H62" t="str">
        <f>"STATEMENT#324846/CUST:16500/P4"</f>
        <v>STATEMENT#324846/CUST:16500/P4</v>
      </c>
    </row>
    <row r="63" spans="1:8" x14ac:dyDescent="0.25">
      <c r="A63" t="s">
        <v>35</v>
      </c>
      <c r="B63">
        <v>999999</v>
      </c>
      <c r="C63" s="3">
        <v>42907.37</v>
      </c>
      <c r="D63" s="1">
        <v>43418</v>
      </c>
      <c r="E63" t="str">
        <f>"201811064866"</f>
        <v>201811064866</v>
      </c>
      <c r="F63" t="str">
        <f>"HAULING EXPS 10/18-10/30/18/P1"</f>
        <v>HAULING EXPS 10/18-10/30/18/P1</v>
      </c>
      <c r="G63" s="2">
        <v>10794.24</v>
      </c>
      <c r="H63" t="str">
        <f>"HAULING EXPS 10/18-10/30/18/P1"</f>
        <v>HAULING EXPS 10/18-10/30/18/P1</v>
      </c>
    </row>
    <row r="64" spans="1:8" x14ac:dyDescent="0.25">
      <c r="E64" t="str">
        <f>"201811064867"</f>
        <v>201811064867</v>
      </c>
      <c r="F64" t="str">
        <f>"HAULING EXPS 10/17-11/05/PCT#4"</f>
        <v>HAULING EXPS 10/17-11/05/PCT#4</v>
      </c>
      <c r="G64" s="2">
        <v>32113.13</v>
      </c>
      <c r="H64" t="str">
        <f>"HAULING EXPS 10/17-11/05/PCT#4"</f>
        <v>HAULING EXPS 10/17-11/05/PCT#4</v>
      </c>
    </row>
    <row r="65" spans="1:8" x14ac:dyDescent="0.25">
      <c r="A65" t="s">
        <v>35</v>
      </c>
      <c r="B65">
        <v>999999</v>
      </c>
      <c r="C65" s="3">
        <v>20201.62</v>
      </c>
      <c r="D65" s="1">
        <v>43431</v>
      </c>
      <c r="E65" t="str">
        <f>"201811195275"</f>
        <v>201811195275</v>
      </c>
      <c r="F65" t="str">
        <f>"HAULING EXPS 11/6-11/16/PCT#4"</f>
        <v>HAULING EXPS 11/6-11/16/PCT#4</v>
      </c>
      <c r="G65" s="2">
        <v>20201.62</v>
      </c>
      <c r="H65" t="str">
        <f>"HAULING EXPS 11/6-11/16/PCT#4"</f>
        <v>HAULING EXPS 11/6-11/16/PCT#4</v>
      </c>
    </row>
    <row r="66" spans="1:8" x14ac:dyDescent="0.25">
      <c r="A66" t="s">
        <v>36</v>
      </c>
      <c r="B66">
        <v>79389</v>
      </c>
      <c r="C66" s="3">
        <v>90</v>
      </c>
      <c r="D66" s="1">
        <v>43417</v>
      </c>
      <c r="E66" t="str">
        <f>"306870"</f>
        <v>306870</v>
      </c>
      <c r="F66" t="str">
        <f>"Invoice# 306870"</f>
        <v>Invoice# 306870</v>
      </c>
      <c r="G66" s="2">
        <v>55</v>
      </c>
      <c r="H66" t="str">
        <f>"Invoice# 306870"</f>
        <v>Invoice# 306870</v>
      </c>
    </row>
    <row r="67" spans="1:8" x14ac:dyDescent="0.25">
      <c r="E67" t="str">
        <f>"307428"</f>
        <v>307428</v>
      </c>
      <c r="F67" t="str">
        <f>"ANNUAL FIRE EXTINGUISHER MAINT"</f>
        <v>ANNUAL FIRE EXTINGUISHER MAINT</v>
      </c>
      <c r="G67" s="2">
        <v>35</v>
      </c>
      <c r="H67" t="str">
        <f>"ANNUAL FIRE EXTINGUISHER MAINT"</f>
        <v>ANNUAL FIRE EXTINGUISHER MAINT</v>
      </c>
    </row>
    <row r="68" spans="1:8" x14ac:dyDescent="0.25">
      <c r="A68" t="s">
        <v>37</v>
      </c>
      <c r="B68">
        <v>79390</v>
      </c>
      <c r="C68" s="3">
        <v>1397.5</v>
      </c>
      <c r="D68" s="1">
        <v>43417</v>
      </c>
      <c r="E68" t="str">
        <f>"201811064906"</f>
        <v>201811064906</v>
      </c>
      <c r="F68" t="str">
        <f>"17-18738"</f>
        <v>17-18738</v>
      </c>
      <c r="G68" s="2">
        <v>227.5</v>
      </c>
      <c r="H68" t="str">
        <f>"17-18738"</f>
        <v>17-18738</v>
      </c>
    </row>
    <row r="69" spans="1:8" x14ac:dyDescent="0.25">
      <c r="E69" t="str">
        <f>"201811064907"</f>
        <v>201811064907</v>
      </c>
      <c r="F69" t="str">
        <f>"18-19182"</f>
        <v>18-19182</v>
      </c>
      <c r="G69" s="2">
        <v>115</v>
      </c>
      <c r="H69" t="str">
        <f>"18-19182"</f>
        <v>18-19182</v>
      </c>
    </row>
    <row r="70" spans="1:8" x14ac:dyDescent="0.25">
      <c r="E70" t="str">
        <f>"201811064908"</f>
        <v>201811064908</v>
      </c>
      <c r="F70" t="str">
        <f>"16-17614"</f>
        <v>16-17614</v>
      </c>
      <c r="G70" s="2">
        <v>100</v>
      </c>
      <c r="H70" t="str">
        <f>"16-17614"</f>
        <v>16-17614</v>
      </c>
    </row>
    <row r="71" spans="1:8" x14ac:dyDescent="0.25">
      <c r="E71" t="str">
        <f>"201811064909"</f>
        <v>201811064909</v>
      </c>
      <c r="F71" t="str">
        <f>"17-18765"</f>
        <v>17-18765</v>
      </c>
      <c r="G71" s="2">
        <v>142.5</v>
      </c>
      <c r="H71" t="str">
        <f>"17-18765"</f>
        <v>17-18765</v>
      </c>
    </row>
    <row r="72" spans="1:8" x14ac:dyDescent="0.25">
      <c r="E72" t="str">
        <f>"201811064910"</f>
        <v>201811064910</v>
      </c>
      <c r="F72" t="str">
        <f>"17-18392"</f>
        <v>17-18392</v>
      </c>
      <c r="G72" s="2">
        <v>150</v>
      </c>
      <c r="H72" t="str">
        <f>"17-18392"</f>
        <v>17-18392</v>
      </c>
    </row>
    <row r="73" spans="1:8" x14ac:dyDescent="0.25">
      <c r="E73" t="str">
        <f>"201811064911"</f>
        <v>201811064911</v>
      </c>
      <c r="F73" t="str">
        <f>"1819016"</f>
        <v>1819016</v>
      </c>
      <c r="G73" s="2">
        <v>122.5</v>
      </c>
      <c r="H73" t="str">
        <f>"1819016"</f>
        <v>1819016</v>
      </c>
    </row>
    <row r="74" spans="1:8" x14ac:dyDescent="0.25">
      <c r="E74" t="str">
        <f>"201811064912"</f>
        <v>201811064912</v>
      </c>
      <c r="F74" t="str">
        <f>"17-18635"</f>
        <v>17-18635</v>
      </c>
      <c r="G74" s="2">
        <v>115</v>
      </c>
      <c r="H74" t="str">
        <f>"17-18635"</f>
        <v>17-18635</v>
      </c>
    </row>
    <row r="75" spans="1:8" x14ac:dyDescent="0.25">
      <c r="E75" t="str">
        <f>"201811064913"</f>
        <v>201811064913</v>
      </c>
      <c r="F75" t="str">
        <f>"18-19142"</f>
        <v>18-19142</v>
      </c>
      <c r="G75" s="2">
        <v>122.5</v>
      </c>
      <c r="H75" t="str">
        <f>"18-19142"</f>
        <v>18-19142</v>
      </c>
    </row>
    <row r="76" spans="1:8" x14ac:dyDescent="0.25">
      <c r="E76" t="str">
        <f>"201811064914"</f>
        <v>201811064914</v>
      </c>
      <c r="F76" t="str">
        <f>"1819093"</f>
        <v>1819093</v>
      </c>
      <c r="G76" s="2">
        <v>175</v>
      </c>
      <c r="H76" t="str">
        <f>"1819093"</f>
        <v>1819093</v>
      </c>
    </row>
    <row r="77" spans="1:8" x14ac:dyDescent="0.25">
      <c r="E77" t="str">
        <f>"201811064915"</f>
        <v>201811064915</v>
      </c>
      <c r="F77" t="str">
        <f>"14-16404"</f>
        <v>14-16404</v>
      </c>
      <c r="G77" s="2">
        <v>67.5</v>
      </c>
      <c r="H77" t="str">
        <f>"14-16404"</f>
        <v>14-16404</v>
      </c>
    </row>
    <row r="78" spans="1:8" x14ac:dyDescent="0.25">
      <c r="E78" t="str">
        <f>"201811064916"</f>
        <v>201811064916</v>
      </c>
      <c r="F78" t="str">
        <f>"18-18827"</f>
        <v>18-18827</v>
      </c>
      <c r="G78" s="2">
        <v>60</v>
      </c>
      <c r="H78" t="str">
        <f>"18-18827"</f>
        <v>18-18827</v>
      </c>
    </row>
    <row r="79" spans="1:8" x14ac:dyDescent="0.25">
      <c r="A79" t="s">
        <v>38</v>
      </c>
      <c r="B79">
        <v>79391</v>
      </c>
      <c r="C79" s="3">
        <v>800</v>
      </c>
      <c r="D79" s="1">
        <v>43417</v>
      </c>
      <c r="E79" t="str">
        <f>"201810234622"</f>
        <v>201810234622</v>
      </c>
      <c r="F79" t="str">
        <f>"16 613"</f>
        <v>16 613</v>
      </c>
      <c r="G79" s="2">
        <v>400</v>
      </c>
      <c r="H79" t="str">
        <f>"16 613"</f>
        <v>16 613</v>
      </c>
    </row>
    <row r="80" spans="1:8" x14ac:dyDescent="0.25">
      <c r="E80" t="str">
        <f>"201811014780"</f>
        <v>201811014780</v>
      </c>
      <c r="F80" t="str">
        <f>"16 508"</f>
        <v>16 508</v>
      </c>
      <c r="G80" s="2">
        <v>400</v>
      </c>
      <c r="H80" t="str">
        <f>"16 508"</f>
        <v>16 508</v>
      </c>
    </row>
    <row r="81" spans="1:8" x14ac:dyDescent="0.25">
      <c r="A81" t="s">
        <v>38</v>
      </c>
      <c r="B81">
        <v>79643</v>
      </c>
      <c r="C81" s="3">
        <v>800</v>
      </c>
      <c r="D81" s="1">
        <v>43430</v>
      </c>
      <c r="E81" t="str">
        <f>"201811155181"</f>
        <v>201811155181</v>
      </c>
      <c r="F81" t="str">
        <f>" NULL"</f>
        <v xml:space="preserve"> NULL</v>
      </c>
      <c r="G81" s="2">
        <v>400</v>
      </c>
      <c r="H81" t="str">
        <f>" NULL"</f>
        <v xml:space="preserve"> NULL</v>
      </c>
    </row>
    <row r="82" spans="1:8" x14ac:dyDescent="0.25">
      <c r="E82" t="str">
        <f>"201811155182"</f>
        <v>201811155182</v>
      </c>
      <c r="F82" t="str">
        <f>"15 774"</f>
        <v>15 774</v>
      </c>
      <c r="G82" s="2">
        <v>400</v>
      </c>
      <c r="H82" t="str">
        <f>"15 774"</f>
        <v>15 774</v>
      </c>
    </row>
    <row r="83" spans="1:8" x14ac:dyDescent="0.25">
      <c r="A83" t="s">
        <v>39</v>
      </c>
      <c r="B83">
        <v>999999</v>
      </c>
      <c r="C83" s="3">
        <v>882.45</v>
      </c>
      <c r="D83" s="1">
        <v>43418</v>
      </c>
      <c r="E83" t="str">
        <f>"201811054833"</f>
        <v>201811054833</v>
      </c>
      <c r="F83" t="str">
        <f>"REIMBURSE-LODGING &amp; MEALS"</f>
        <v>REIMBURSE-LODGING &amp; MEALS</v>
      </c>
      <c r="G83" s="2">
        <v>610.67999999999995</v>
      </c>
      <c r="H83" t="str">
        <f>"REIMBURSE-LODGING &amp; MEALS"</f>
        <v>REIMBURSE-LODGING &amp; MEALS</v>
      </c>
    </row>
    <row r="84" spans="1:8" x14ac:dyDescent="0.25">
      <c r="E84" t="str">
        <f>"201811054836"</f>
        <v>201811054836</v>
      </c>
      <c r="F84" t="str">
        <f>"REIMBURSE-MISC EXPENSES"</f>
        <v>REIMBURSE-MISC EXPENSES</v>
      </c>
      <c r="G84" s="2">
        <v>271.77</v>
      </c>
      <c r="H84" t="str">
        <f>"REIMBURSE-MISC EXPENSES"</f>
        <v>REIMBURSE-MISC EXPENSES</v>
      </c>
    </row>
    <row r="85" spans="1:8" x14ac:dyDescent="0.25">
      <c r="A85" t="s">
        <v>40</v>
      </c>
      <c r="B85">
        <v>79392</v>
      </c>
      <c r="C85" s="3">
        <v>2197</v>
      </c>
      <c r="D85" s="1">
        <v>43417</v>
      </c>
      <c r="E85" t="str">
        <f>"INV-1488"</f>
        <v>INV-1488</v>
      </c>
      <c r="F85" t="str">
        <f>"INSTALL FEE/AGENCY 360/QU-0776"</f>
        <v>INSTALL FEE/AGENCY 360/QU-0776</v>
      </c>
      <c r="G85" s="2">
        <v>2197</v>
      </c>
      <c r="H85" t="str">
        <f>"INSTALL FEE/AGENCY 360/QU-0776"</f>
        <v>INSTALL FEE/AGENCY 360/QU-0776</v>
      </c>
    </row>
    <row r="86" spans="1:8" x14ac:dyDescent="0.25">
      <c r="A86" t="s">
        <v>41</v>
      </c>
      <c r="B86">
        <v>79644</v>
      </c>
      <c r="C86" s="3">
        <v>203.29</v>
      </c>
      <c r="D86" s="1">
        <v>43430</v>
      </c>
      <c r="E86" t="str">
        <f>"6404775"</f>
        <v>6404775</v>
      </c>
      <c r="F86" t="str">
        <f>"PARTS / P3"</f>
        <v>PARTS / P3</v>
      </c>
      <c r="G86" s="2">
        <v>203.29</v>
      </c>
      <c r="H86" t="str">
        <f>"PARTS / P3"</f>
        <v>PARTS / P3</v>
      </c>
    </row>
    <row r="87" spans="1:8" x14ac:dyDescent="0.25">
      <c r="A87" t="s">
        <v>42</v>
      </c>
      <c r="B87">
        <v>999999</v>
      </c>
      <c r="C87" s="3">
        <v>1700</v>
      </c>
      <c r="D87" s="1">
        <v>43418</v>
      </c>
      <c r="E87" t="str">
        <f>"201810304751"</f>
        <v>201810304751</v>
      </c>
      <c r="F87" t="str">
        <f>"16681"</f>
        <v>16681</v>
      </c>
      <c r="G87" s="2">
        <v>400</v>
      </c>
      <c r="H87" t="str">
        <f>"16681"</f>
        <v>16681</v>
      </c>
    </row>
    <row r="88" spans="1:8" x14ac:dyDescent="0.25">
      <c r="E88" t="str">
        <f>"201810304752"</f>
        <v>201810304752</v>
      </c>
      <c r="F88" t="str">
        <f>"55 774"</f>
        <v>55 774</v>
      </c>
      <c r="G88" s="2">
        <v>100</v>
      </c>
      <c r="H88" t="str">
        <f>"55 774"</f>
        <v>55 774</v>
      </c>
    </row>
    <row r="89" spans="1:8" x14ac:dyDescent="0.25">
      <c r="E89" t="str">
        <f>"201811054824"</f>
        <v>201811054824</v>
      </c>
      <c r="F89" t="str">
        <f>"16515"</f>
        <v>16515</v>
      </c>
      <c r="G89" s="2">
        <v>800</v>
      </c>
      <c r="H89" t="str">
        <f>"16515"</f>
        <v>16515</v>
      </c>
    </row>
    <row r="90" spans="1:8" x14ac:dyDescent="0.25">
      <c r="E90" t="str">
        <f>"201811054825"</f>
        <v>201811054825</v>
      </c>
      <c r="F90" t="str">
        <f>"16521"</f>
        <v>16521</v>
      </c>
      <c r="G90" s="2">
        <v>400</v>
      </c>
      <c r="H90" t="str">
        <f>"16521"</f>
        <v>16521</v>
      </c>
    </row>
    <row r="91" spans="1:8" x14ac:dyDescent="0.25">
      <c r="A91" t="s">
        <v>42</v>
      </c>
      <c r="B91">
        <v>999999</v>
      </c>
      <c r="C91" s="3">
        <v>400</v>
      </c>
      <c r="D91" s="1">
        <v>43431</v>
      </c>
      <c r="E91" t="str">
        <f>"201811155183"</f>
        <v>201811155183</v>
      </c>
      <c r="F91" t="str">
        <f>"16 676"</f>
        <v>16 676</v>
      </c>
      <c r="G91" s="2">
        <v>400</v>
      </c>
      <c r="H91" t="str">
        <f>"16 676"</f>
        <v>16 676</v>
      </c>
    </row>
    <row r="92" spans="1:8" x14ac:dyDescent="0.25">
      <c r="A92" t="s">
        <v>43</v>
      </c>
      <c r="B92">
        <v>79393</v>
      </c>
      <c r="C92" s="3">
        <v>1979.86</v>
      </c>
      <c r="D92" s="1">
        <v>43417</v>
      </c>
      <c r="E92" t="str">
        <f>"201810264666"</f>
        <v>201810264666</v>
      </c>
      <c r="F92" t="str">
        <f>"423-4944"</f>
        <v>423-4944</v>
      </c>
      <c r="G92" s="2">
        <v>317.99</v>
      </c>
      <c r="H92" t="str">
        <f>"423-4944"</f>
        <v>423-4944</v>
      </c>
    </row>
    <row r="93" spans="1:8" x14ac:dyDescent="0.25">
      <c r="E93" t="str">
        <f>"201810304718"</f>
        <v>201810304718</v>
      </c>
      <c r="F93" t="str">
        <f>"CRIMINAL DOCKET"</f>
        <v>CRIMINAL DOCKET</v>
      </c>
      <c r="G93" s="2">
        <v>317.99</v>
      </c>
      <c r="H93" t="str">
        <f>"CRIMINAL DOCKET"</f>
        <v>CRIMINAL DOCKET</v>
      </c>
    </row>
    <row r="94" spans="1:8" x14ac:dyDescent="0.25">
      <c r="E94" t="str">
        <f>"201810304745"</f>
        <v>201810304745</v>
      </c>
      <c r="F94" t="str">
        <f>"ATTORNEY GENERAL DOCKET"</f>
        <v>ATTORNEY GENERAL DOCKET</v>
      </c>
      <c r="G94" s="2">
        <v>335.97</v>
      </c>
      <c r="H94" t="str">
        <f>"ATTORNEY GENERAL DOCKET"</f>
        <v>ATTORNEY GENERAL DOCKET</v>
      </c>
    </row>
    <row r="95" spans="1:8" x14ac:dyDescent="0.25">
      <c r="E95" t="str">
        <f>"201810304746"</f>
        <v>201810304746</v>
      </c>
      <c r="F95" t="str">
        <f>"335TH DC CRIMINAL DOCKET"</f>
        <v>335TH DC CRIMINAL DOCKET</v>
      </c>
      <c r="G95" s="2">
        <v>335.97</v>
      </c>
      <c r="H95" t="str">
        <f>"335TH DC CRIMINAL DOCKET"</f>
        <v>335TH DC CRIMINAL DOCKET</v>
      </c>
    </row>
    <row r="96" spans="1:8" x14ac:dyDescent="0.25">
      <c r="E96" t="str">
        <f>"201811024816"</f>
        <v>201811024816</v>
      </c>
      <c r="F96" t="str">
        <f>"CRIMINAL DOCKET"</f>
        <v>CRIMINAL DOCKET</v>
      </c>
      <c r="G96" s="2">
        <v>335.97</v>
      </c>
      <c r="H96" t="str">
        <f>"CRIMINAL DOCKET"</f>
        <v>CRIMINAL DOCKET</v>
      </c>
    </row>
    <row r="97" spans="1:9" x14ac:dyDescent="0.25">
      <c r="E97" t="str">
        <f>"201811024817"</f>
        <v>201811024817</v>
      </c>
      <c r="F97" t="str">
        <f>"CRIMINAL DOCKET 9AM"</f>
        <v>CRIMINAL DOCKET 9AM</v>
      </c>
      <c r="G97" s="2">
        <v>335.97</v>
      </c>
      <c r="H97" t="str">
        <f>"CRIMINAL DOCKET 9AM"</f>
        <v>CRIMINAL DOCKET 9AM</v>
      </c>
    </row>
    <row r="98" spans="1:9" x14ac:dyDescent="0.25">
      <c r="A98" t="s">
        <v>43</v>
      </c>
      <c r="B98">
        <v>79645</v>
      </c>
      <c r="C98" s="3">
        <v>671.94</v>
      </c>
      <c r="D98" s="1">
        <v>43430</v>
      </c>
      <c r="E98" t="str">
        <f>"201811145124"</f>
        <v>201811145124</v>
      </c>
      <c r="F98" t="str">
        <f>"ATTORNEY GENERAL DOCKET"</f>
        <v>ATTORNEY GENERAL DOCKET</v>
      </c>
      <c r="G98" s="2">
        <v>335.97</v>
      </c>
      <c r="H98" t="str">
        <f>"ATTORNEY GENERAL DOCKET"</f>
        <v>ATTORNEY GENERAL DOCKET</v>
      </c>
    </row>
    <row r="99" spans="1:9" x14ac:dyDescent="0.25">
      <c r="E99" t="str">
        <f>"201811145125"</f>
        <v>201811145125</v>
      </c>
      <c r="F99" t="str">
        <f>"JAIL VISIT"</f>
        <v>JAIL VISIT</v>
      </c>
      <c r="G99" s="2">
        <v>335.97</v>
      </c>
      <c r="H99" t="str">
        <f>"JAIL VISIT"</f>
        <v>JAIL VISIT</v>
      </c>
    </row>
    <row r="100" spans="1:9" x14ac:dyDescent="0.25">
      <c r="A100" t="s">
        <v>44</v>
      </c>
      <c r="B100">
        <v>79394</v>
      </c>
      <c r="C100" s="3">
        <v>1500</v>
      </c>
      <c r="D100" s="1">
        <v>43417</v>
      </c>
      <c r="E100" t="str">
        <f>"201810234633"</f>
        <v>201810234633</v>
      </c>
      <c r="F100" t="str">
        <f>"423-5629"</f>
        <v>423-5629</v>
      </c>
      <c r="G100" s="2">
        <v>1500</v>
      </c>
      <c r="H100" t="str">
        <f>"423-5629"</f>
        <v>423-5629</v>
      </c>
    </row>
    <row r="101" spans="1:9" x14ac:dyDescent="0.25">
      <c r="A101" t="s">
        <v>45</v>
      </c>
      <c r="B101">
        <v>79646</v>
      </c>
      <c r="C101" s="3">
        <v>30</v>
      </c>
      <c r="D101" s="1">
        <v>43430</v>
      </c>
      <c r="E101" t="s">
        <v>46</v>
      </c>
      <c r="F101" t="s">
        <v>47</v>
      </c>
      <c r="G101" s="2" t="str">
        <f>"RESTITUTION-T. CHURCH"</f>
        <v>RESTITUTION-T. CHURCH</v>
      </c>
      <c r="H101" t="str">
        <f>"210-0000"</f>
        <v>210-0000</v>
      </c>
      <c r="I101" t="str">
        <f>""</f>
        <v/>
      </c>
    </row>
    <row r="102" spans="1:9" x14ac:dyDescent="0.25">
      <c r="A102" t="s">
        <v>48</v>
      </c>
      <c r="B102">
        <v>999999</v>
      </c>
      <c r="C102" s="3">
        <v>6877.01</v>
      </c>
      <c r="D102" s="1">
        <v>43431</v>
      </c>
      <c r="E102" t="str">
        <f>"31718061"</f>
        <v>31718061</v>
      </c>
      <c r="F102" t="str">
        <f>"CUST#39329/PCT#4"</f>
        <v>CUST#39329/PCT#4</v>
      </c>
      <c r="G102" s="2">
        <v>6877.01</v>
      </c>
      <c r="H102" t="str">
        <f>"CUST#39329/PCT#4"</f>
        <v>CUST#39329/PCT#4</v>
      </c>
    </row>
    <row r="103" spans="1:9" x14ac:dyDescent="0.25">
      <c r="A103" t="s">
        <v>49</v>
      </c>
      <c r="B103">
        <v>79395</v>
      </c>
      <c r="C103" s="3">
        <v>1000</v>
      </c>
      <c r="D103" s="1">
        <v>43417</v>
      </c>
      <c r="E103" t="str">
        <f>"201811064850"</f>
        <v>201811064850</v>
      </c>
      <c r="F103" t="str">
        <f>"VET SURGICAL SVCS 10/31 &amp; 11/5"</f>
        <v>VET SURGICAL SVCS 10/31 &amp; 11/5</v>
      </c>
      <c r="G103" s="2">
        <v>1000</v>
      </c>
      <c r="H103" t="str">
        <f>"VET SURGICAL SVCS 10/31 &amp; 11/5"</f>
        <v>VET SURGICAL SVCS 10/31 &amp; 11/5</v>
      </c>
    </row>
    <row r="104" spans="1:9" x14ac:dyDescent="0.25">
      <c r="A104" t="s">
        <v>50</v>
      </c>
      <c r="B104">
        <v>79396</v>
      </c>
      <c r="C104" s="3">
        <v>474</v>
      </c>
      <c r="D104" s="1">
        <v>43417</v>
      </c>
      <c r="E104" t="str">
        <f>"33205"</f>
        <v>33205</v>
      </c>
      <c r="F104" t="str">
        <f>"RENTAL-COOL WATER DR"</f>
        <v>RENTAL-COOL WATER DR</v>
      </c>
      <c r="G104" s="2">
        <v>215</v>
      </c>
      <c r="H104" t="str">
        <f>"RENTAL-COOL WATER DR"</f>
        <v>RENTAL-COOL WATER DR</v>
      </c>
    </row>
    <row r="105" spans="1:9" x14ac:dyDescent="0.25">
      <c r="E105" t="str">
        <f>"33206"</f>
        <v>33206</v>
      </c>
      <c r="F105" t="str">
        <f>"RENTAL-375 RIVERSIDE LAUNCH"</f>
        <v>RENTAL-375 RIVERSIDE LAUNCH</v>
      </c>
      <c r="G105" s="2">
        <v>259</v>
      </c>
      <c r="H105" t="str">
        <f>"RENTAL-375 RIVERSIDE LAUNCH"</f>
        <v>RENTAL-375 RIVERSIDE LAUNCH</v>
      </c>
    </row>
    <row r="106" spans="1:9" x14ac:dyDescent="0.25">
      <c r="A106" t="s">
        <v>50</v>
      </c>
      <c r="B106">
        <v>79647</v>
      </c>
      <c r="C106" s="3">
        <v>97</v>
      </c>
      <c r="D106" s="1">
        <v>43430</v>
      </c>
      <c r="E106" t="str">
        <f>"33552"</f>
        <v>33552</v>
      </c>
      <c r="F106" t="str">
        <f>"RENTAL-SHILOH RD &amp; 304/PCT#1"</f>
        <v>RENTAL-SHILOH RD &amp; 304/PCT#1</v>
      </c>
      <c r="G106" s="2">
        <v>97</v>
      </c>
      <c r="H106" t="str">
        <f>"RENTAL-SHILOH RD &amp; 304/PCT#1"</f>
        <v>RENTAL-SHILOH RD &amp; 304/PCT#1</v>
      </c>
    </row>
    <row r="107" spans="1:9" x14ac:dyDescent="0.25">
      <c r="A107" t="s">
        <v>51</v>
      </c>
      <c r="B107">
        <v>999999</v>
      </c>
      <c r="C107" s="3">
        <v>8758.94</v>
      </c>
      <c r="D107" s="1">
        <v>43418</v>
      </c>
      <c r="E107" t="str">
        <f>"1FGP-DDQX-9DN1"</f>
        <v>1FGP-DDQX-9DN1</v>
      </c>
      <c r="F107" t="str">
        <f>"Water Closet Repair Kit"</f>
        <v>Water Closet Repair Kit</v>
      </c>
      <c r="G107" s="2">
        <v>45.2</v>
      </c>
      <c r="H107" t="str">
        <f>"Water Closet Repair Kit"</f>
        <v>Water Closet Repair Kit</v>
      </c>
    </row>
    <row r="108" spans="1:9" x14ac:dyDescent="0.25">
      <c r="E108" t="str">
        <f>"1FGP-DDQX-NWXY"</f>
        <v>1FGP-DDQX-NWXY</v>
      </c>
      <c r="F108" t="str">
        <f>"AMAZON CAPITAL SERVICES INC"</f>
        <v>AMAZON CAPITAL SERVICES INC</v>
      </c>
      <c r="G108" s="2">
        <v>17.079999999999998</v>
      </c>
      <c r="H108" t="str">
        <f>"Quick Strap"</f>
        <v>Quick Strap</v>
      </c>
    </row>
    <row r="109" spans="1:9" x14ac:dyDescent="0.25">
      <c r="E109" t="str">
        <f>"1FGP-DDQX-XHC9 +"</f>
        <v>1FGP-DDQX-XHC9 +</v>
      </c>
      <c r="F109" t="str">
        <f>"Flash Drive Order"</f>
        <v>Flash Drive Order</v>
      </c>
      <c r="G109" s="2">
        <v>5121.2</v>
      </c>
      <c r="H109" t="str">
        <f>"SanDisk 32GB Glide"</f>
        <v>SanDisk 32GB Glide</v>
      </c>
    </row>
    <row r="110" spans="1:9" x14ac:dyDescent="0.25">
      <c r="E110" t="str">
        <f>""</f>
        <v/>
      </c>
      <c r="F110" t="str">
        <f>""</f>
        <v/>
      </c>
      <c r="H110" t="str">
        <f>"SanDisk 16GB"</f>
        <v>SanDisk 16GB</v>
      </c>
    </row>
    <row r="111" spans="1:9" x14ac:dyDescent="0.25">
      <c r="E111" t="str">
        <f>""</f>
        <v/>
      </c>
      <c r="F111" t="str">
        <f>""</f>
        <v/>
      </c>
      <c r="H111" t="str">
        <f>"SanDisk 8GB"</f>
        <v>SanDisk 8GB</v>
      </c>
    </row>
    <row r="112" spans="1:9" x14ac:dyDescent="0.25">
      <c r="E112" t="str">
        <f>""</f>
        <v/>
      </c>
      <c r="F112" t="str">
        <f>""</f>
        <v/>
      </c>
      <c r="H112" t="str">
        <f>"Ruggedized 64GB 6PK"</f>
        <v>Ruggedized 64GB 6PK</v>
      </c>
    </row>
    <row r="113" spans="5:8" x14ac:dyDescent="0.25">
      <c r="E113" t="str">
        <f>""</f>
        <v/>
      </c>
      <c r="F113" t="str">
        <f>""</f>
        <v/>
      </c>
      <c r="H113" t="str">
        <f>"Ruggedized 64GB 8PK"</f>
        <v>Ruggedized 64GB 8PK</v>
      </c>
    </row>
    <row r="114" spans="5:8" x14ac:dyDescent="0.25">
      <c r="E114" t="str">
        <f>"1FGP-DDQXWWFP"</f>
        <v>1FGP-DDQXWWFP</v>
      </c>
      <c r="F114" t="str">
        <f>"New Office Chair"</f>
        <v>New Office Chair</v>
      </c>
      <c r="G114" s="2">
        <v>630.44000000000005</v>
      </c>
      <c r="H114" t="str">
        <f>"New Office Chair"</f>
        <v>New Office Chair</v>
      </c>
    </row>
    <row r="115" spans="5:8" x14ac:dyDescent="0.25">
      <c r="E115" t="str">
        <f>"1H9N-Y43Y-NPC1"</f>
        <v>1H9N-Y43Y-NPC1</v>
      </c>
      <c r="F115" t="str">
        <f>"screwdriver and set"</f>
        <v>screwdriver and set</v>
      </c>
      <c r="G115" s="2">
        <v>229.85</v>
      </c>
      <c r="H115" t="str">
        <f>"Screwdriver Set"</f>
        <v>Screwdriver Set</v>
      </c>
    </row>
    <row r="116" spans="5:8" x14ac:dyDescent="0.25">
      <c r="E116" t="str">
        <f>""</f>
        <v/>
      </c>
      <c r="F116" t="str">
        <f>""</f>
        <v/>
      </c>
      <c r="H116" t="str">
        <f>"Tool Set"</f>
        <v>Tool Set</v>
      </c>
    </row>
    <row r="117" spans="5:8" x14ac:dyDescent="0.25">
      <c r="E117" t="str">
        <f>"1MHY-4YC1-7PQL"</f>
        <v>1MHY-4YC1-7PQL</v>
      </c>
      <c r="F117" t="str">
        <f>"10 Books - Predators"</f>
        <v>10 Books - Predators</v>
      </c>
      <c r="G117" s="2">
        <v>175.9</v>
      </c>
      <c r="H117" t="str">
        <f>"10 Books - Predators"</f>
        <v>10 Books - Predators</v>
      </c>
    </row>
    <row r="118" spans="5:8" x14ac:dyDescent="0.25">
      <c r="E118" t="str">
        <f>"1NQY-XQ11-DVW7"</f>
        <v>1NQY-XQ11-DVW7</v>
      </c>
      <c r="F118" t="str">
        <f>"parts for Rest Room Surgi"</f>
        <v>parts for Rest Room Surgi</v>
      </c>
      <c r="G118" s="2">
        <v>102.33</v>
      </c>
      <c r="H118" t="str">
        <f>"H-634-AA"</f>
        <v>H-634-AA</v>
      </c>
    </row>
    <row r="119" spans="5:8" x14ac:dyDescent="0.25">
      <c r="E119" t="str">
        <f>""</f>
        <v/>
      </c>
      <c r="F119" t="str">
        <f>""</f>
        <v/>
      </c>
      <c r="H119" t="str">
        <f>"H-541-ASD"</f>
        <v>H-541-ASD</v>
      </c>
    </row>
    <row r="120" spans="5:8" x14ac:dyDescent="0.25">
      <c r="E120" t="str">
        <f>""</f>
        <v/>
      </c>
      <c r="F120" t="str">
        <f>""</f>
        <v/>
      </c>
      <c r="H120" t="str">
        <f>"H-1010-A"</f>
        <v>H-1010-A</v>
      </c>
    </row>
    <row r="121" spans="5:8" x14ac:dyDescent="0.25">
      <c r="E121" t="str">
        <f>""</f>
        <v/>
      </c>
      <c r="F121" t="str">
        <f>""</f>
        <v/>
      </c>
      <c r="H121" t="str">
        <f>"H579"</f>
        <v>H579</v>
      </c>
    </row>
    <row r="122" spans="5:8" x14ac:dyDescent="0.25">
      <c r="E122" t="str">
        <f>""</f>
        <v/>
      </c>
      <c r="F122" t="str">
        <f>""</f>
        <v/>
      </c>
      <c r="H122" t="str">
        <f>"H700"</f>
        <v>H700</v>
      </c>
    </row>
    <row r="123" spans="5:8" x14ac:dyDescent="0.25">
      <c r="E123" t="str">
        <f>"1P7G-WFJD-3RQ1"</f>
        <v>1P7G-WFJD-3RQ1</v>
      </c>
      <c r="F123" t="str">
        <f>"FI- 5160 Scanner"</f>
        <v>FI- 5160 Scanner</v>
      </c>
      <c r="G123" s="2">
        <v>1740</v>
      </c>
      <c r="H123" t="str">
        <f>"FI- 5160 Scanner"</f>
        <v>FI- 5160 Scanner</v>
      </c>
    </row>
    <row r="124" spans="5:8" x14ac:dyDescent="0.25">
      <c r="E124" t="str">
        <f>"1RN6-9LHP-M6NR"</f>
        <v>1RN6-9LHP-M6NR</v>
      </c>
      <c r="F124" t="str">
        <f>"Inv# 1RN6-9LHP-M6NR"</f>
        <v>Inv# 1RN6-9LHP-M6NR</v>
      </c>
      <c r="G124" s="2">
        <v>290.32</v>
      </c>
      <c r="H124" t="str">
        <f>"MediaSonic"</f>
        <v>MediaSonic</v>
      </c>
    </row>
    <row r="125" spans="5:8" x14ac:dyDescent="0.25">
      <c r="E125" t="str">
        <f>""</f>
        <v/>
      </c>
      <c r="F125" t="str">
        <f>""</f>
        <v/>
      </c>
      <c r="H125" t="str">
        <f>"WD Blue 4TB"</f>
        <v>WD Blue 4TB</v>
      </c>
    </row>
    <row r="126" spans="5:8" x14ac:dyDescent="0.25">
      <c r="E126" t="str">
        <f>""</f>
        <v/>
      </c>
      <c r="F126" t="str">
        <f>""</f>
        <v/>
      </c>
      <c r="H126" t="str">
        <f>"Shipping"</f>
        <v>Shipping</v>
      </c>
    </row>
    <row r="127" spans="5:8" x14ac:dyDescent="0.25">
      <c r="E127" t="str">
        <f>"1V96-9HR3-3GCC"</f>
        <v>1V96-9HR3-3GCC</v>
      </c>
      <c r="F127" t="str">
        <f>"Surgical Center Parts"</f>
        <v>Surgical Center Parts</v>
      </c>
      <c r="G127" s="2">
        <v>84.54</v>
      </c>
      <c r="H127" t="str">
        <f>"Philips 429100 120 W"</f>
        <v>Philips 429100 120 W</v>
      </c>
    </row>
    <row r="128" spans="5:8" x14ac:dyDescent="0.25">
      <c r="E128" t="str">
        <f>""</f>
        <v/>
      </c>
      <c r="F128" t="str">
        <f>""</f>
        <v/>
      </c>
      <c r="H128" t="str">
        <f>"Simple Seal K&amp;B Whit"</f>
        <v>Simple Seal K&amp;B Whit</v>
      </c>
    </row>
    <row r="129" spans="1:8" x14ac:dyDescent="0.25">
      <c r="E129" t="str">
        <f>"1XMX-J9YK-3HNM"</f>
        <v>1XMX-J9YK-3HNM</v>
      </c>
      <c r="F129" t="str">
        <f>"AMAZON CAPITAL SERVICES INC"</f>
        <v>AMAZON CAPITAL SERVICES INC</v>
      </c>
      <c r="G129" s="2">
        <v>49.58</v>
      </c>
      <c r="H129" t="str">
        <f>"Charger"</f>
        <v>Charger</v>
      </c>
    </row>
    <row r="130" spans="1:8" x14ac:dyDescent="0.25">
      <c r="E130" t="str">
        <f>"1XMX-J9YK-KC6V"</f>
        <v>1XMX-J9YK-KC6V</v>
      </c>
      <c r="F130" t="str">
        <f>"AMAZON CAPITAL SERVICES INC"</f>
        <v>AMAZON CAPITAL SERVICES INC</v>
      </c>
      <c r="G130" s="2">
        <v>272.5</v>
      </c>
      <c r="H130" t="str">
        <f>"Office Chairs"</f>
        <v>Office Chairs</v>
      </c>
    </row>
    <row r="131" spans="1:8" x14ac:dyDescent="0.25">
      <c r="A131" t="s">
        <v>51</v>
      </c>
      <c r="B131">
        <v>999999</v>
      </c>
      <c r="C131" s="3">
        <v>1077.49</v>
      </c>
      <c r="D131" s="1">
        <v>43431</v>
      </c>
      <c r="E131" t="str">
        <f>"11GM-QK7C-XXYG"</f>
        <v>11GM-QK7C-XXYG</v>
      </c>
      <c r="F131" t="str">
        <f>"Rachet Strap Order"</f>
        <v>Rachet Strap Order</v>
      </c>
      <c r="G131" s="2">
        <v>29.99</v>
      </c>
      <c r="H131" t="str">
        <f>"Rachet Strap Order"</f>
        <v>Rachet Strap Order</v>
      </c>
    </row>
    <row r="132" spans="1:8" x14ac:dyDescent="0.25">
      <c r="E132" t="str">
        <f>"19FJ-QCFD-PRPK"</f>
        <v>19FJ-QCFD-PRPK</v>
      </c>
      <c r="F132" t="str">
        <f>"Desk Order"</f>
        <v>Desk Order</v>
      </c>
      <c r="G132" s="2">
        <v>774.03</v>
      </c>
      <c r="H132" t="str">
        <f>"Desk"</f>
        <v>Desk</v>
      </c>
    </row>
    <row r="133" spans="1:8" x14ac:dyDescent="0.25">
      <c r="E133" t="str">
        <f>""</f>
        <v/>
      </c>
      <c r="F133" t="str">
        <f>""</f>
        <v/>
      </c>
      <c r="H133" t="str">
        <f>"floor mat"</f>
        <v>floor mat</v>
      </c>
    </row>
    <row r="134" spans="1:8" x14ac:dyDescent="0.25">
      <c r="E134" t="str">
        <f>""</f>
        <v/>
      </c>
      <c r="F134" t="str">
        <f>""</f>
        <v/>
      </c>
      <c r="H134" t="str">
        <f>"Chair"</f>
        <v>Chair</v>
      </c>
    </row>
    <row r="135" spans="1:8" x14ac:dyDescent="0.25">
      <c r="E135" t="str">
        <f>"1PJ7-Y1DK-MKFV"</f>
        <v>1PJ7-Y1DK-MKFV</v>
      </c>
      <c r="F135" t="str">
        <f>"AMAZON CAPITAL SERVICES INC"</f>
        <v>AMAZON CAPITAL SERVICES INC</v>
      </c>
      <c r="G135" s="2">
        <v>119.8</v>
      </c>
      <c r="H135" t="str">
        <f>"Halogen Bulbs"</f>
        <v>Halogen Bulbs</v>
      </c>
    </row>
    <row r="136" spans="1:8" x14ac:dyDescent="0.25">
      <c r="E136" t="str">
        <f>"1TKT-QRFF-RNQL"</f>
        <v>1TKT-QRFF-RNQL</v>
      </c>
      <c r="F136" t="str">
        <f>"Two Cycle gas and straps"</f>
        <v>Two Cycle gas and straps</v>
      </c>
      <c r="G136" s="2">
        <v>123.68</v>
      </c>
      <c r="H136" t="str">
        <f>"Straps"</f>
        <v>Straps</v>
      </c>
    </row>
    <row r="137" spans="1:8" x14ac:dyDescent="0.25">
      <c r="E137" t="str">
        <f>""</f>
        <v/>
      </c>
      <c r="F137" t="str">
        <f>""</f>
        <v/>
      </c>
      <c r="H137" t="str">
        <f>"Two Cycle gas"</f>
        <v>Two Cycle gas</v>
      </c>
    </row>
    <row r="138" spans="1:8" x14ac:dyDescent="0.25">
      <c r="E138" t="str">
        <f>"1TKT-QRFF-VPG3"</f>
        <v>1TKT-QRFF-VPG3</v>
      </c>
      <c r="F138" t="str">
        <f>"AMAZON CAPITAL SERVICES INC"</f>
        <v>AMAZON CAPITAL SERVICES INC</v>
      </c>
      <c r="G138" s="2">
        <v>29.99</v>
      </c>
      <c r="H138" t="str">
        <f>"Acer Battery"</f>
        <v>Acer Battery</v>
      </c>
    </row>
    <row r="139" spans="1:8" x14ac:dyDescent="0.25">
      <c r="A139" t="s">
        <v>52</v>
      </c>
      <c r="B139">
        <v>79397</v>
      </c>
      <c r="C139" s="3">
        <v>1890.81</v>
      </c>
      <c r="D139" s="1">
        <v>43417</v>
      </c>
      <c r="E139" t="str">
        <f>"1W7M-7NR6-FVDK +"</f>
        <v>1W7M-7NR6-FVDK +</v>
      </c>
      <c r="F139" t="str">
        <f>"Wrangler L/S Shirts"</f>
        <v>Wrangler L/S Shirts</v>
      </c>
      <c r="G139" s="2">
        <v>1890.81</v>
      </c>
      <c r="H139" t="str">
        <f>"X-Large"</f>
        <v>X-Large</v>
      </c>
    </row>
    <row r="140" spans="1:8" x14ac:dyDescent="0.25">
      <c r="E140" t="str">
        <f>""</f>
        <v/>
      </c>
      <c r="F140" t="str">
        <f>""</f>
        <v/>
      </c>
      <c r="H140" t="str">
        <f>"3X Tall"</f>
        <v>3X Tall</v>
      </c>
    </row>
    <row r="141" spans="1:8" x14ac:dyDescent="0.25">
      <c r="E141" t="str">
        <f>""</f>
        <v/>
      </c>
      <c r="F141" t="str">
        <f>""</f>
        <v/>
      </c>
      <c r="H141" t="str">
        <f>"X-Large Tall"</f>
        <v>X-Large Tall</v>
      </c>
    </row>
    <row r="142" spans="1:8" x14ac:dyDescent="0.25">
      <c r="E142" t="str">
        <f>""</f>
        <v/>
      </c>
      <c r="F142" t="str">
        <f>""</f>
        <v/>
      </c>
      <c r="H142" t="str">
        <f>"XX-Large"</f>
        <v>XX-Large</v>
      </c>
    </row>
    <row r="143" spans="1:8" x14ac:dyDescent="0.25">
      <c r="E143" t="str">
        <f>""</f>
        <v/>
      </c>
      <c r="F143" t="str">
        <f>""</f>
        <v/>
      </c>
      <c r="H143" t="str">
        <f>"4X Big"</f>
        <v>4X Big</v>
      </c>
    </row>
    <row r="144" spans="1:8" x14ac:dyDescent="0.25">
      <c r="E144" t="str">
        <f>""</f>
        <v/>
      </c>
      <c r="F144" t="str">
        <f>""</f>
        <v/>
      </c>
      <c r="H144" t="str">
        <f>"3X Tall"</f>
        <v>3X Tall</v>
      </c>
    </row>
    <row r="145" spans="1:8" x14ac:dyDescent="0.25">
      <c r="E145" t="str">
        <f>""</f>
        <v/>
      </c>
      <c r="F145" t="str">
        <f>""</f>
        <v/>
      </c>
      <c r="H145" t="str">
        <f>"X-Large Tall"</f>
        <v>X-Large Tall</v>
      </c>
    </row>
    <row r="146" spans="1:8" x14ac:dyDescent="0.25">
      <c r="E146" t="str">
        <f>""</f>
        <v/>
      </c>
      <c r="F146" t="str">
        <f>""</f>
        <v/>
      </c>
      <c r="H146" t="str">
        <f>"3X Tall"</f>
        <v>3X Tall</v>
      </c>
    </row>
    <row r="147" spans="1:8" x14ac:dyDescent="0.25">
      <c r="E147" t="str">
        <f>""</f>
        <v/>
      </c>
      <c r="F147" t="str">
        <f>""</f>
        <v/>
      </c>
      <c r="H147" t="str">
        <f>"4X Big"</f>
        <v>4X Big</v>
      </c>
    </row>
    <row r="148" spans="1:8" x14ac:dyDescent="0.25">
      <c r="E148" t="str">
        <f>""</f>
        <v/>
      </c>
      <c r="F148" t="str">
        <f>""</f>
        <v/>
      </c>
      <c r="H148" t="str">
        <f>"Large"</f>
        <v>Large</v>
      </c>
    </row>
    <row r="149" spans="1:8" x14ac:dyDescent="0.25">
      <c r="E149" t="str">
        <f>""</f>
        <v/>
      </c>
      <c r="F149" t="str">
        <f>""</f>
        <v/>
      </c>
      <c r="H149" t="str">
        <f>"X-Large Tall"</f>
        <v>X-Large Tall</v>
      </c>
    </row>
    <row r="150" spans="1:8" x14ac:dyDescent="0.25">
      <c r="E150" t="str">
        <f>""</f>
        <v/>
      </c>
      <c r="F150" t="str">
        <f>""</f>
        <v/>
      </c>
      <c r="H150" t="str">
        <f>"shipping"</f>
        <v>shipping</v>
      </c>
    </row>
    <row r="151" spans="1:8" x14ac:dyDescent="0.25">
      <c r="A151" t="s">
        <v>53</v>
      </c>
      <c r="B151">
        <v>79648</v>
      </c>
      <c r="C151" s="3">
        <v>28.19</v>
      </c>
      <c r="D151" s="1">
        <v>43430</v>
      </c>
      <c r="E151" t="str">
        <f>"5330653"</f>
        <v>5330653</v>
      </c>
      <c r="F151" t="str">
        <f>"PART / P3"</f>
        <v>PART / P3</v>
      </c>
      <c r="G151" s="2">
        <v>28.19</v>
      </c>
      <c r="H151" t="str">
        <f>"PART / P3"</f>
        <v>PART / P3</v>
      </c>
    </row>
    <row r="152" spans="1:8" x14ac:dyDescent="0.25">
      <c r="A152" t="s">
        <v>54</v>
      </c>
      <c r="B152">
        <v>79398</v>
      </c>
      <c r="C152" s="3">
        <v>100.54</v>
      </c>
      <c r="D152" s="1">
        <v>43417</v>
      </c>
      <c r="E152" t="str">
        <f>"S115689313"</f>
        <v>S115689313</v>
      </c>
      <c r="F152" t="str">
        <f>"CUST#379865/PCT#2"</f>
        <v>CUST#379865/PCT#2</v>
      </c>
      <c r="G152" s="2">
        <v>100.54</v>
      </c>
      <c r="H152" t="str">
        <f>"CUST#379865/PCT#2"</f>
        <v>CUST#379865/PCT#2</v>
      </c>
    </row>
    <row r="153" spans="1:8" x14ac:dyDescent="0.25">
      <c r="A153" t="s">
        <v>55</v>
      </c>
      <c r="B153">
        <v>79399</v>
      </c>
      <c r="C153" s="3">
        <v>3188.43</v>
      </c>
      <c r="D153" s="1">
        <v>43417</v>
      </c>
      <c r="E153" t="str">
        <f>"943749905"</f>
        <v>943749905</v>
      </c>
      <c r="F153" t="str">
        <f>"INV 943749905"</f>
        <v>INV 943749905</v>
      </c>
      <c r="G153" s="2">
        <v>185</v>
      </c>
      <c r="H153" t="str">
        <f>"INV 943749905"</f>
        <v>INV 943749905</v>
      </c>
    </row>
    <row r="154" spans="1:8" x14ac:dyDescent="0.25">
      <c r="E154" t="str">
        <f>""</f>
        <v/>
      </c>
      <c r="F154" t="str">
        <f>""</f>
        <v/>
      </c>
      <c r="H154" t="str">
        <f>"INV 943749906"</f>
        <v>INV 943749906</v>
      </c>
    </row>
    <row r="155" spans="1:8" x14ac:dyDescent="0.25">
      <c r="E155" t="str">
        <f>"944212734"</f>
        <v>944212734</v>
      </c>
      <c r="F155" t="str">
        <f>"INV 944212734"</f>
        <v>INV 944212734</v>
      </c>
      <c r="G155" s="2">
        <v>105.53</v>
      </c>
      <c r="H155" t="str">
        <f>"INV 944212734"</f>
        <v>INV 944212734</v>
      </c>
    </row>
    <row r="156" spans="1:8" x14ac:dyDescent="0.25">
      <c r="E156" t="str">
        <f>"944508516"</f>
        <v>944508516</v>
      </c>
      <c r="F156" t="str">
        <f>"INV 944508516"</f>
        <v>INV 944508516</v>
      </c>
      <c r="G156" s="2">
        <v>2897.9</v>
      </c>
      <c r="H156" t="str">
        <f>"INV 944508516"</f>
        <v>INV 944508516</v>
      </c>
    </row>
    <row r="157" spans="1:8" x14ac:dyDescent="0.25">
      <c r="A157" t="s">
        <v>56</v>
      </c>
      <c r="B157">
        <v>79400</v>
      </c>
      <c r="C157" s="3">
        <v>31470.720000000001</v>
      </c>
      <c r="D157" s="1">
        <v>43417</v>
      </c>
      <c r="E157" t="str">
        <f>"109323"</f>
        <v>109323</v>
      </c>
      <c r="F157" t="str">
        <f>"2018 TAX STATEMENT MAIL OUTS"</f>
        <v>2018 TAX STATEMENT MAIL OUTS</v>
      </c>
      <c r="G157" s="2">
        <v>31240.639999999999</v>
      </c>
      <c r="H157" t="str">
        <f>"2018 TAX STATEMENT MAIL OUTS"</f>
        <v>2018 TAX STATEMENT MAIL OUTS</v>
      </c>
    </row>
    <row r="158" spans="1:8" x14ac:dyDescent="0.25">
      <c r="E158" t="str">
        <f>""</f>
        <v/>
      </c>
      <c r="F158" t="str">
        <f>""</f>
        <v/>
      </c>
      <c r="H158" t="str">
        <f>"2018 TAX STATEMENT MAIL OUTS"</f>
        <v>2018 TAX STATEMENT MAIL OUTS</v>
      </c>
    </row>
    <row r="159" spans="1:8" x14ac:dyDescent="0.25">
      <c r="E159" t="str">
        <f>"109325"</f>
        <v>109325</v>
      </c>
      <c r="F159" t="str">
        <f>"POSTCARD/COVER/POSTAGE"</f>
        <v>POSTCARD/COVER/POSTAGE</v>
      </c>
      <c r="G159" s="2">
        <v>230.08</v>
      </c>
      <c r="H159" t="str">
        <f>"POSTCARD/COVER/POSTAGE"</f>
        <v>POSTCARD/COVER/POSTAGE</v>
      </c>
    </row>
    <row r="160" spans="1:8" x14ac:dyDescent="0.25">
      <c r="A160" t="s">
        <v>57</v>
      </c>
      <c r="B160">
        <v>999999</v>
      </c>
      <c r="C160" s="3">
        <v>5682.5</v>
      </c>
      <c r="D160" s="1">
        <v>43418</v>
      </c>
      <c r="E160" t="str">
        <f>"201810264667"</f>
        <v>201810264667</v>
      </c>
      <c r="F160" t="str">
        <f>"16 539"</f>
        <v>16 539</v>
      </c>
      <c r="G160" s="2">
        <v>400</v>
      </c>
      <c r="H160" t="str">
        <f>"16 539"</f>
        <v>16 539</v>
      </c>
    </row>
    <row r="161" spans="5:8" x14ac:dyDescent="0.25">
      <c r="E161" t="str">
        <f>"201810264668"</f>
        <v>201810264668</v>
      </c>
      <c r="F161" t="str">
        <f>"16 562"</f>
        <v>16 562</v>
      </c>
      <c r="G161" s="2">
        <v>800</v>
      </c>
      <c r="H161" t="str">
        <f>"16 562"</f>
        <v>16 562</v>
      </c>
    </row>
    <row r="162" spans="5:8" x14ac:dyDescent="0.25">
      <c r="E162" t="str">
        <f>"201810264669"</f>
        <v>201810264669</v>
      </c>
      <c r="F162" t="str">
        <f>"16 491"</f>
        <v>16 491</v>
      </c>
      <c r="G162" s="2">
        <v>400</v>
      </c>
      <c r="H162" t="str">
        <f>"16 491"</f>
        <v>16 491</v>
      </c>
    </row>
    <row r="163" spans="5:8" x14ac:dyDescent="0.25">
      <c r="E163" t="str">
        <f>"201810264670"</f>
        <v>201810264670</v>
      </c>
      <c r="F163" t="str">
        <f>"16 606"</f>
        <v>16 606</v>
      </c>
      <c r="G163" s="2">
        <v>400</v>
      </c>
      <c r="H163" t="str">
        <f>"16 606"</f>
        <v>16 606</v>
      </c>
    </row>
    <row r="164" spans="5:8" x14ac:dyDescent="0.25">
      <c r="E164" t="str">
        <f>"201810304715"</f>
        <v>201810304715</v>
      </c>
      <c r="F164" t="str">
        <f>"18-18966"</f>
        <v>18-18966</v>
      </c>
      <c r="G164" s="2">
        <v>310</v>
      </c>
      <c r="H164" t="str">
        <f>"18-18966"</f>
        <v>18-18966</v>
      </c>
    </row>
    <row r="165" spans="5:8" x14ac:dyDescent="0.25">
      <c r="E165" t="str">
        <f>"201810304716"</f>
        <v>201810304716</v>
      </c>
      <c r="F165" t="str">
        <f>"NO CAUSE # LISTED"</f>
        <v>NO CAUSE # LISTED</v>
      </c>
      <c r="G165" s="2">
        <v>100</v>
      </c>
      <c r="H165" t="str">
        <f>"NO CAUSE # LISTED"</f>
        <v>NO CAUSE # LISTED</v>
      </c>
    </row>
    <row r="166" spans="5:8" x14ac:dyDescent="0.25">
      <c r="E166" t="str">
        <f>"201810304717"</f>
        <v>201810304717</v>
      </c>
      <c r="F166" t="str">
        <f>"NO CAUSE # LISTED/DETENTION HE"</f>
        <v>NO CAUSE # LISTED/DETENTION HE</v>
      </c>
      <c r="G166" s="2">
        <v>100</v>
      </c>
      <c r="H166" t="str">
        <f>"NO CAUSE # LISTED/DETENTION HE"</f>
        <v>NO CAUSE # LISTED/DETENTION HE</v>
      </c>
    </row>
    <row r="167" spans="5:8" x14ac:dyDescent="0.25">
      <c r="E167" t="str">
        <f>"201810304739"</f>
        <v>201810304739</v>
      </c>
      <c r="F167" t="str">
        <f>"18-19285"</f>
        <v>18-19285</v>
      </c>
      <c r="G167" s="2">
        <v>100</v>
      </c>
      <c r="H167" t="str">
        <f>"18-19285"</f>
        <v>18-19285</v>
      </c>
    </row>
    <row r="168" spans="5:8" x14ac:dyDescent="0.25">
      <c r="E168" t="str">
        <f>"201810304740"</f>
        <v>201810304740</v>
      </c>
      <c r="F168" t="str">
        <f>"18-19142"</f>
        <v>18-19142</v>
      </c>
      <c r="G168" s="2">
        <v>280</v>
      </c>
      <c r="H168" t="str">
        <f>"18-19142"</f>
        <v>18-19142</v>
      </c>
    </row>
    <row r="169" spans="5:8" x14ac:dyDescent="0.25">
      <c r="E169" t="str">
        <f>"201810304743"</f>
        <v>201810304743</v>
      </c>
      <c r="F169" t="str">
        <f>"NO CAUSE # LISTED/DETENTION HE"</f>
        <v>NO CAUSE # LISTED/DETENTION HE</v>
      </c>
      <c r="G169" s="2">
        <v>100</v>
      </c>
      <c r="H169" t="str">
        <f>"NO CAUSE # LISTED/DETENTION HE"</f>
        <v>NO CAUSE # LISTED/DETENTION HE</v>
      </c>
    </row>
    <row r="170" spans="5:8" x14ac:dyDescent="0.25">
      <c r="E170" t="str">
        <f>"201811014793"</f>
        <v>201811014793</v>
      </c>
      <c r="F170" t="str">
        <f>"964-21"</f>
        <v>964-21</v>
      </c>
      <c r="G170" s="2">
        <v>100</v>
      </c>
      <c r="H170" t="str">
        <f>"964-21"</f>
        <v>964-21</v>
      </c>
    </row>
    <row r="171" spans="5:8" x14ac:dyDescent="0.25">
      <c r="E171" t="str">
        <f>"201811014794"</f>
        <v>201811014794</v>
      </c>
      <c r="F171" t="str">
        <f>"948-335"</f>
        <v>948-335</v>
      </c>
      <c r="G171" s="2">
        <v>100</v>
      </c>
      <c r="H171" t="str">
        <f>"948-335"</f>
        <v>948-335</v>
      </c>
    </row>
    <row r="172" spans="5:8" x14ac:dyDescent="0.25">
      <c r="E172" t="str">
        <f>"201811014795"</f>
        <v>201811014795</v>
      </c>
      <c r="F172" t="str">
        <f>"423-5732"</f>
        <v>423-5732</v>
      </c>
      <c r="G172" s="2">
        <v>805</v>
      </c>
      <c r="H172" t="str">
        <f>"423-5732"</f>
        <v>423-5732</v>
      </c>
    </row>
    <row r="173" spans="5:8" x14ac:dyDescent="0.25">
      <c r="E173" t="str">
        <f>"201811014796"</f>
        <v>201811014796</v>
      </c>
      <c r="F173" t="str">
        <f>"948-21  423-6068"</f>
        <v>948-21  423-6068</v>
      </c>
      <c r="G173" s="2">
        <v>200</v>
      </c>
      <c r="H173" t="str">
        <f>"948-21  423-6068"</f>
        <v>948-21  423-6068</v>
      </c>
    </row>
    <row r="174" spans="5:8" x14ac:dyDescent="0.25">
      <c r="E174" t="str">
        <f>"201811014797"</f>
        <v>201811014797</v>
      </c>
      <c r="F174" t="str">
        <f>"423-6096  964-335"</f>
        <v>423-6096  964-335</v>
      </c>
      <c r="G174" s="2">
        <v>200</v>
      </c>
      <c r="H174" t="str">
        <f>"423-6096  964-335"</f>
        <v>423-6096  964-335</v>
      </c>
    </row>
    <row r="175" spans="5:8" x14ac:dyDescent="0.25">
      <c r="E175" t="str">
        <f>"201811064895"</f>
        <v>201811064895</v>
      </c>
      <c r="F175" t="str">
        <f>"NO CAUSE # LISTED"</f>
        <v>NO CAUSE # LISTED</v>
      </c>
      <c r="G175" s="2">
        <v>100</v>
      </c>
      <c r="H175" t="str">
        <f>"NO CAUSE # LISTED"</f>
        <v>NO CAUSE # LISTED</v>
      </c>
    </row>
    <row r="176" spans="5:8" x14ac:dyDescent="0.25">
      <c r="E176" t="str">
        <f>"201811064896"</f>
        <v>201811064896</v>
      </c>
      <c r="F176" t="str">
        <f>"J-3153"</f>
        <v>J-3153</v>
      </c>
      <c r="G176" s="2">
        <v>250</v>
      </c>
      <c r="H176" t="str">
        <f>"J-3153"</f>
        <v>J-3153</v>
      </c>
    </row>
    <row r="177" spans="1:8" x14ac:dyDescent="0.25">
      <c r="E177" t="str">
        <f>"201811064897"</f>
        <v>201811064897</v>
      </c>
      <c r="F177" t="str">
        <f>"18-18827"</f>
        <v>18-18827</v>
      </c>
      <c r="G177" s="2">
        <v>407.5</v>
      </c>
      <c r="H177" t="str">
        <f>"18-18827"</f>
        <v>18-18827</v>
      </c>
    </row>
    <row r="178" spans="1:8" x14ac:dyDescent="0.25">
      <c r="E178" t="str">
        <f>"201811064898"</f>
        <v>201811064898</v>
      </c>
      <c r="F178" t="str">
        <f>"18-19190"</f>
        <v>18-19190</v>
      </c>
      <c r="G178" s="2">
        <v>280</v>
      </c>
      <c r="H178" t="str">
        <f>"18-19190"</f>
        <v>18-19190</v>
      </c>
    </row>
    <row r="179" spans="1:8" x14ac:dyDescent="0.25">
      <c r="E179" t="str">
        <f>"201811064926"</f>
        <v>201811064926</v>
      </c>
      <c r="F179" t="str">
        <f>"4070884"</f>
        <v>4070884</v>
      </c>
      <c r="G179" s="2">
        <v>250</v>
      </c>
      <c r="H179" t="str">
        <f>"4070884"</f>
        <v>4070884</v>
      </c>
    </row>
    <row r="180" spans="1:8" x14ac:dyDescent="0.25">
      <c r="A180" t="s">
        <v>57</v>
      </c>
      <c r="B180">
        <v>999999</v>
      </c>
      <c r="C180" s="3">
        <v>300</v>
      </c>
      <c r="D180" s="1">
        <v>43431</v>
      </c>
      <c r="E180" t="str">
        <f>"201811145116"</f>
        <v>201811145116</v>
      </c>
      <c r="F180" t="str">
        <f>"16 562"</f>
        <v>16 562</v>
      </c>
      <c r="G180" s="2">
        <v>200</v>
      </c>
      <c r="H180" t="str">
        <f>"16 562"</f>
        <v>16 562</v>
      </c>
    </row>
    <row r="181" spans="1:8" x14ac:dyDescent="0.25">
      <c r="E181" t="str">
        <f>"201811145127"</f>
        <v>201811145127</v>
      </c>
      <c r="F181" t="str">
        <f>"L123-6095"</f>
        <v>L123-6095</v>
      </c>
      <c r="G181" s="2">
        <v>100</v>
      </c>
      <c r="H181" t="str">
        <f>"L123-6095"</f>
        <v>L123-6095</v>
      </c>
    </row>
    <row r="182" spans="1:8" x14ac:dyDescent="0.25">
      <c r="A182" t="s">
        <v>58</v>
      </c>
      <c r="B182">
        <v>79401</v>
      </c>
      <c r="C182" s="3">
        <v>765.5</v>
      </c>
      <c r="D182" s="1">
        <v>43417</v>
      </c>
      <c r="E182" t="str">
        <f>"A46402"</f>
        <v>A46402</v>
      </c>
      <c r="F182" t="str">
        <f>"CUST#400510/PCT#1"</f>
        <v>CUST#400510/PCT#1</v>
      </c>
      <c r="G182" s="2">
        <v>765.5</v>
      </c>
      <c r="H182" t="str">
        <f>"CUST#400510/PCT#1"</f>
        <v>CUST#400510/PCT#1</v>
      </c>
    </row>
    <row r="183" spans="1:8" x14ac:dyDescent="0.25">
      <c r="A183" t="s">
        <v>59</v>
      </c>
      <c r="B183">
        <v>79402</v>
      </c>
      <c r="C183" s="3">
        <v>581.1</v>
      </c>
      <c r="D183" s="1">
        <v>43417</v>
      </c>
      <c r="E183" t="str">
        <f>"66499"</f>
        <v>66499</v>
      </c>
      <c r="F183" t="str">
        <f>"ACES SUPPLIES"</f>
        <v>ACES SUPPLIES</v>
      </c>
      <c r="G183" s="2">
        <v>581.1</v>
      </c>
      <c r="H183" t="str">
        <f>"PM-PSS"</f>
        <v>PM-PSS</v>
      </c>
    </row>
    <row r="184" spans="1:8" x14ac:dyDescent="0.25">
      <c r="E184" t="str">
        <f>""</f>
        <v/>
      </c>
      <c r="F184" t="str">
        <f>""</f>
        <v/>
      </c>
      <c r="H184" t="str">
        <f>"CC-WOD"</f>
        <v>CC-WOD</v>
      </c>
    </row>
    <row r="185" spans="1:8" x14ac:dyDescent="0.25">
      <c r="E185" t="str">
        <f>""</f>
        <v/>
      </c>
      <c r="F185" t="str">
        <f>""</f>
        <v/>
      </c>
      <c r="H185" t="str">
        <f>"M-SPD"</f>
        <v>M-SPD</v>
      </c>
    </row>
    <row r="186" spans="1:8" x14ac:dyDescent="0.25">
      <c r="E186" t="str">
        <f>""</f>
        <v/>
      </c>
      <c r="F186" t="str">
        <f>""</f>
        <v/>
      </c>
      <c r="H186" t="str">
        <f>"M-DFD"</f>
        <v>M-DFD</v>
      </c>
    </row>
    <row r="187" spans="1:8" x14ac:dyDescent="0.25">
      <c r="E187" t="str">
        <f>""</f>
        <v/>
      </c>
      <c r="F187" t="str">
        <f>""</f>
        <v/>
      </c>
      <c r="H187" t="str">
        <f>"SHIPPING"</f>
        <v>SHIPPING</v>
      </c>
    </row>
    <row r="188" spans="1:8" x14ac:dyDescent="0.25">
      <c r="A188" t="s">
        <v>60</v>
      </c>
      <c r="B188">
        <v>79403</v>
      </c>
      <c r="C188" s="3">
        <v>900</v>
      </c>
      <c r="D188" s="1">
        <v>43417</v>
      </c>
      <c r="E188" t="str">
        <f>"43T003884 43T00399"</f>
        <v>43T003884 43T00399</v>
      </c>
      <c r="F188" t="str">
        <f>"INV 43T003884"</f>
        <v>INV 43T003884</v>
      </c>
      <c r="G188" s="2">
        <v>900</v>
      </c>
      <c r="H188" t="str">
        <f>"INV 43T003884"</f>
        <v>INV 43T003884</v>
      </c>
    </row>
    <row r="189" spans="1:8" x14ac:dyDescent="0.25">
      <c r="E189" t="str">
        <f>""</f>
        <v/>
      </c>
      <c r="F189" t="str">
        <f>""</f>
        <v/>
      </c>
      <c r="H189" t="str">
        <f>"INV 43T003996"</f>
        <v>INV 43T003996</v>
      </c>
    </row>
    <row r="190" spans="1:8" x14ac:dyDescent="0.25">
      <c r="A190" t="s">
        <v>61</v>
      </c>
      <c r="B190">
        <v>79404</v>
      </c>
      <c r="C190" s="3">
        <v>560</v>
      </c>
      <c r="D190" s="1">
        <v>43417</v>
      </c>
      <c r="E190" t="str">
        <f>"LG1018-032"</f>
        <v>LG1018-032</v>
      </c>
      <c r="F190" t="str">
        <f>"NAIL DRUG SCREEN-11-14658"</f>
        <v>NAIL DRUG SCREEN-11-14658</v>
      </c>
      <c r="G190" s="2">
        <v>560</v>
      </c>
      <c r="H190" t="str">
        <f>"NAIL DRUG SCREEN-11-14658"</f>
        <v>NAIL DRUG SCREEN-11-14658</v>
      </c>
    </row>
    <row r="191" spans="1:8" x14ac:dyDescent="0.25">
      <c r="A191" t="s">
        <v>62</v>
      </c>
      <c r="B191">
        <v>79405</v>
      </c>
      <c r="C191" s="3">
        <v>169.06</v>
      </c>
      <c r="D191" s="1">
        <v>43417</v>
      </c>
      <c r="E191" t="str">
        <f>"571900"</f>
        <v>571900</v>
      </c>
      <c r="F191" t="str">
        <f>"Class Materials"</f>
        <v>Class Materials</v>
      </c>
      <c r="G191" s="2">
        <v>169.06</v>
      </c>
      <c r="H191" t="str">
        <f>"manuals"</f>
        <v>manuals</v>
      </c>
    </row>
    <row r="192" spans="1:8" x14ac:dyDescent="0.25">
      <c r="E192" t="str">
        <f>""</f>
        <v/>
      </c>
      <c r="F192" t="str">
        <f>""</f>
        <v/>
      </c>
      <c r="H192" t="str">
        <f>"shipping"</f>
        <v>shipping</v>
      </c>
    </row>
    <row r="193" spans="1:8" x14ac:dyDescent="0.25">
      <c r="A193" t="s">
        <v>63</v>
      </c>
      <c r="B193">
        <v>79406</v>
      </c>
      <c r="C193" s="3">
        <v>503.74</v>
      </c>
      <c r="D193" s="1">
        <v>43417</v>
      </c>
      <c r="E193" t="str">
        <f>"201810304756"</f>
        <v>201810304756</v>
      </c>
      <c r="F193" t="str">
        <f>"ACCT#1810-414778/PCT#2"</f>
        <v>ACCT#1810-414778/PCT#2</v>
      </c>
      <c r="G193" s="2">
        <v>476.83</v>
      </c>
      <c r="H193" t="str">
        <f>"ACCT#1810-414778/PCT#2"</f>
        <v>ACCT#1810-414778/PCT#2</v>
      </c>
    </row>
    <row r="194" spans="1:8" x14ac:dyDescent="0.25">
      <c r="E194" t="str">
        <f>"201810304758"</f>
        <v>201810304758</v>
      </c>
      <c r="F194" t="str">
        <f>"ACCT#3-3053/GEN SVCS"</f>
        <v>ACCT#3-3053/GEN SVCS</v>
      </c>
      <c r="G194" s="2">
        <v>26.91</v>
      </c>
      <c r="H194" t="str">
        <f>"ACCT#3-3053/GEN SVCS"</f>
        <v>ACCT#3-3053/GEN SVCS</v>
      </c>
    </row>
    <row r="195" spans="1:8" x14ac:dyDescent="0.25">
      <c r="A195" t="s">
        <v>64</v>
      </c>
      <c r="B195">
        <v>999999</v>
      </c>
      <c r="C195" s="3">
        <v>408.21</v>
      </c>
      <c r="D195" s="1">
        <v>43418</v>
      </c>
      <c r="E195" t="str">
        <f>"201811054832"</f>
        <v>201811054832</v>
      </c>
      <c r="F195" t="str">
        <f>"MILEAGE REIMBURSEMENT"</f>
        <v>MILEAGE REIMBURSEMENT</v>
      </c>
      <c r="G195" s="2">
        <v>408.21</v>
      </c>
      <c r="H195" t="str">
        <f>"MILEAGE REIMBURSEMENT"</f>
        <v>MILEAGE REIMBURSEMENT</v>
      </c>
    </row>
    <row r="196" spans="1:8" x14ac:dyDescent="0.25">
      <c r="A196" t="s">
        <v>65</v>
      </c>
      <c r="B196">
        <v>79407</v>
      </c>
      <c r="C196" s="3">
        <v>855.89</v>
      </c>
      <c r="D196" s="1">
        <v>43417</v>
      </c>
      <c r="E196" t="str">
        <f>"201810304694"</f>
        <v>201810304694</v>
      </c>
      <c r="F196" t="str">
        <f>"ACCT#010311/COURT AT LAW"</f>
        <v>ACCT#010311/COURT AT LAW</v>
      </c>
      <c r="G196" s="2">
        <v>16.5</v>
      </c>
      <c r="H196" t="str">
        <f>"ACCT#010311/COURT AT LAW"</f>
        <v>ACCT#010311/COURT AT LAW</v>
      </c>
    </row>
    <row r="197" spans="1:8" x14ac:dyDescent="0.25">
      <c r="E197" t="str">
        <f>"201811014786"</f>
        <v>201811014786</v>
      </c>
      <c r="F197" t="str">
        <f>"ACCT#012571/TREASURER"</f>
        <v>ACCT#012571/TREASURER</v>
      </c>
      <c r="G197" s="2">
        <v>24</v>
      </c>
      <c r="H197" t="str">
        <f>"ACCT#012571/TREASURER"</f>
        <v>ACCT#012571/TREASURER</v>
      </c>
    </row>
    <row r="198" spans="1:8" x14ac:dyDescent="0.25">
      <c r="E198" t="str">
        <f>"201811014787"</f>
        <v>201811014787</v>
      </c>
      <c r="F198" t="str">
        <f>"ACCT#011955/DISTRICT JUDGE"</f>
        <v>ACCT#011955/DISTRICT JUDGE</v>
      </c>
      <c r="G198" s="2">
        <v>69</v>
      </c>
      <c r="H198" t="str">
        <f>"ACCT#011955/DISTRICT JUDGE"</f>
        <v>ACCT#011955/DISTRICT JUDGE</v>
      </c>
    </row>
    <row r="199" spans="1:8" x14ac:dyDescent="0.25">
      <c r="E199" t="str">
        <f>"201811014788"</f>
        <v>201811014788</v>
      </c>
      <c r="F199" t="str">
        <f>"ACCT#012231/DISTRICT JUDGE"</f>
        <v>ACCT#012231/DISTRICT JUDGE</v>
      </c>
      <c r="G199" s="2">
        <v>10</v>
      </c>
      <c r="H199" t="str">
        <f>"ACCT#012231/DISTRICT JUDGE"</f>
        <v>ACCT#012231/DISTRICT JUDGE</v>
      </c>
    </row>
    <row r="200" spans="1:8" x14ac:dyDescent="0.25">
      <c r="E200" t="str">
        <f>"201811014789"</f>
        <v>201811014789</v>
      </c>
      <c r="F200" t="str">
        <f>"ACCT#015538/EMER COMM"</f>
        <v>ACCT#015538/EMER COMM</v>
      </c>
      <c r="G200" s="2">
        <v>107.49</v>
      </c>
      <c r="H200" t="str">
        <f>"ACCT#015538/EMER COMM"</f>
        <v>ACCT#015538/EMER COMM</v>
      </c>
    </row>
    <row r="201" spans="1:8" x14ac:dyDescent="0.25">
      <c r="E201" t="str">
        <f>"201811014799"</f>
        <v>201811014799</v>
      </c>
      <c r="F201" t="str">
        <f>"ACCT#011474/ELECTIONS"</f>
        <v>ACCT#011474/ELECTIONS</v>
      </c>
      <c r="G201" s="2">
        <v>25</v>
      </c>
      <c r="H201" t="str">
        <f>"ACCT#011474/ELECTIONS"</f>
        <v>ACCT#011474/ELECTIONS</v>
      </c>
    </row>
    <row r="202" spans="1:8" x14ac:dyDescent="0.25">
      <c r="E202" t="str">
        <f>"201811014800"</f>
        <v>201811014800</v>
      </c>
      <c r="F202" t="str">
        <f>"ACCT#010057/AUDITOR"</f>
        <v>ACCT#010057/AUDITOR</v>
      </c>
      <c r="G202" s="2">
        <v>38.200000000000003</v>
      </c>
      <c r="H202" t="str">
        <f>"ACCT#010057/AUDITOR"</f>
        <v>ACCT#010057/AUDITOR</v>
      </c>
    </row>
    <row r="203" spans="1:8" x14ac:dyDescent="0.25">
      <c r="E203" t="str">
        <f>"201811014801"</f>
        <v>201811014801</v>
      </c>
      <c r="F203" t="str">
        <f>"ACCT#010149/AGRI LIVE EXTENSIO"</f>
        <v>ACCT#010149/AGRI LIVE EXTENSIO</v>
      </c>
      <c r="G203" s="2">
        <v>26.74</v>
      </c>
      <c r="H203" t="str">
        <f>"ACCT#010149/AGRI LIVE EXTENSIO"</f>
        <v>ACCT#010149/AGRI LIVE EXTENSIO</v>
      </c>
    </row>
    <row r="204" spans="1:8" x14ac:dyDescent="0.25">
      <c r="E204" t="str">
        <f>"201811024803"</f>
        <v>201811024803</v>
      </c>
      <c r="F204" t="str">
        <f>"ACCT#010238/GENERAL SERVICES"</f>
        <v>ACCT#010238/GENERAL SERVICES</v>
      </c>
      <c r="G204" s="2">
        <v>70.5</v>
      </c>
      <c r="H204" t="str">
        <f>"ACCT#010238/GENERAL SERVICES"</f>
        <v>ACCT#010238/GENERAL SERVICES</v>
      </c>
    </row>
    <row r="205" spans="1:8" x14ac:dyDescent="0.25">
      <c r="E205" t="str">
        <f>"201811024809"</f>
        <v>201811024809</v>
      </c>
      <c r="F205" t="str">
        <f>"ACCT#011280/COUNTY CLERK"</f>
        <v>ACCT#011280/COUNTY CLERK</v>
      </c>
      <c r="G205" s="2">
        <v>54</v>
      </c>
      <c r="H205" t="str">
        <f>"ACCT#011280/COUNTY CLERK"</f>
        <v>ACCT#011280/COUNTY CLERK</v>
      </c>
    </row>
    <row r="206" spans="1:8" x14ac:dyDescent="0.25">
      <c r="E206" t="str">
        <f>"201811024810"</f>
        <v>201811024810</v>
      </c>
      <c r="F206" t="str">
        <f>"ACCT#012259/DISTRICT CLERK"</f>
        <v>ACCT#012259/DISTRICT CLERK</v>
      </c>
      <c r="G206" s="2">
        <v>54</v>
      </c>
      <c r="H206" t="str">
        <f>"ACCT#012259/DISTRICT CLERK"</f>
        <v>ACCT#012259/DISTRICT CLERK</v>
      </c>
    </row>
    <row r="207" spans="1:8" x14ac:dyDescent="0.25">
      <c r="E207" t="str">
        <f>"201811054823"</f>
        <v>201811054823</v>
      </c>
      <c r="F207" t="str">
        <f>"ACCT#011033/IT DEPT"</f>
        <v>ACCT#011033/IT DEPT</v>
      </c>
      <c r="G207" s="2">
        <v>39</v>
      </c>
      <c r="H207" t="str">
        <f>"ACCT#011033/IT DEPT"</f>
        <v>ACCT#011033/IT DEPT</v>
      </c>
    </row>
    <row r="208" spans="1:8" x14ac:dyDescent="0.25">
      <c r="E208" t="str">
        <f>"201811054826"</f>
        <v>201811054826</v>
      </c>
      <c r="F208" t="str">
        <f>"ACCT#010311/COUNTY COURT"</f>
        <v>ACCT#010311/COUNTY COURT</v>
      </c>
      <c r="G208" s="2">
        <v>27.5</v>
      </c>
      <c r="H208" t="str">
        <f>"ACCT#010311/COUNTY COURT"</f>
        <v>ACCT#010311/COUNTY COURT</v>
      </c>
    </row>
    <row r="209" spans="1:8" x14ac:dyDescent="0.25">
      <c r="E209" t="str">
        <f>"201811054831"</f>
        <v>201811054831</v>
      </c>
      <c r="F209" t="str">
        <f>"ACCT#012803/BASTROP CO JUDGE"</f>
        <v>ACCT#012803/BASTROP CO JUDGE</v>
      </c>
      <c r="G209" s="2">
        <v>9</v>
      </c>
      <c r="H209" t="str">
        <f>"ACCT#012803/BASTROP CO JUDGE"</f>
        <v>ACCT#012803/BASTROP CO JUDGE</v>
      </c>
    </row>
    <row r="210" spans="1:8" x14ac:dyDescent="0.25">
      <c r="E210" t="str">
        <f>"201811054838"</f>
        <v>201811054838</v>
      </c>
      <c r="F210" t="str">
        <f>"ACCT#015199/JP#1"</f>
        <v>ACCT#015199/JP#1</v>
      </c>
      <c r="G210" s="2">
        <v>9</v>
      </c>
      <c r="H210" t="str">
        <f>"ACCT#015199/JP#1"</f>
        <v>ACCT#015199/JP#1</v>
      </c>
    </row>
    <row r="211" spans="1:8" x14ac:dyDescent="0.25">
      <c r="E211" t="str">
        <f>"201811064839"</f>
        <v>201811064839</v>
      </c>
      <c r="F211" t="str">
        <f>"ACCT#014877/OFFICE OF ER MGMT"</f>
        <v>ACCT#014877/OFFICE OF ER MGMT</v>
      </c>
      <c r="G211" s="2">
        <v>64.489999999999995</v>
      </c>
      <c r="H211" t="str">
        <f>"ACCT#014877/OFFICE OF ER MGMT"</f>
        <v>ACCT#014877/OFFICE OF ER MGMT</v>
      </c>
    </row>
    <row r="212" spans="1:8" x14ac:dyDescent="0.25">
      <c r="E212" t="str">
        <f>"201811064840"</f>
        <v>201811064840</v>
      </c>
      <c r="F212" t="str">
        <f>"ACCT#014737/ANIMAL SERVICE"</f>
        <v>ACCT#014737/ANIMAL SERVICE</v>
      </c>
      <c r="G212" s="2">
        <v>115.99</v>
      </c>
      <c r="H212" t="str">
        <f>"ACCT#014737/ANIMAL SERVICE"</f>
        <v>ACCT#014737/ANIMAL SERVICE</v>
      </c>
    </row>
    <row r="213" spans="1:8" x14ac:dyDescent="0.25">
      <c r="E213" t="str">
        <f>"201811064841"</f>
        <v>201811064841</v>
      </c>
      <c r="F213" t="str">
        <f>"ACCT#015476/PURCHASING DEPT"</f>
        <v>ACCT#015476/PURCHASING DEPT</v>
      </c>
      <c r="G213" s="2">
        <v>10.49</v>
      </c>
      <c r="H213" t="str">
        <f>"ACCT#015476/PURCHASING DEPT"</f>
        <v>ACCT#015476/PURCHASING DEPT</v>
      </c>
    </row>
    <row r="214" spans="1:8" x14ac:dyDescent="0.25">
      <c r="E214" t="str">
        <f>"201811064842"</f>
        <v>201811064842</v>
      </c>
      <c r="F214" t="str">
        <f>"ACCT#010835/COMMISSIONERS PCT1"</f>
        <v>ACCT#010835/COMMISSIONERS PCT1</v>
      </c>
      <c r="G214" s="2">
        <v>5.99</v>
      </c>
      <c r="H214" t="str">
        <f>"ACCT#010835/COMMISSIONERS PCT1"</f>
        <v>ACCT#010835/COMMISSIONERS PCT1</v>
      </c>
    </row>
    <row r="215" spans="1:8" x14ac:dyDescent="0.25">
      <c r="E215" t="str">
        <f>"201811064854"</f>
        <v>201811064854</v>
      </c>
      <c r="F215" t="str">
        <f>"ACCT#010602/COMMISSIONER OFFIC"</f>
        <v>ACCT#010602/COMMISSIONER OFFIC</v>
      </c>
      <c r="G215" s="2">
        <v>54</v>
      </c>
      <c r="H215" t="str">
        <f>"ACCT#010602/COMMISSIONER OFFIC"</f>
        <v>ACCT#010602/COMMISSIONER OFFIC</v>
      </c>
    </row>
    <row r="216" spans="1:8" x14ac:dyDescent="0.25">
      <c r="E216" t="str">
        <f>"201811064858"</f>
        <v>201811064858</v>
      </c>
      <c r="F216" t="str">
        <f>"ACCT#013393/HUMAN RESOURCES"</f>
        <v>ACCT#013393/HUMAN RESOURCES</v>
      </c>
      <c r="G216" s="2">
        <v>25</v>
      </c>
      <c r="H216" t="str">
        <f>"ACCT#013393/HUMAN RESOURCES"</f>
        <v>ACCT#013393/HUMAN RESOURCES</v>
      </c>
    </row>
    <row r="217" spans="1:8" x14ac:dyDescent="0.25">
      <c r="A217" t="s">
        <v>66</v>
      </c>
      <c r="B217">
        <v>79377</v>
      </c>
      <c r="C217" s="3">
        <v>1115.42</v>
      </c>
      <c r="D217" s="1">
        <v>43405</v>
      </c>
      <c r="E217" t="str">
        <f>"201811014764"</f>
        <v>201811014764</v>
      </c>
      <c r="F217" t="str">
        <f>"ACCT#0102120801 / 11012018"</f>
        <v>ACCT#0102120801 / 11012018</v>
      </c>
      <c r="G217" s="2">
        <v>106.88</v>
      </c>
      <c r="H217" t="str">
        <f>"ACCT#0102120801 / 11012018"</f>
        <v>ACCT#0102120801 / 11012018</v>
      </c>
    </row>
    <row r="218" spans="1:8" x14ac:dyDescent="0.25">
      <c r="E218" t="str">
        <f>"201811014765"</f>
        <v>201811014765</v>
      </c>
      <c r="F218" t="str">
        <f>"ACCT#0201855301 / 11012018"</f>
        <v>ACCT#0201855301 / 11012018</v>
      </c>
      <c r="G218" s="2">
        <v>31.08</v>
      </c>
      <c r="H218" t="str">
        <f>"ACCT#0201855301 / 11012018"</f>
        <v>ACCT#0201855301 / 11012018</v>
      </c>
    </row>
    <row r="219" spans="1:8" x14ac:dyDescent="0.25">
      <c r="E219" t="str">
        <f>"201811014766"</f>
        <v>201811014766</v>
      </c>
      <c r="F219" t="str">
        <f>"ACCT#0201891401 / 11012018"</f>
        <v>ACCT#0201891401 / 11012018</v>
      </c>
      <c r="G219" s="2">
        <v>143.44</v>
      </c>
      <c r="H219" t="str">
        <f>"ACCT#0201891401 / 11012018"</f>
        <v>ACCT#0201891401 / 11012018</v>
      </c>
    </row>
    <row r="220" spans="1:8" x14ac:dyDescent="0.25">
      <c r="E220" t="str">
        <f>"201811014767"</f>
        <v>201811014767</v>
      </c>
      <c r="F220" t="str">
        <f>"ACCT#0400785803 / 11012018"</f>
        <v>ACCT#0400785803 / 11012018</v>
      </c>
      <c r="G220" s="2">
        <v>224.59</v>
      </c>
      <c r="H220" t="str">
        <f>"ACCT#0400785803 / 11012018"</f>
        <v>ACCT#0400785803 / 11012018</v>
      </c>
    </row>
    <row r="221" spans="1:8" x14ac:dyDescent="0.25">
      <c r="E221" t="str">
        <f>"201811014768"</f>
        <v>201811014768</v>
      </c>
      <c r="F221" t="str">
        <f>"ACCT#0401408501 / 11012018"</f>
        <v>ACCT#0401408501 / 11012018</v>
      </c>
      <c r="G221" s="2">
        <v>574.48</v>
      </c>
      <c r="H221" t="str">
        <f>"ACCT#0401408501 / 11012018"</f>
        <v>ACCT#0401408501 / 11012018</v>
      </c>
    </row>
    <row r="222" spans="1:8" x14ac:dyDescent="0.25">
      <c r="E222" t="str">
        <f>"201811014769"</f>
        <v>201811014769</v>
      </c>
      <c r="F222" t="str">
        <f>"ACCT#0800042801 / 11012018"</f>
        <v>ACCT#0800042801 / 11012018</v>
      </c>
      <c r="G222" s="2">
        <v>34.950000000000003</v>
      </c>
      <c r="H222" t="str">
        <f>"ACCT#0800042801 / 11012018"</f>
        <v>ACCT#0800042801 / 11012018</v>
      </c>
    </row>
    <row r="223" spans="1:8" x14ac:dyDescent="0.25">
      <c r="A223" t="s">
        <v>66</v>
      </c>
      <c r="B223">
        <v>79408</v>
      </c>
      <c r="C223" s="3">
        <v>471.5</v>
      </c>
      <c r="D223" s="1">
        <v>43417</v>
      </c>
      <c r="E223" t="str">
        <f>"201811064859"</f>
        <v>201811064859</v>
      </c>
      <c r="F223" t="str">
        <f>"ACCT#7700010024/46 LOADS WATER"</f>
        <v>ACCT#7700010024/46 LOADS WATER</v>
      </c>
      <c r="G223" s="2">
        <v>471.5</v>
      </c>
      <c r="H223" t="str">
        <f>"ACCT#7700010024/46 LOADS WATER"</f>
        <v>ACCT#7700010024/46 LOADS WATER</v>
      </c>
    </row>
    <row r="224" spans="1:8" x14ac:dyDescent="0.25">
      <c r="A224" t="s">
        <v>66</v>
      </c>
      <c r="B224">
        <v>79649</v>
      </c>
      <c r="C224" s="3">
        <v>174.25</v>
      </c>
      <c r="D224" s="1">
        <v>43430</v>
      </c>
      <c r="E224" t="str">
        <f>"201811155187"</f>
        <v>201811155187</v>
      </c>
      <c r="F224" t="str">
        <f>"ACCT#7700010025/PCT#2"</f>
        <v>ACCT#7700010025/PCT#2</v>
      </c>
      <c r="G224" s="2">
        <v>174.25</v>
      </c>
      <c r="H224" t="str">
        <f>"ACCT#7700010025/PCT#2"</f>
        <v>ACCT#7700010025/PCT#2</v>
      </c>
    </row>
    <row r="225" spans="1:8" x14ac:dyDescent="0.25">
      <c r="A225" t="s">
        <v>66</v>
      </c>
      <c r="B225">
        <v>79792</v>
      </c>
      <c r="C225" s="3">
        <v>1073.25</v>
      </c>
      <c r="D225" s="1">
        <v>43433</v>
      </c>
      <c r="E225" t="str">
        <f>"201811295329"</f>
        <v>201811295329</v>
      </c>
      <c r="F225" t="str">
        <f>"ACCT#0102120801 / 12012018"</f>
        <v>ACCT#0102120801 / 12012018</v>
      </c>
      <c r="G225" s="2">
        <v>26.05</v>
      </c>
      <c r="H225" t="str">
        <f>"ACCT#0102120801 / 12012018"</f>
        <v>ACCT#0102120801 / 12012018</v>
      </c>
    </row>
    <row r="226" spans="1:8" x14ac:dyDescent="0.25">
      <c r="E226" t="str">
        <f>"201811295330"</f>
        <v>201811295330</v>
      </c>
      <c r="F226" t="str">
        <f>"ACCT#0201855301 / 12012018"</f>
        <v>ACCT#0201855301 / 12012018</v>
      </c>
      <c r="G226" s="2">
        <v>31.86</v>
      </c>
      <c r="H226" t="str">
        <f>"ACCT#0201855301 / 12012018"</f>
        <v>ACCT#0201855301 / 12012018</v>
      </c>
    </row>
    <row r="227" spans="1:8" x14ac:dyDescent="0.25">
      <c r="E227" t="str">
        <f>"201811295331"</f>
        <v>201811295331</v>
      </c>
      <c r="F227" t="str">
        <f>"ACCT#0201891401 / 12012018"</f>
        <v>ACCT#0201891401 / 12012018</v>
      </c>
      <c r="G227" s="2">
        <v>28.37</v>
      </c>
      <c r="H227" t="str">
        <f>"ACCT#0201891401 / 12012018"</f>
        <v>ACCT#0201891401 / 12012018</v>
      </c>
    </row>
    <row r="228" spans="1:8" x14ac:dyDescent="0.25">
      <c r="E228" t="str">
        <f>"201811295332"</f>
        <v>201811295332</v>
      </c>
      <c r="F228" t="str">
        <f>"ACCT#0400785803 / 12012018"</f>
        <v>ACCT#0400785803 / 12012018</v>
      </c>
      <c r="G228" s="2">
        <v>243.16</v>
      </c>
      <c r="H228" t="str">
        <f>"ACCT#0400785803 / 12012018"</f>
        <v>ACCT#0400785803 / 12012018</v>
      </c>
    </row>
    <row r="229" spans="1:8" x14ac:dyDescent="0.25">
      <c r="E229" t="str">
        <f>"201811295333"</f>
        <v>201811295333</v>
      </c>
      <c r="F229" t="str">
        <f>"ACCT#0401408501 / 12012018"</f>
        <v>ACCT#0401408501 / 12012018</v>
      </c>
      <c r="G229" s="2">
        <v>704.61</v>
      </c>
      <c r="H229" t="str">
        <f>"ACCT#0401408501 / 12012018"</f>
        <v>ACCT#0401408501 / 12012018</v>
      </c>
    </row>
    <row r="230" spans="1:8" x14ac:dyDescent="0.25">
      <c r="E230" t="str">
        <f>"201811295334"</f>
        <v>201811295334</v>
      </c>
      <c r="F230" t="str">
        <f>"ACCT#0800042801 / 12012018"</f>
        <v>ACCT#0800042801 / 12012018</v>
      </c>
      <c r="G230" s="2">
        <v>39.200000000000003</v>
      </c>
      <c r="H230" t="str">
        <f>"ACCT#0800042801 / 12012018"</f>
        <v>ACCT#0800042801 / 12012018</v>
      </c>
    </row>
    <row r="231" spans="1:8" x14ac:dyDescent="0.25">
      <c r="A231" t="s">
        <v>67</v>
      </c>
      <c r="B231">
        <v>79409</v>
      </c>
      <c r="C231" s="3">
        <v>234.96</v>
      </c>
      <c r="D231" s="1">
        <v>43417</v>
      </c>
      <c r="E231" t="str">
        <f>"201811074964"</f>
        <v>201811074964</v>
      </c>
      <c r="F231" t="str">
        <f>"INDIGENT HEALTH"</f>
        <v>INDIGENT HEALTH</v>
      </c>
      <c r="G231" s="2">
        <v>234.96</v>
      </c>
      <c r="H231" t="str">
        <f>"INDIGENT HEALTH"</f>
        <v>INDIGENT HEALTH</v>
      </c>
    </row>
    <row r="232" spans="1:8" x14ac:dyDescent="0.25">
      <c r="A232" t="s">
        <v>68</v>
      </c>
      <c r="B232">
        <v>79410</v>
      </c>
      <c r="C232" s="3">
        <v>19800</v>
      </c>
      <c r="D232" s="1">
        <v>43417</v>
      </c>
      <c r="E232" t="str">
        <f>"1814.04  1814.05"</f>
        <v>1814.04  1814.05</v>
      </c>
      <c r="F232" t="str">
        <f>"Inv# 1814.05 &amp; 1814.04"</f>
        <v>Inv# 1814.05 &amp; 1814.04</v>
      </c>
      <c r="G232" s="2">
        <v>19800</v>
      </c>
      <c r="H232" t="str">
        <f>"Inv# 1814.05"</f>
        <v>Inv# 1814.05</v>
      </c>
    </row>
    <row r="233" spans="1:8" x14ac:dyDescent="0.25">
      <c r="E233" t="str">
        <f>""</f>
        <v/>
      </c>
      <c r="F233" t="str">
        <f>""</f>
        <v/>
      </c>
      <c r="H233" t="str">
        <f>"Inv# 1814.04"</f>
        <v>Inv# 1814.04</v>
      </c>
    </row>
    <row r="234" spans="1:8" x14ac:dyDescent="0.25">
      <c r="A234" t="s">
        <v>69</v>
      </c>
      <c r="B234">
        <v>999999</v>
      </c>
      <c r="C234" s="3">
        <v>23611.79</v>
      </c>
      <c r="D234" s="1">
        <v>43418</v>
      </c>
      <c r="E234" t="str">
        <f>"14767"</f>
        <v>14767</v>
      </c>
      <c r="F234" t="str">
        <f>"PROJ NAME:BC SEPT ADV"</f>
        <v>PROJ NAME:BC SEPT ADV</v>
      </c>
      <c r="G234" s="2">
        <v>22511.79</v>
      </c>
      <c r="H234" t="str">
        <f>"PROJ NAME:BC SEPT ADV"</f>
        <v>PROJ NAME:BC SEPT ADV</v>
      </c>
    </row>
    <row r="235" spans="1:8" x14ac:dyDescent="0.25">
      <c r="E235" t="str">
        <f>"14770"</f>
        <v>14770</v>
      </c>
      <c r="F235" t="str">
        <f>"PROJ:BC PRO SERV SEPT"</f>
        <v>PROJ:BC PRO SERV SEPT</v>
      </c>
      <c r="G235" s="2">
        <v>1100</v>
      </c>
      <c r="H235" t="str">
        <f>"PROJ:BC PRO SERV SEPT"</f>
        <v>PROJ:BC PRO SERV SEPT</v>
      </c>
    </row>
    <row r="236" spans="1:8" x14ac:dyDescent="0.25">
      <c r="A236" t="s">
        <v>70</v>
      </c>
      <c r="B236">
        <v>79411</v>
      </c>
      <c r="C236" s="3">
        <v>5391.12</v>
      </c>
      <c r="D236" s="1">
        <v>43417</v>
      </c>
      <c r="E236" t="str">
        <f>"201811014802"</f>
        <v>201811014802</v>
      </c>
      <c r="F236" t="str">
        <f>"ACCT#512A49-0048 193 3"</f>
        <v>ACCT#512A49-0048 193 3</v>
      </c>
      <c r="G236" s="2">
        <v>5391.12</v>
      </c>
      <c r="H236" t="str">
        <f>"ACCT#512A49-0048 193 3"</f>
        <v>ACCT#512A49-0048 193 3</v>
      </c>
    </row>
    <row r="237" spans="1:8" x14ac:dyDescent="0.25">
      <c r="E237" t="str">
        <f>""</f>
        <v/>
      </c>
      <c r="F237" t="str">
        <f>""</f>
        <v/>
      </c>
      <c r="H237" t="str">
        <f>"ACCT#512A49-0048 193 3"</f>
        <v>ACCT#512A49-0048 193 3</v>
      </c>
    </row>
    <row r="238" spans="1:8" x14ac:dyDescent="0.25">
      <c r="E238" t="str">
        <f>""</f>
        <v/>
      </c>
      <c r="F238" t="str">
        <f>""</f>
        <v/>
      </c>
      <c r="H238" t="str">
        <f>"ACCT#512A49-0048 193 3"</f>
        <v>ACCT#512A49-0048 193 3</v>
      </c>
    </row>
    <row r="239" spans="1:8" x14ac:dyDescent="0.25">
      <c r="E239" t="str">
        <f>""</f>
        <v/>
      </c>
      <c r="F239" t="str">
        <f>""</f>
        <v/>
      </c>
      <c r="H239" t="str">
        <f>"ACCT#512A49-0048 193 3"</f>
        <v>ACCT#512A49-0048 193 3</v>
      </c>
    </row>
    <row r="240" spans="1:8" x14ac:dyDescent="0.25">
      <c r="A240" t="s">
        <v>71</v>
      </c>
      <c r="B240">
        <v>79412</v>
      </c>
      <c r="C240" s="3">
        <v>7701.49</v>
      </c>
      <c r="D240" s="1">
        <v>43417</v>
      </c>
      <c r="E240" t="str">
        <f>"6511474400"</f>
        <v>6511474400</v>
      </c>
      <c r="F240" t="str">
        <f>"ACCT#831-000-7218 923"</f>
        <v>ACCT#831-000-7218 923</v>
      </c>
      <c r="G240" s="2">
        <v>1875.82</v>
      </c>
      <c r="H240" t="str">
        <f>"ACCT#831-000-7218 923"</f>
        <v>ACCT#831-000-7218 923</v>
      </c>
    </row>
    <row r="241" spans="1:8" x14ac:dyDescent="0.25">
      <c r="E241" t="str">
        <f>"7359093400"</f>
        <v>7359093400</v>
      </c>
      <c r="F241" t="str">
        <f>"ACCT#831-000-6084 095"</f>
        <v>ACCT#831-000-6084 095</v>
      </c>
      <c r="G241" s="2">
        <v>3650.28</v>
      </c>
      <c r="H241" t="str">
        <f>"ACCT#831-000-6084 095"</f>
        <v>ACCT#831-000-6084 095</v>
      </c>
    </row>
    <row r="242" spans="1:8" x14ac:dyDescent="0.25">
      <c r="E242" t="str">
        <f>"9200954400"</f>
        <v>9200954400</v>
      </c>
      <c r="F242" t="str">
        <f>"ACCT#831-000-7919 623"</f>
        <v>ACCT#831-000-7919 623</v>
      </c>
      <c r="G242" s="2">
        <v>2175.39</v>
      </c>
      <c r="H242" t="str">
        <f>"ACCT#831-000-7919 623"</f>
        <v>ACCT#831-000-7919 623</v>
      </c>
    </row>
    <row r="243" spans="1:8" x14ac:dyDescent="0.25">
      <c r="A243" t="s">
        <v>71</v>
      </c>
      <c r="B243">
        <v>79650</v>
      </c>
      <c r="C243" s="3">
        <v>1802.67</v>
      </c>
      <c r="D243" s="1">
        <v>43430</v>
      </c>
      <c r="E243" t="str">
        <f>"201811155246"</f>
        <v>201811155246</v>
      </c>
      <c r="F243" t="str">
        <f>"NOVEMBER BILLING 303-1080"</f>
        <v>NOVEMBER BILLING 303-1080</v>
      </c>
      <c r="G243" s="2">
        <v>1802.67</v>
      </c>
      <c r="H243" t="str">
        <f>"NOVEMBER - LE"</f>
        <v>NOVEMBER - LE</v>
      </c>
    </row>
    <row r="244" spans="1:8" x14ac:dyDescent="0.25">
      <c r="E244" t="str">
        <f>""</f>
        <v/>
      </c>
      <c r="F244" t="str">
        <f>""</f>
        <v/>
      </c>
      <c r="H244" t="str">
        <f>"NOVEMBER - JAIL"</f>
        <v>NOVEMBER - JAIL</v>
      </c>
    </row>
    <row r="245" spans="1:8" x14ac:dyDescent="0.25">
      <c r="A245" t="s">
        <v>72</v>
      </c>
      <c r="B245">
        <v>79413</v>
      </c>
      <c r="C245" s="3">
        <v>5819.25</v>
      </c>
      <c r="D245" s="1">
        <v>43417</v>
      </c>
      <c r="E245" t="str">
        <f>"14138784"</f>
        <v>14138784</v>
      </c>
      <c r="F245" t="str">
        <f>"FAN#BES07964068"</f>
        <v>FAN#BES07964068</v>
      </c>
      <c r="G245" s="2">
        <v>2910.32</v>
      </c>
      <c r="H245" t="str">
        <f t="shared" ref="H245:H250" si="2">"FAN#BES07964068"</f>
        <v>FAN#BES07964068</v>
      </c>
    </row>
    <row r="246" spans="1:8" x14ac:dyDescent="0.25">
      <c r="E246" t="str">
        <f>""</f>
        <v/>
      </c>
      <c r="F246" t="str">
        <f>""</f>
        <v/>
      </c>
      <c r="H246" t="str">
        <f t="shared" si="2"/>
        <v>FAN#BES07964068</v>
      </c>
    </row>
    <row r="247" spans="1:8" x14ac:dyDescent="0.25">
      <c r="E247" t="str">
        <f>""</f>
        <v/>
      </c>
      <c r="F247" t="str">
        <f>""</f>
        <v/>
      </c>
      <c r="H247" t="str">
        <f t="shared" si="2"/>
        <v>FAN#BES07964068</v>
      </c>
    </row>
    <row r="248" spans="1:8" x14ac:dyDescent="0.25">
      <c r="E248" t="str">
        <f>""</f>
        <v/>
      </c>
      <c r="F248" t="str">
        <f>""</f>
        <v/>
      </c>
      <c r="H248" t="str">
        <f t="shared" si="2"/>
        <v>FAN#BES07964068</v>
      </c>
    </row>
    <row r="249" spans="1:8" x14ac:dyDescent="0.25">
      <c r="E249" t="str">
        <f>""</f>
        <v/>
      </c>
      <c r="F249" t="str">
        <f>""</f>
        <v/>
      </c>
      <c r="H249" t="str">
        <f t="shared" si="2"/>
        <v>FAN#BES07964068</v>
      </c>
    </row>
    <row r="250" spans="1:8" x14ac:dyDescent="0.25">
      <c r="E250" t="str">
        <f>""</f>
        <v/>
      </c>
      <c r="F250" t="str">
        <f>""</f>
        <v/>
      </c>
      <c r="H250" t="str">
        <f t="shared" si="2"/>
        <v>FAN#BES07964068</v>
      </c>
    </row>
    <row r="251" spans="1:8" x14ac:dyDescent="0.25">
      <c r="E251" t="str">
        <f>"14245192"</f>
        <v>14245192</v>
      </c>
      <c r="F251" t="str">
        <f>"ACCT#BES07964068"</f>
        <v>ACCT#BES07964068</v>
      </c>
      <c r="G251" s="2">
        <v>2908.93</v>
      </c>
      <c r="H251" t="str">
        <f t="shared" ref="H251:H256" si="3">"ACCT#BES07964068"</f>
        <v>ACCT#BES07964068</v>
      </c>
    </row>
    <row r="252" spans="1:8" x14ac:dyDescent="0.25">
      <c r="E252" t="str">
        <f>""</f>
        <v/>
      </c>
      <c r="F252" t="str">
        <f>""</f>
        <v/>
      </c>
      <c r="H252" t="str">
        <f t="shared" si="3"/>
        <v>ACCT#BES07964068</v>
      </c>
    </row>
    <row r="253" spans="1:8" x14ac:dyDescent="0.25">
      <c r="E253" t="str">
        <f>""</f>
        <v/>
      </c>
      <c r="F253" t="str">
        <f>""</f>
        <v/>
      </c>
      <c r="H253" t="str">
        <f t="shared" si="3"/>
        <v>ACCT#BES07964068</v>
      </c>
    </row>
    <row r="254" spans="1:8" x14ac:dyDescent="0.25">
      <c r="E254" t="str">
        <f>""</f>
        <v/>
      </c>
      <c r="F254" t="str">
        <f>""</f>
        <v/>
      </c>
      <c r="H254" t="str">
        <f t="shared" si="3"/>
        <v>ACCT#BES07964068</v>
      </c>
    </row>
    <row r="255" spans="1:8" x14ac:dyDescent="0.25">
      <c r="E255" t="str">
        <f>""</f>
        <v/>
      </c>
      <c r="F255" t="str">
        <f>""</f>
        <v/>
      </c>
      <c r="H255" t="str">
        <f t="shared" si="3"/>
        <v>ACCT#BES07964068</v>
      </c>
    </row>
    <row r="256" spans="1:8" x14ac:dyDescent="0.25">
      <c r="E256" t="str">
        <f>""</f>
        <v/>
      </c>
      <c r="F256" t="str">
        <f>""</f>
        <v/>
      </c>
      <c r="H256" t="str">
        <f t="shared" si="3"/>
        <v>ACCT#BES07964068</v>
      </c>
    </row>
    <row r="257" spans="1:8" x14ac:dyDescent="0.25">
      <c r="A257" t="s">
        <v>72</v>
      </c>
      <c r="B257">
        <v>79414</v>
      </c>
      <c r="C257" s="3">
        <v>1342.99</v>
      </c>
      <c r="D257" s="1">
        <v>43417</v>
      </c>
      <c r="E257" t="str">
        <f>"201810264673"</f>
        <v>201810264673</v>
      </c>
      <c r="F257" t="str">
        <f>"ACCT#287263291654"</f>
        <v>ACCT#287263291654</v>
      </c>
      <c r="G257" s="2">
        <v>1342.99</v>
      </c>
      <c r="H257" t="str">
        <f t="shared" ref="H257:H272" si="4">"ACCT#287263291654"</f>
        <v>ACCT#287263291654</v>
      </c>
    </row>
    <row r="258" spans="1:8" x14ac:dyDescent="0.25">
      <c r="E258" t="str">
        <f>""</f>
        <v/>
      </c>
      <c r="F258" t="str">
        <f>""</f>
        <v/>
      </c>
      <c r="H258" t="str">
        <f t="shared" si="4"/>
        <v>ACCT#287263291654</v>
      </c>
    </row>
    <row r="259" spans="1:8" x14ac:dyDescent="0.25">
      <c r="E259" t="str">
        <f>""</f>
        <v/>
      </c>
      <c r="F259" t="str">
        <f>""</f>
        <v/>
      </c>
      <c r="H259" t="str">
        <f t="shared" si="4"/>
        <v>ACCT#287263291654</v>
      </c>
    </row>
    <row r="260" spans="1:8" x14ac:dyDescent="0.25">
      <c r="E260" t="str">
        <f>""</f>
        <v/>
      </c>
      <c r="F260" t="str">
        <f>""</f>
        <v/>
      </c>
      <c r="H260" t="str">
        <f t="shared" si="4"/>
        <v>ACCT#287263291654</v>
      </c>
    </row>
    <row r="261" spans="1:8" x14ac:dyDescent="0.25">
      <c r="E261" t="str">
        <f>""</f>
        <v/>
      </c>
      <c r="F261" t="str">
        <f>""</f>
        <v/>
      </c>
      <c r="H261" t="str">
        <f t="shared" si="4"/>
        <v>ACCT#287263291654</v>
      </c>
    </row>
    <row r="262" spans="1:8" x14ac:dyDescent="0.25">
      <c r="E262" t="str">
        <f>""</f>
        <v/>
      </c>
      <c r="F262" t="str">
        <f>""</f>
        <v/>
      </c>
      <c r="H262" t="str">
        <f t="shared" si="4"/>
        <v>ACCT#287263291654</v>
      </c>
    </row>
    <row r="263" spans="1:8" x14ac:dyDescent="0.25">
      <c r="E263" t="str">
        <f>""</f>
        <v/>
      </c>
      <c r="F263" t="str">
        <f>""</f>
        <v/>
      </c>
      <c r="H263" t="str">
        <f t="shared" si="4"/>
        <v>ACCT#287263291654</v>
      </c>
    </row>
    <row r="264" spans="1:8" x14ac:dyDescent="0.25">
      <c r="E264" t="str">
        <f>""</f>
        <v/>
      </c>
      <c r="F264" t="str">
        <f>""</f>
        <v/>
      </c>
      <c r="H264" t="str">
        <f t="shared" si="4"/>
        <v>ACCT#287263291654</v>
      </c>
    </row>
    <row r="265" spans="1:8" x14ac:dyDescent="0.25">
      <c r="E265" t="str">
        <f>""</f>
        <v/>
      </c>
      <c r="F265" t="str">
        <f>""</f>
        <v/>
      </c>
      <c r="H265" t="str">
        <f t="shared" si="4"/>
        <v>ACCT#287263291654</v>
      </c>
    </row>
    <row r="266" spans="1:8" x14ac:dyDescent="0.25">
      <c r="E266" t="str">
        <f>""</f>
        <v/>
      </c>
      <c r="F266" t="str">
        <f>""</f>
        <v/>
      </c>
      <c r="H266" t="str">
        <f t="shared" si="4"/>
        <v>ACCT#287263291654</v>
      </c>
    </row>
    <row r="267" spans="1:8" x14ac:dyDescent="0.25">
      <c r="E267" t="str">
        <f>""</f>
        <v/>
      </c>
      <c r="F267" t="str">
        <f>""</f>
        <v/>
      </c>
      <c r="H267" t="str">
        <f t="shared" si="4"/>
        <v>ACCT#287263291654</v>
      </c>
    </row>
    <row r="268" spans="1:8" x14ac:dyDescent="0.25">
      <c r="E268" t="str">
        <f>""</f>
        <v/>
      </c>
      <c r="F268" t="str">
        <f>""</f>
        <v/>
      </c>
      <c r="H268" t="str">
        <f t="shared" si="4"/>
        <v>ACCT#287263291654</v>
      </c>
    </row>
    <row r="269" spans="1:8" x14ac:dyDescent="0.25">
      <c r="E269" t="str">
        <f>""</f>
        <v/>
      </c>
      <c r="F269" t="str">
        <f>""</f>
        <v/>
      </c>
      <c r="H269" t="str">
        <f t="shared" si="4"/>
        <v>ACCT#287263291654</v>
      </c>
    </row>
    <row r="270" spans="1:8" x14ac:dyDescent="0.25">
      <c r="E270" t="str">
        <f>""</f>
        <v/>
      </c>
      <c r="F270" t="str">
        <f>""</f>
        <v/>
      </c>
      <c r="H270" t="str">
        <f t="shared" si="4"/>
        <v>ACCT#287263291654</v>
      </c>
    </row>
    <row r="271" spans="1:8" x14ac:dyDescent="0.25">
      <c r="E271" t="str">
        <f>""</f>
        <v/>
      </c>
      <c r="F271" t="str">
        <f>""</f>
        <v/>
      </c>
      <c r="H271" t="str">
        <f t="shared" si="4"/>
        <v>ACCT#287263291654</v>
      </c>
    </row>
    <row r="272" spans="1:8" x14ac:dyDescent="0.25">
      <c r="E272" t="str">
        <f>""</f>
        <v/>
      </c>
      <c r="F272" t="str">
        <f>""</f>
        <v/>
      </c>
      <c r="H272" t="str">
        <f t="shared" si="4"/>
        <v>ACCT#287263291654</v>
      </c>
    </row>
    <row r="273" spans="1:8" x14ac:dyDescent="0.25">
      <c r="A273" t="s">
        <v>73</v>
      </c>
      <c r="B273">
        <v>79651</v>
      </c>
      <c r="C273" s="3">
        <v>120.47</v>
      </c>
      <c r="D273" s="1">
        <v>43430</v>
      </c>
      <c r="E273" t="str">
        <f>"201811155151"</f>
        <v>201811155151</v>
      </c>
      <c r="F273" t="str">
        <f>"ACCT#826392401/DPS"</f>
        <v>ACCT#826392401/DPS</v>
      </c>
      <c r="G273" s="2">
        <v>120.47</v>
      </c>
      <c r="H273" t="str">
        <f>"ACCT#826392401/DPS"</f>
        <v>ACCT#826392401/DPS</v>
      </c>
    </row>
    <row r="274" spans="1:8" x14ac:dyDescent="0.25">
      <c r="A274" t="s">
        <v>74</v>
      </c>
      <c r="B274">
        <v>79415</v>
      </c>
      <c r="C274" s="3">
        <v>143.38</v>
      </c>
      <c r="D274" s="1">
        <v>43417</v>
      </c>
      <c r="E274" t="str">
        <f>"201810254662"</f>
        <v>201810254662</v>
      </c>
      <c r="F274" t="str">
        <f>"REIMBURSE UNIFORM"</f>
        <v>REIMBURSE UNIFORM</v>
      </c>
      <c r="G274" s="2">
        <v>143.38</v>
      </c>
      <c r="H274" t="str">
        <f>"REIMBURSE UNIFORM"</f>
        <v>REIMBURSE UNIFORM</v>
      </c>
    </row>
    <row r="275" spans="1:8" x14ac:dyDescent="0.25">
      <c r="A275" t="s">
        <v>75</v>
      </c>
      <c r="B275">
        <v>79652</v>
      </c>
      <c r="C275" s="3">
        <v>380.16</v>
      </c>
      <c r="D275" s="1">
        <v>43430</v>
      </c>
      <c r="E275" t="str">
        <f>"432731"</f>
        <v>432731</v>
      </c>
      <c r="F275" t="str">
        <f>"AD# 432731"</f>
        <v>AD# 432731</v>
      </c>
      <c r="G275" s="2">
        <v>380.16</v>
      </c>
      <c r="H275" t="str">
        <f>"AD# 432731"</f>
        <v>AD# 432731</v>
      </c>
    </row>
    <row r="276" spans="1:8" x14ac:dyDescent="0.25">
      <c r="A276" t="s">
        <v>76</v>
      </c>
      <c r="B276">
        <v>79653</v>
      </c>
      <c r="C276" s="3">
        <v>106.29</v>
      </c>
      <c r="D276" s="1">
        <v>43430</v>
      </c>
      <c r="E276" t="str">
        <f>"201811155216"</f>
        <v>201811155216</v>
      </c>
      <c r="F276" t="str">
        <f>"INDIGENT HEALTH"</f>
        <v>INDIGENT HEALTH</v>
      </c>
      <c r="G276" s="2">
        <v>106.29</v>
      </c>
      <c r="H276" t="str">
        <f t="shared" ref="H276:H286" si="5">"INDIGENT HEALTH"</f>
        <v>INDIGENT HEALTH</v>
      </c>
    </row>
    <row r="277" spans="1:8" x14ac:dyDescent="0.25">
      <c r="A277" t="s">
        <v>77</v>
      </c>
      <c r="B277">
        <v>999999</v>
      </c>
      <c r="C277" s="3">
        <v>33.270000000000003</v>
      </c>
      <c r="D277" s="1">
        <v>43418</v>
      </c>
      <c r="E277" t="str">
        <f>"201811074965"</f>
        <v>201811074965</v>
      </c>
      <c r="F277" t="str">
        <f>"INDIGENT HEALTH"</f>
        <v>INDIGENT HEALTH</v>
      </c>
      <c r="G277" s="2">
        <v>33.270000000000003</v>
      </c>
      <c r="H277" t="str">
        <f t="shared" si="5"/>
        <v>INDIGENT HEALTH</v>
      </c>
    </row>
    <row r="278" spans="1:8" x14ac:dyDescent="0.25">
      <c r="A278" t="s">
        <v>77</v>
      </c>
      <c r="B278">
        <v>999999</v>
      </c>
      <c r="C278" s="3">
        <v>396.95</v>
      </c>
      <c r="D278" s="1">
        <v>43431</v>
      </c>
      <c r="E278" t="str">
        <f>"201811155219"</f>
        <v>201811155219</v>
      </c>
      <c r="F278" t="str">
        <f>"INDIGENT HEALTH"</f>
        <v>INDIGENT HEALTH</v>
      </c>
      <c r="G278" s="2">
        <v>396.95</v>
      </c>
      <c r="H278" t="str">
        <f t="shared" si="5"/>
        <v>INDIGENT HEALTH</v>
      </c>
    </row>
    <row r="279" spans="1:8" x14ac:dyDescent="0.25">
      <c r="E279" t="str">
        <f>""</f>
        <v/>
      </c>
      <c r="F279" t="str">
        <f>""</f>
        <v/>
      </c>
      <c r="H279" t="str">
        <f t="shared" si="5"/>
        <v>INDIGENT HEALTH</v>
      </c>
    </row>
    <row r="280" spans="1:8" x14ac:dyDescent="0.25">
      <c r="A280" t="s">
        <v>78</v>
      </c>
      <c r="B280">
        <v>79416</v>
      </c>
      <c r="C280" s="3">
        <v>46.73</v>
      </c>
      <c r="D280" s="1">
        <v>43417</v>
      </c>
      <c r="E280" t="str">
        <f>"201811074966"</f>
        <v>201811074966</v>
      </c>
      <c r="F280" t="str">
        <f t="shared" ref="F280:F286" si="6">"INDIGENT HEALTH"</f>
        <v>INDIGENT HEALTH</v>
      </c>
      <c r="G280" s="2">
        <v>46.73</v>
      </c>
      <c r="H280" t="str">
        <f t="shared" si="5"/>
        <v>INDIGENT HEALTH</v>
      </c>
    </row>
    <row r="281" spans="1:8" x14ac:dyDescent="0.25">
      <c r="A281" t="s">
        <v>78</v>
      </c>
      <c r="B281">
        <v>79654</v>
      </c>
      <c r="C281" s="3">
        <v>98.98</v>
      </c>
      <c r="D281" s="1">
        <v>43430</v>
      </c>
      <c r="E281" t="str">
        <f>"201811155226"</f>
        <v>201811155226</v>
      </c>
      <c r="F281" t="str">
        <f t="shared" si="6"/>
        <v>INDIGENT HEALTH</v>
      </c>
      <c r="G281" s="2">
        <v>98.98</v>
      </c>
      <c r="H281" t="str">
        <f t="shared" si="5"/>
        <v>INDIGENT HEALTH</v>
      </c>
    </row>
    <row r="282" spans="1:8" x14ac:dyDescent="0.25">
      <c r="A282" t="s">
        <v>79</v>
      </c>
      <c r="B282">
        <v>79417</v>
      </c>
      <c r="C282" s="3">
        <v>92.5</v>
      </c>
      <c r="D282" s="1">
        <v>43417</v>
      </c>
      <c r="E282" t="str">
        <f>"201811074967"</f>
        <v>201811074967</v>
      </c>
      <c r="F282" t="str">
        <f t="shared" si="6"/>
        <v>INDIGENT HEALTH</v>
      </c>
      <c r="G282" s="2">
        <v>84.21</v>
      </c>
      <c r="H282" t="str">
        <f t="shared" si="5"/>
        <v>INDIGENT HEALTH</v>
      </c>
    </row>
    <row r="283" spans="1:8" x14ac:dyDescent="0.25">
      <c r="E283" t="str">
        <f>"201811074968"</f>
        <v>201811074968</v>
      </c>
      <c r="F283" t="str">
        <f t="shared" si="6"/>
        <v>INDIGENT HEALTH</v>
      </c>
      <c r="G283" s="2">
        <v>8.2899999999999991</v>
      </c>
      <c r="H283" t="str">
        <f t="shared" si="5"/>
        <v>INDIGENT HEALTH</v>
      </c>
    </row>
    <row r="284" spans="1:8" x14ac:dyDescent="0.25">
      <c r="A284" t="s">
        <v>79</v>
      </c>
      <c r="B284">
        <v>79655</v>
      </c>
      <c r="C284" s="3">
        <v>63.35</v>
      </c>
      <c r="D284" s="1">
        <v>43430</v>
      </c>
      <c r="E284" t="str">
        <f>"201811155227"</f>
        <v>201811155227</v>
      </c>
      <c r="F284" t="str">
        <f t="shared" si="6"/>
        <v>INDIGENT HEALTH</v>
      </c>
      <c r="G284" s="2">
        <v>63.35</v>
      </c>
      <c r="H284" t="str">
        <f t="shared" si="5"/>
        <v>INDIGENT HEALTH</v>
      </c>
    </row>
    <row r="285" spans="1:8" x14ac:dyDescent="0.25">
      <c r="A285" t="s">
        <v>80</v>
      </c>
      <c r="B285">
        <v>79656</v>
      </c>
      <c r="C285" s="3">
        <v>226.91</v>
      </c>
      <c r="D285" s="1">
        <v>43430</v>
      </c>
      <c r="E285" t="str">
        <f>"201811155228"</f>
        <v>201811155228</v>
      </c>
      <c r="F285" t="str">
        <f t="shared" si="6"/>
        <v>INDIGENT HEALTH</v>
      </c>
      <c r="G285" s="2">
        <v>107.39</v>
      </c>
      <c r="H285" t="str">
        <f t="shared" si="5"/>
        <v>INDIGENT HEALTH</v>
      </c>
    </row>
    <row r="286" spans="1:8" x14ac:dyDescent="0.25">
      <c r="E286" t="str">
        <f>"201811155229"</f>
        <v>201811155229</v>
      </c>
      <c r="F286" t="str">
        <f t="shared" si="6"/>
        <v>INDIGENT HEALTH</v>
      </c>
      <c r="G286" s="2">
        <v>119.52</v>
      </c>
      <c r="H286" t="str">
        <f t="shared" si="5"/>
        <v>INDIGENT HEALTH</v>
      </c>
    </row>
    <row r="287" spans="1:8" x14ac:dyDescent="0.25">
      <c r="A287" t="s">
        <v>81</v>
      </c>
      <c r="B287">
        <v>79657</v>
      </c>
      <c r="C287" s="3">
        <v>350</v>
      </c>
      <c r="D287" s="1">
        <v>43430</v>
      </c>
      <c r="E287" t="str">
        <f>"2092"</f>
        <v>2092</v>
      </c>
      <c r="F287" t="str">
        <f>"BASTROP FIRE HEARING/2012-MCF-"</f>
        <v>BASTROP FIRE HEARING/2012-MCF-</v>
      </c>
      <c r="G287" s="2">
        <v>350</v>
      </c>
      <c r="H287" t="str">
        <f>"BASTROP FIRE HEARING/2012-MCF-"</f>
        <v>BASTROP FIRE HEARING/2012-MCF-</v>
      </c>
    </row>
    <row r="288" spans="1:8" x14ac:dyDescent="0.25">
      <c r="A288" t="s">
        <v>82</v>
      </c>
      <c r="B288">
        <v>79418</v>
      </c>
      <c r="C288" s="3">
        <v>10.82</v>
      </c>
      <c r="D288" s="1">
        <v>43417</v>
      </c>
      <c r="E288" t="str">
        <f>"030361"</f>
        <v>030361</v>
      </c>
      <c r="F288" t="str">
        <f>"INV 030361"</f>
        <v>INV 030361</v>
      </c>
      <c r="G288" s="2">
        <v>10.82</v>
      </c>
      <c r="H288" t="str">
        <f>"INV 030361"</f>
        <v>INV 030361</v>
      </c>
    </row>
    <row r="289" spans="1:9" x14ac:dyDescent="0.25">
      <c r="A289" t="s">
        <v>83</v>
      </c>
      <c r="B289">
        <v>79419</v>
      </c>
      <c r="C289" s="3">
        <v>158.12</v>
      </c>
      <c r="D289" s="1">
        <v>43417</v>
      </c>
      <c r="E289" t="str">
        <f>"SO#105744"</f>
        <v>SO#105744</v>
      </c>
      <c r="F289" t="str">
        <f>"INV SO#105744"</f>
        <v>INV SO#105744</v>
      </c>
      <c r="G289" s="2">
        <v>158.12</v>
      </c>
      <c r="H289" t="str">
        <f>"INV SO#105744"</f>
        <v>INV SO#105744</v>
      </c>
    </row>
    <row r="290" spans="1:9" x14ac:dyDescent="0.25">
      <c r="A290" t="s">
        <v>84</v>
      </c>
      <c r="B290">
        <v>999999</v>
      </c>
      <c r="C290" s="3">
        <v>370</v>
      </c>
      <c r="D290" s="1">
        <v>43418</v>
      </c>
      <c r="E290" t="str">
        <f>"201811064868"</f>
        <v>201811064868</v>
      </c>
      <c r="F290" t="str">
        <f>"CUST ID:0010/PCT#2"</f>
        <v>CUST ID:0010/PCT#2</v>
      </c>
      <c r="G290" s="2">
        <v>280</v>
      </c>
      <c r="H290" t="str">
        <f>"CUST ID:0010/PCT#2"</f>
        <v>CUST ID:0010/PCT#2</v>
      </c>
    </row>
    <row r="291" spans="1:9" x14ac:dyDescent="0.25">
      <c r="E291" t="str">
        <f>"354763  354968"</f>
        <v>354763  354968</v>
      </c>
      <c r="F291" t="str">
        <f>"CUST ID:0009/PCT#1"</f>
        <v>CUST ID:0009/PCT#1</v>
      </c>
      <c r="G291" s="2">
        <v>55</v>
      </c>
      <c r="H291" t="str">
        <f>"CUST ID:0009/PCT#1"</f>
        <v>CUST ID:0009/PCT#1</v>
      </c>
    </row>
    <row r="292" spans="1:9" x14ac:dyDescent="0.25">
      <c r="E292" t="str">
        <f>"355397"</f>
        <v>355397</v>
      </c>
      <c r="F292" t="str">
        <f>"CUST ID:0011/PCT#3"</f>
        <v>CUST ID:0011/PCT#3</v>
      </c>
      <c r="G292" s="2">
        <v>35</v>
      </c>
      <c r="H292" t="str">
        <f>"CUST ID:0011/PCT#3"</f>
        <v>CUST ID:0011/PCT#3</v>
      </c>
    </row>
    <row r="293" spans="1:9" x14ac:dyDescent="0.25">
      <c r="A293" t="s">
        <v>85</v>
      </c>
      <c r="B293">
        <v>79420</v>
      </c>
      <c r="C293" s="3">
        <v>1140.5</v>
      </c>
      <c r="D293" s="1">
        <v>43417</v>
      </c>
      <c r="E293" t="str">
        <f>"15899"</f>
        <v>15899</v>
      </c>
      <c r="F293" t="str">
        <f>"LABOR/MATERIALS/ENV FEE/EMS"</f>
        <v>LABOR/MATERIALS/ENV FEE/EMS</v>
      </c>
      <c r="G293" s="2">
        <v>467.5</v>
      </c>
      <c r="H293" t="str">
        <f>"LABOR/MATERIALS/ENV FEE/EMS"</f>
        <v>LABOR/MATERIALS/ENV FEE/EMS</v>
      </c>
    </row>
    <row r="294" spans="1:9" x14ac:dyDescent="0.25">
      <c r="E294" t="str">
        <f>"16068"</f>
        <v>16068</v>
      </c>
      <c r="F294" t="str">
        <f>"LABOR/MATERIALS/ENV FEE/CT HOU"</f>
        <v>LABOR/MATERIALS/ENV FEE/CT HOU</v>
      </c>
      <c r="G294" s="2">
        <v>278</v>
      </c>
      <c r="H294" t="str">
        <f>"LABOR/MATERIALS/ENV FEE/CT HOU"</f>
        <v>LABOR/MATERIALS/ENV FEE/CT HOU</v>
      </c>
    </row>
    <row r="295" spans="1:9" x14ac:dyDescent="0.25">
      <c r="E295" t="str">
        <f>"16069"</f>
        <v>16069</v>
      </c>
      <c r="F295" t="str">
        <f>"LABOR/MATERIALS/ENV FEE"</f>
        <v>LABOR/MATERIALS/ENV FEE</v>
      </c>
      <c r="G295" s="2">
        <v>395</v>
      </c>
      <c r="H295" t="str">
        <f>"LABOR/MATERIALS/ENV FEE"</f>
        <v>LABOR/MATERIALS/ENV FEE</v>
      </c>
    </row>
    <row r="296" spans="1:9" x14ac:dyDescent="0.25">
      <c r="A296" t="s">
        <v>86</v>
      </c>
      <c r="B296">
        <v>79658</v>
      </c>
      <c r="C296" s="3">
        <v>148131.5</v>
      </c>
      <c r="D296" s="1">
        <v>43430</v>
      </c>
      <c r="E296" t="str">
        <f>"201811155152"</f>
        <v>201811155152</v>
      </c>
      <c r="F296" t="str">
        <f>"CAD LOCAL SUPPORT-1ST QTR 2019"</f>
        <v>CAD LOCAL SUPPORT-1ST QTR 2019</v>
      </c>
      <c r="G296" s="2">
        <v>148131.5</v>
      </c>
      <c r="H296" t="str">
        <f>"CAD LOCAL SUPPORT-1ST QTR 2019"</f>
        <v>CAD LOCAL SUPPORT-1ST QTR 2019</v>
      </c>
    </row>
    <row r="297" spans="1:9" x14ac:dyDescent="0.25">
      <c r="A297" t="s">
        <v>87</v>
      </c>
      <c r="B297">
        <v>79421</v>
      </c>
      <c r="C297" s="3">
        <v>475</v>
      </c>
      <c r="D297" s="1">
        <v>43417</v>
      </c>
      <c r="E297" t="str">
        <f>"11264"</f>
        <v>11264</v>
      </c>
      <c r="F297" t="str">
        <f>"SERVICE"</f>
        <v>SERVICE</v>
      </c>
      <c r="G297" s="2">
        <v>75</v>
      </c>
      <c r="H297" t="str">
        <f>"SERVICE"</f>
        <v>SERVICE</v>
      </c>
    </row>
    <row r="298" spans="1:9" x14ac:dyDescent="0.25">
      <c r="E298" t="str">
        <f>"12205  09/11/18"</f>
        <v>12205  09/11/18</v>
      </c>
      <c r="F298" t="str">
        <f>"SERVICE"</f>
        <v>SERVICE</v>
      </c>
      <c r="G298" s="2">
        <v>100</v>
      </c>
      <c r="H298" t="str">
        <f>"SERVICE"</f>
        <v>SERVICE</v>
      </c>
    </row>
    <row r="299" spans="1:9" x14ac:dyDescent="0.25">
      <c r="E299" t="str">
        <f>"12777"</f>
        <v>12777</v>
      </c>
      <c r="F299" t="str">
        <f>"SERVICE"</f>
        <v>SERVICE</v>
      </c>
      <c r="G299" s="2">
        <v>225</v>
      </c>
      <c r="H299" t="str">
        <f>"BASTROP COUNTY SHERIFF'S DEPT"</f>
        <v>BASTROP COUNTY SHERIFF'S DEPT</v>
      </c>
    </row>
    <row r="300" spans="1:9" x14ac:dyDescent="0.25">
      <c r="E300" t="str">
        <f>"12853"</f>
        <v>12853</v>
      </c>
      <c r="F300" t="str">
        <f>"SERVICE"</f>
        <v>SERVICE</v>
      </c>
      <c r="G300" s="2">
        <v>75</v>
      </c>
      <c r="H300" t="str">
        <f>"SERVICE"</f>
        <v>SERVICE</v>
      </c>
    </row>
    <row r="301" spans="1:9" x14ac:dyDescent="0.25">
      <c r="A301" t="s">
        <v>87</v>
      </c>
      <c r="B301">
        <v>79659</v>
      </c>
      <c r="C301" s="3">
        <v>3977.07</v>
      </c>
      <c r="D301" s="1">
        <v>43430</v>
      </c>
      <c r="E301" t="s">
        <v>88</v>
      </c>
      <c r="F301" t="s">
        <v>89</v>
      </c>
      <c r="G301" s="2" t="str">
        <f>"SERVICE"</f>
        <v>SERVICE</v>
      </c>
      <c r="H301" t="str">
        <f>"995-4110"</f>
        <v>995-4110</v>
      </c>
      <c r="I301" t="str">
        <f>""</f>
        <v/>
      </c>
    </row>
    <row r="302" spans="1:9" x14ac:dyDescent="0.25">
      <c r="E302" t="str">
        <f>"12127"</f>
        <v>12127</v>
      </c>
      <c r="F302" t="str">
        <f t="shared" ref="F302:F317" si="7">"SERVICE"</f>
        <v>SERVICE</v>
      </c>
      <c r="G302" s="2">
        <v>200</v>
      </c>
      <c r="H302" t="str">
        <f t="shared" ref="H302:H317" si="8">"SERVICE"</f>
        <v>SERVICE</v>
      </c>
    </row>
    <row r="303" spans="1:9" x14ac:dyDescent="0.25">
      <c r="E303" t="str">
        <f>"12165"</f>
        <v>12165</v>
      </c>
      <c r="F303" t="str">
        <f t="shared" si="7"/>
        <v>SERVICE</v>
      </c>
      <c r="G303" s="2">
        <v>15.03</v>
      </c>
      <c r="H303" t="str">
        <f t="shared" si="8"/>
        <v>SERVICE</v>
      </c>
    </row>
    <row r="304" spans="1:9" x14ac:dyDescent="0.25">
      <c r="E304" t="str">
        <f>"12203"</f>
        <v>12203</v>
      </c>
      <c r="F304" t="str">
        <f t="shared" si="7"/>
        <v>SERVICE</v>
      </c>
      <c r="G304" s="2">
        <v>20.04</v>
      </c>
      <c r="H304" t="str">
        <f t="shared" si="8"/>
        <v>SERVICE</v>
      </c>
    </row>
    <row r="305" spans="1:8" x14ac:dyDescent="0.25">
      <c r="E305" t="str">
        <f>"12490"</f>
        <v>12490</v>
      </c>
      <c r="F305" t="str">
        <f t="shared" si="7"/>
        <v>SERVICE</v>
      </c>
      <c r="G305" s="2">
        <v>325</v>
      </c>
      <c r="H305" t="str">
        <f t="shared" si="8"/>
        <v>SERVICE</v>
      </c>
    </row>
    <row r="306" spans="1:8" x14ac:dyDescent="0.25">
      <c r="E306" t="str">
        <f>"12684"</f>
        <v>12684</v>
      </c>
      <c r="F306" t="str">
        <f t="shared" si="7"/>
        <v>SERVICE</v>
      </c>
      <c r="G306" s="2">
        <v>400</v>
      </c>
      <c r="H306" t="str">
        <f t="shared" si="8"/>
        <v>SERVICE</v>
      </c>
    </row>
    <row r="307" spans="1:8" x14ac:dyDescent="0.25">
      <c r="E307" t="str">
        <f>"12722"</f>
        <v>12722</v>
      </c>
      <c r="F307" t="str">
        <f t="shared" si="7"/>
        <v>SERVICE</v>
      </c>
      <c r="G307" s="2">
        <v>250</v>
      </c>
      <c r="H307" t="str">
        <f t="shared" si="8"/>
        <v>SERVICE</v>
      </c>
    </row>
    <row r="308" spans="1:8" x14ac:dyDescent="0.25">
      <c r="E308" t="str">
        <f>"12745"</f>
        <v>12745</v>
      </c>
      <c r="F308" t="str">
        <f t="shared" si="7"/>
        <v>SERVICE</v>
      </c>
      <c r="G308" s="2">
        <v>325</v>
      </c>
      <c r="H308" t="str">
        <f t="shared" si="8"/>
        <v>SERVICE</v>
      </c>
    </row>
    <row r="309" spans="1:8" x14ac:dyDescent="0.25">
      <c r="E309" t="str">
        <f>"12754"</f>
        <v>12754</v>
      </c>
      <c r="F309" t="str">
        <f t="shared" si="7"/>
        <v>SERVICE</v>
      </c>
      <c r="G309" s="2">
        <v>325</v>
      </c>
      <c r="H309" t="str">
        <f t="shared" si="8"/>
        <v>SERVICE</v>
      </c>
    </row>
    <row r="310" spans="1:8" x14ac:dyDescent="0.25">
      <c r="E310" t="str">
        <f>"12767"</f>
        <v>12767</v>
      </c>
      <c r="F310" t="str">
        <f t="shared" si="7"/>
        <v>SERVICE</v>
      </c>
      <c r="G310" s="2">
        <v>250</v>
      </c>
      <c r="H310" t="str">
        <f t="shared" si="8"/>
        <v>SERVICE</v>
      </c>
    </row>
    <row r="311" spans="1:8" x14ac:dyDescent="0.25">
      <c r="E311" t="str">
        <f>"12774"</f>
        <v>12774</v>
      </c>
      <c r="F311" t="str">
        <f t="shared" si="7"/>
        <v>SERVICE</v>
      </c>
      <c r="G311" s="2">
        <v>250</v>
      </c>
      <c r="H311" t="str">
        <f t="shared" si="8"/>
        <v>SERVICE</v>
      </c>
    </row>
    <row r="312" spans="1:8" x14ac:dyDescent="0.25">
      <c r="E312" t="str">
        <f>"12816"</f>
        <v>12816</v>
      </c>
      <c r="F312" t="str">
        <f t="shared" si="7"/>
        <v>SERVICE</v>
      </c>
      <c r="G312" s="2">
        <v>250</v>
      </c>
      <c r="H312" t="str">
        <f t="shared" si="8"/>
        <v>SERVICE</v>
      </c>
    </row>
    <row r="313" spans="1:8" x14ac:dyDescent="0.25">
      <c r="E313" t="str">
        <f>"12821"</f>
        <v>12821</v>
      </c>
      <c r="F313" t="str">
        <f t="shared" si="7"/>
        <v>SERVICE</v>
      </c>
      <c r="G313" s="2">
        <v>400</v>
      </c>
      <c r="H313" t="str">
        <f t="shared" si="8"/>
        <v>SERVICE</v>
      </c>
    </row>
    <row r="314" spans="1:8" x14ac:dyDescent="0.25">
      <c r="E314" t="str">
        <f>"12839"</f>
        <v>12839</v>
      </c>
      <c r="F314" t="str">
        <f t="shared" si="7"/>
        <v>SERVICE</v>
      </c>
      <c r="G314" s="2">
        <v>250</v>
      </c>
      <c r="H314" t="str">
        <f t="shared" si="8"/>
        <v>SERVICE</v>
      </c>
    </row>
    <row r="315" spans="1:8" x14ac:dyDescent="0.25">
      <c r="E315" t="str">
        <f>"12924"</f>
        <v>12924</v>
      </c>
      <c r="F315" t="str">
        <f t="shared" si="7"/>
        <v>SERVICE</v>
      </c>
      <c r="G315" s="2">
        <v>75</v>
      </c>
      <c r="H315" t="str">
        <f t="shared" si="8"/>
        <v>SERVICE</v>
      </c>
    </row>
    <row r="316" spans="1:8" x14ac:dyDescent="0.25">
      <c r="E316" t="str">
        <f>"12992"</f>
        <v>12992</v>
      </c>
      <c r="F316" t="str">
        <f t="shared" si="7"/>
        <v>SERVICE</v>
      </c>
      <c r="G316" s="2">
        <v>225</v>
      </c>
      <c r="H316" t="str">
        <f t="shared" si="8"/>
        <v>SERVICE</v>
      </c>
    </row>
    <row r="317" spans="1:8" x14ac:dyDescent="0.25">
      <c r="E317" t="str">
        <f>"13046"</f>
        <v>13046</v>
      </c>
      <c r="F317" t="str">
        <f t="shared" si="7"/>
        <v>SERVICE</v>
      </c>
      <c r="G317" s="2">
        <v>150</v>
      </c>
      <c r="H317" t="str">
        <f t="shared" si="8"/>
        <v>SERVICE</v>
      </c>
    </row>
    <row r="318" spans="1:8" x14ac:dyDescent="0.25">
      <c r="E318" t="str">
        <f>"3518"</f>
        <v>3518</v>
      </c>
      <c r="F318" t="str">
        <f>"SERVICE (TAX CASE)"</f>
        <v>SERVICE (TAX CASE)</v>
      </c>
      <c r="G318" s="2">
        <v>16</v>
      </c>
      <c r="H318" t="str">
        <f>"SERVICE (TAX CASE)"</f>
        <v>SERVICE (TAX CASE)</v>
      </c>
    </row>
    <row r="319" spans="1:8" x14ac:dyDescent="0.25">
      <c r="E319" t="str">
        <f>"3797"</f>
        <v>3797</v>
      </c>
      <c r="F319" t="str">
        <f>"SERVICE (TAX CASE)"</f>
        <v>SERVICE (TAX CASE)</v>
      </c>
      <c r="G319" s="2">
        <v>51</v>
      </c>
      <c r="H319" t="str">
        <f>"SERVICE (TAX CASE)"</f>
        <v>SERVICE (TAX CASE)</v>
      </c>
    </row>
    <row r="320" spans="1:8" x14ac:dyDescent="0.25">
      <c r="A320" t="s">
        <v>90</v>
      </c>
      <c r="B320">
        <v>79660</v>
      </c>
      <c r="C320" s="3">
        <v>824</v>
      </c>
      <c r="D320" s="1">
        <v>43430</v>
      </c>
      <c r="E320" t="str">
        <f>"201811155144"</f>
        <v>201811155144</v>
      </c>
      <c r="F320" t="str">
        <f>"ACCT#BC01"</f>
        <v>ACCT#BC01</v>
      </c>
      <c r="G320" s="2">
        <v>824</v>
      </c>
      <c r="H320" t="str">
        <f t="shared" ref="H320:H328" si="9">"ACCT#BC01"</f>
        <v>ACCT#BC01</v>
      </c>
    </row>
    <row r="321" spans="1:8" x14ac:dyDescent="0.25">
      <c r="E321" t="str">
        <f>""</f>
        <v/>
      </c>
      <c r="F321" t="str">
        <f>""</f>
        <v/>
      </c>
      <c r="H321" t="str">
        <f t="shared" si="9"/>
        <v>ACCT#BC01</v>
      </c>
    </row>
    <row r="322" spans="1:8" x14ac:dyDescent="0.25">
      <c r="E322" t="str">
        <f>""</f>
        <v/>
      </c>
      <c r="F322" t="str">
        <f>""</f>
        <v/>
      </c>
      <c r="H322" t="str">
        <f t="shared" si="9"/>
        <v>ACCT#BC01</v>
      </c>
    </row>
    <row r="323" spans="1:8" x14ac:dyDescent="0.25">
      <c r="E323" t="str">
        <f>""</f>
        <v/>
      </c>
      <c r="F323" t="str">
        <f>""</f>
        <v/>
      </c>
      <c r="H323" t="str">
        <f t="shared" si="9"/>
        <v>ACCT#BC01</v>
      </c>
    </row>
    <row r="324" spans="1:8" x14ac:dyDescent="0.25">
      <c r="E324" t="str">
        <f>""</f>
        <v/>
      </c>
      <c r="F324" t="str">
        <f>""</f>
        <v/>
      </c>
      <c r="H324" t="str">
        <f t="shared" si="9"/>
        <v>ACCT#BC01</v>
      </c>
    </row>
    <row r="325" spans="1:8" x14ac:dyDescent="0.25">
      <c r="E325" t="str">
        <f>""</f>
        <v/>
      </c>
      <c r="F325" t="str">
        <f>""</f>
        <v/>
      </c>
      <c r="H325" t="str">
        <f t="shared" si="9"/>
        <v>ACCT#BC01</v>
      </c>
    </row>
    <row r="326" spans="1:8" x14ac:dyDescent="0.25">
      <c r="E326" t="str">
        <f>""</f>
        <v/>
      </c>
      <c r="F326" t="str">
        <f>""</f>
        <v/>
      </c>
      <c r="H326" t="str">
        <f t="shared" si="9"/>
        <v>ACCT#BC01</v>
      </c>
    </row>
    <row r="327" spans="1:8" x14ac:dyDescent="0.25">
      <c r="E327" t="str">
        <f>""</f>
        <v/>
      </c>
      <c r="F327" t="str">
        <f>""</f>
        <v/>
      </c>
      <c r="H327" t="str">
        <f t="shared" si="9"/>
        <v>ACCT#BC01</v>
      </c>
    </row>
    <row r="328" spans="1:8" x14ac:dyDescent="0.25">
      <c r="E328" t="str">
        <f>""</f>
        <v/>
      </c>
      <c r="F328" t="str">
        <f>""</f>
        <v/>
      </c>
      <c r="H328" t="str">
        <f t="shared" si="9"/>
        <v>ACCT#BC01</v>
      </c>
    </row>
    <row r="329" spans="1:8" x14ac:dyDescent="0.25">
      <c r="A329" t="s">
        <v>91</v>
      </c>
      <c r="B329">
        <v>79661</v>
      </c>
      <c r="C329" s="3">
        <v>7500</v>
      </c>
      <c r="D329" s="1">
        <v>43430</v>
      </c>
      <c r="E329" t="str">
        <f>"201811165255"</f>
        <v>201811165255</v>
      </c>
      <c r="F329" t="str">
        <f>"BABCSWCD 18-19 CONTRIBUTION"</f>
        <v>BABCSWCD 18-19 CONTRIBUTION</v>
      </c>
      <c r="G329" s="2">
        <v>7500</v>
      </c>
      <c r="H329" t="str">
        <f>"BABCSWCD 18-19 CONTRIBUTION"</f>
        <v>BABCSWCD 18-19 CONTRIBUTION</v>
      </c>
    </row>
    <row r="330" spans="1:8" x14ac:dyDescent="0.25">
      <c r="A330" t="s">
        <v>92</v>
      </c>
      <c r="B330">
        <v>999999</v>
      </c>
      <c r="C330" s="3">
        <v>8074.67</v>
      </c>
      <c r="D330" s="1">
        <v>43418</v>
      </c>
      <c r="E330" t="str">
        <f>"201811074961"</f>
        <v>201811074961</v>
      </c>
      <c r="F330" t="str">
        <f>"GRANT REIMBURSEMENT"</f>
        <v>GRANT REIMBURSEMENT</v>
      </c>
      <c r="G330" s="2">
        <v>8074.67</v>
      </c>
      <c r="H330" t="str">
        <f>"GRANT REIMBURSEMENT"</f>
        <v>GRANT REIMBURSEMENT</v>
      </c>
    </row>
    <row r="331" spans="1:8" x14ac:dyDescent="0.25">
      <c r="A331" t="s">
        <v>92</v>
      </c>
      <c r="B331">
        <v>999999</v>
      </c>
      <c r="C331" s="3">
        <v>10269.540000000001</v>
      </c>
      <c r="D331" s="1">
        <v>43432</v>
      </c>
      <c r="E331" t="str">
        <f>"201811275298"</f>
        <v>201811275298</v>
      </c>
      <c r="F331" t="str">
        <f>"GRANT REIMBURSEMENT"</f>
        <v>GRANT REIMBURSEMENT</v>
      </c>
      <c r="G331" s="2">
        <v>10269.540000000001</v>
      </c>
      <c r="H331" t="str">
        <f>"GRANT REIMBURSEMENT"</f>
        <v>GRANT REIMBURSEMENT</v>
      </c>
    </row>
    <row r="332" spans="1:8" x14ac:dyDescent="0.25">
      <c r="A332" t="s">
        <v>93</v>
      </c>
      <c r="B332">
        <v>999999</v>
      </c>
      <c r="C332" s="3">
        <v>83.89</v>
      </c>
      <c r="D332" s="1">
        <v>43418</v>
      </c>
      <c r="E332" t="str">
        <f>"201811074969"</f>
        <v>201811074969</v>
      </c>
      <c r="F332" t="str">
        <f>"INDIGENT HEALTH"</f>
        <v>INDIGENT HEALTH</v>
      </c>
      <c r="G332" s="2">
        <v>83.89</v>
      </c>
      <c r="H332" t="str">
        <f t="shared" ref="H332:H338" si="10">"INDIGENT HEALTH"</f>
        <v>INDIGENT HEALTH</v>
      </c>
    </row>
    <row r="333" spans="1:8" x14ac:dyDescent="0.25">
      <c r="A333" t="s">
        <v>94</v>
      </c>
      <c r="B333">
        <v>999999</v>
      </c>
      <c r="C333" s="3">
        <v>231.84</v>
      </c>
      <c r="D333" s="1">
        <v>43418</v>
      </c>
      <c r="E333" t="str">
        <f>"201811074970"</f>
        <v>201811074970</v>
      </c>
      <c r="F333" t="str">
        <f>"INDIGENT HEALTH"</f>
        <v>INDIGENT HEALTH</v>
      </c>
      <c r="G333" s="2">
        <v>143.84</v>
      </c>
      <c r="H333" t="str">
        <f t="shared" si="10"/>
        <v>INDIGENT HEALTH</v>
      </c>
    </row>
    <row r="334" spans="1:8" x14ac:dyDescent="0.25">
      <c r="E334" t="str">
        <f>""</f>
        <v/>
      </c>
      <c r="F334" t="str">
        <f>""</f>
        <v/>
      </c>
      <c r="H334" t="str">
        <f t="shared" si="10"/>
        <v>INDIGENT HEALTH</v>
      </c>
    </row>
    <row r="335" spans="1:8" x14ac:dyDescent="0.25">
      <c r="E335" t="str">
        <f>"201811074971"</f>
        <v>201811074971</v>
      </c>
      <c r="F335" t="str">
        <f>"INDIGENT HEALTH"</f>
        <v>INDIGENT HEALTH</v>
      </c>
      <c r="G335" s="2">
        <v>88</v>
      </c>
      <c r="H335" t="str">
        <f t="shared" si="10"/>
        <v>INDIGENT HEALTH</v>
      </c>
    </row>
    <row r="336" spans="1:8" x14ac:dyDescent="0.25">
      <c r="E336" t="str">
        <f>""</f>
        <v/>
      </c>
      <c r="F336" t="str">
        <f>""</f>
        <v/>
      </c>
      <c r="H336" t="str">
        <f t="shared" si="10"/>
        <v>INDIGENT HEALTH</v>
      </c>
    </row>
    <row r="337" spans="1:8" x14ac:dyDescent="0.25">
      <c r="A337" t="s">
        <v>94</v>
      </c>
      <c r="B337">
        <v>999999</v>
      </c>
      <c r="C337" s="3">
        <v>58.04</v>
      </c>
      <c r="D337" s="1">
        <v>43431</v>
      </c>
      <c r="E337" t="str">
        <f>"201811155230"</f>
        <v>201811155230</v>
      </c>
      <c r="F337" t="str">
        <f>"INDIGENT HEALTH"</f>
        <v>INDIGENT HEALTH</v>
      </c>
      <c r="G337" s="2">
        <v>58.04</v>
      </c>
      <c r="H337" t="str">
        <f t="shared" si="10"/>
        <v>INDIGENT HEALTH</v>
      </c>
    </row>
    <row r="338" spans="1:8" x14ac:dyDescent="0.25">
      <c r="E338" t="str">
        <f>""</f>
        <v/>
      </c>
      <c r="F338" t="str">
        <f>""</f>
        <v/>
      </c>
      <c r="H338" t="str">
        <f t="shared" si="10"/>
        <v>INDIGENT HEALTH</v>
      </c>
    </row>
    <row r="339" spans="1:8" x14ac:dyDescent="0.25">
      <c r="A339" t="s">
        <v>95</v>
      </c>
      <c r="B339">
        <v>79422</v>
      </c>
      <c r="C339" s="3">
        <v>180</v>
      </c>
      <c r="D339" s="1">
        <v>43417</v>
      </c>
      <c r="E339" t="str">
        <f>"6524"</f>
        <v>6524</v>
      </c>
      <c r="F339" t="str">
        <f>"BLADES/STRING"</f>
        <v>BLADES/STRING</v>
      </c>
      <c r="G339" s="2">
        <v>165</v>
      </c>
      <c r="H339" t="str">
        <f>"BLADES/STRING"</f>
        <v>BLADES/STRING</v>
      </c>
    </row>
    <row r="340" spans="1:8" x14ac:dyDescent="0.25">
      <c r="E340" t="str">
        <f>"6576"</f>
        <v>6576</v>
      </c>
      <c r="F340" t="str">
        <f>"CHANGED BLADES ON MOWER"</f>
        <v>CHANGED BLADES ON MOWER</v>
      </c>
      <c r="G340" s="2">
        <v>15</v>
      </c>
      <c r="H340" t="str">
        <f>"CHANGED BLADES ON MOWER"</f>
        <v>CHANGED BLADES ON MOWER</v>
      </c>
    </row>
    <row r="341" spans="1:8" x14ac:dyDescent="0.25">
      <c r="A341" t="s">
        <v>96</v>
      </c>
      <c r="B341">
        <v>999999</v>
      </c>
      <c r="C341" s="3">
        <v>2675</v>
      </c>
      <c r="D341" s="1">
        <v>43418</v>
      </c>
      <c r="E341" t="str">
        <f>"2018137"</f>
        <v>2018137</v>
      </c>
      <c r="F341" t="str">
        <f>"TRANSPORT-C.F. JOHNSON"</f>
        <v>TRANSPORT-C.F. JOHNSON</v>
      </c>
      <c r="G341" s="2">
        <v>495</v>
      </c>
      <c r="H341" t="str">
        <f>"TRANSPORT-C.F. JOHNSON"</f>
        <v>TRANSPORT-C.F. JOHNSON</v>
      </c>
    </row>
    <row r="342" spans="1:8" x14ac:dyDescent="0.25">
      <c r="E342" t="str">
        <f>"2018143"</f>
        <v>2018143</v>
      </c>
      <c r="F342" t="str">
        <f>"TRANSPORT-D.R. SMITH"</f>
        <v>TRANSPORT-D.R. SMITH</v>
      </c>
      <c r="G342" s="2">
        <v>695</v>
      </c>
      <c r="H342" t="str">
        <f>"TRANSPORT-D.R. SMITH"</f>
        <v>TRANSPORT-D.R. SMITH</v>
      </c>
    </row>
    <row r="343" spans="1:8" x14ac:dyDescent="0.25">
      <c r="E343" t="str">
        <f>"2018147"</f>
        <v>2018147</v>
      </c>
      <c r="F343" t="str">
        <f>"TRANSPORT-T.SLEZAK-JOHNS"</f>
        <v>TRANSPORT-T.SLEZAK-JOHNS</v>
      </c>
      <c r="G343" s="2">
        <v>295</v>
      </c>
      <c r="H343" t="str">
        <f>"TRANSPORT-T.SLEZAK-JOHNS"</f>
        <v>TRANSPORT-T.SLEZAK-JOHNS</v>
      </c>
    </row>
    <row r="344" spans="1:8" x14ac:dyDescent="0.25">
      <c r="E344" t="str">
        <f>"2018148"</f>
        <v>2018148</v>
      </c>
      <c r="F344" t="str">
        <f>"TRANSPORT - T.A. SLEZAK-JOHNS"</f>
        <v>TRANSPORT - T.A. SLEZAK-JOHNS</v>
      </c>
      <c r="G344" s="2">
        <v>695</v>
      </c>
      <c r="H344" t="str">
        <f>"TRANSPORT - T.A. SLEZAK-JOHNS"</f>
        <v>TRANSPORT - T.A. SLEZAK-JOHNS</v>
      </c>
    </row>
    <row r="345" spans="1:8" x14ac:dyDescent="0.25">
      <c r="E345" t="str">
        <f>"2018149"</f>
        <v>2018149</v>
      </c>
      <c r="F345" t="str">
        <f>"TRANSPORT-O.S. ARIAS"</f>
        <v>TRANSPORT-O.S. ARIAS</v>
      </c>
      <c r="G345" s="2">
        <v>495</v>
      </c>
      <c r="H345" t="str">
        <f>"TRANSPORT-O.S. ARIAS"</f>
        <v>TRANSPORT-O.S. ARIAS</v>
      </c>
    </row>
    <row r="346" spans="1:8" x14ac:dyDescent="0.25">
      <c r="A346" t="s">
        <v>96</v>
      </c>
      <c r="B346">
        <v>999999</v>
      </c>
      <c r="C346" s="3">
        <v>885</v>
      </c>
      <c r="D346" s="1">
        <v>43431</v>
      </c>
      <c r="E346" t="str">
        <f>"2018142"</f>
        <v>2018142</v>
      </c>
      <c r="F346" t="str">
        <f>"TRANSPORT-D.R.SMITH"</f>
        <v>TRANSPORT-D.R.SMITH</v>
      </c>
      <c r="G346" s="2">
        <v>390</v>
      </c>
      <c r="H346" t="str">
        <f>"TRANSPORT-D.R.SMITH"</f>
        <v>TRANSPORT-D.R.SMITH</v>
      </c>
    </row>
    <row r="347" spans="1:8" x14ac:dyDescent="0.25">
      <c r="E347" t="str">
        <f>"2018146"</f>
        <v>2018146</v>
      </c>
      <c r="F347" t="str">
        <f>"TRANSPORT-M.C. WATT"</f>
        <v>TRANSPORT-M.C. WATT</v>
      </c>
      <c r="G347" s="2">
        <v>495</v>
      </c>
      <c r="H347" t="str">
        <f>"TRANSPORT-M.C. WATT"</f>
        <v>TRANSPORT-M.C. WATT</v>
      </c>
    </row>
    <row r="348" spans="1:8" x14ac:dyDescent="0.25">
      <c r="A348" t="s">
        <v>97</v>
      </c>
      <c r="B348">
        <v>79423</v>
      </c>
      <c r="C348" s="3">
        <v>8500</v>
      </c>
      <c r="D348" s="1">
        <v>43417</v>
      </c>
      <c r="E348" t="str">
        <f>"201810254659"</f>
        <v>201810254659</v>
      </c>
      <c r="F348" t="str">
        <f>"PER FY 2019 BUDGET"</f>
        <v>PER FY 2019 BUDGET</v>
      </c>
      <c r="G348" s="2">
        <v>8500</v>
      </c>
      <c r="H348" t="str">
        <f>"PER FY 2019 BUDGET"</f>
        <v>PER FY 2019 BUDGET</v>
      </c>
    </row>
    <row r="349" spans="1:8" x14ac:dyDescent="0.25">
      <c r="A349" t="s">
        <v>99</v>
      </c>
      <c r="B349">
        <v>79662</v>
      </c>
      <c r="C349" s="3">
        <v>600</v>
      </c>
      <c r="D349" s="1">
        <v>43430</v>
      </c>
      <c r="E349" t="str">
        <f>"5361R"</f>
        <v>5361R</v>
      </c>
      <c r="F349" t="str">
        <f>"Mel Hamner"</f>
        <v>Mel Hamner</v>
      </c>
      <c r="G349" s="2">
        <v>600</v>
      </c>
      <c r="H349" t="str">
        <f>"Mel Hamner"</f>
        <v>Mel Hamner</v>
      </c>
    </row>
    <row r="350" spans="1:8" x14ac:dyDescent="0.25">
      <c r="A350" t="s">
        <v>100</v>
      </c>
      <c r="B350">
        <v>999999</v>
      </c>
      <c r="C350" s="3">
        <v>1252.8</v>
      </c>
      <c r="D350" s="1">
        <v>43418</v>
      </c>
      <c r="E350" t="str">
        <f>"201811014798"</f>
        <v>201811014798</v>
      </c>
      <c r="F350" t="str">
        <f>"SERVICES PROVIDED IN OCT2018"</f>
        <v>SERVICES PROVIDED IN OCT2018</v>
      </c>
      <c r="G350" s="2">
        <v>262.5</v>
      </c>
      <c r="H350" t="str">
        <f>"SERVICES PROVIDED IN OCT2018"</f>
        <v>SERVICES PROVIDED IN OCT2018</v>
      </c>
    </row>
    <row r="351" spans="1:8" x14ac:dyDescent="0.25">
      <c r="E351" t="str">
        <f>"201811074938"</f>
        <v>201811074938</v>
      </c>
      <c r="F351" t="str">
        <f>"SERVICES FOR OCTOBER"</f>
        <v>SERVICES FOR OCTOBER</v>
      </c>
      <c r="G351" s="2">
        <v>990.3</v>
      </c>
      <c r="H351" t="str">
        <f>"JAIL"</f>
        <v>JAIL</v>
      </c>
    </row>
    <row r="352" spans="1:8" x14ac:dyDescent="0.25">
      <c r="E352" t="str">
        <f>""</f>
        <v/>
      </c>
      <c r="F352" t="str">
        <f>""</f>
        <v/>
      </c>
      <c r="H352" t="str">
        <f>"LAW ENFORCEMENT"</f>
        <v>LAW ENFORCEMENT</v>
      </c>
    </row>
    <row r="353" spans="1:9" x14ac:dyDescent="0.25">
      <c r="A353" t="s">
        <v>101</v>
      </c>
      <c r="B353">
        <v>79424</v>
      </c>
      <c r="C353" s="3">
        <v>3052.81</v>
      </c>
      <c r="D353" s="1">
        <v>43417</v>
      </c>
      <c r="E353" t="str">
        <f>"74853785 74861889+"</f>
        <v>74853785 74861889+</v>
      </c>
      <c r="F353" t="str">
        <f>"INV 74853785"</f>
        <v>INV 74853785</v>
      </c>
      <c r="G353" s="2">
        <v>3052.81</v>
      </c>
      <c r="H353" t="str">
        <f>"INV 74853785"</f>
        <v>INV 74853785</v>
      </c>
    </row>
    <row r="354" spans="1:9" x14ac:dyDescent="0.25">
      <c r="E354" t="str">
        <f>""</f>
        <v/>
      </c>
      <c r="F354" t="str">
        <f>""</f>
        <v/>
      </c>
      <c r="H354" t="str">
        <f>"INV 74861889"</f>
        <v>INV 74861889</v>
      </c>
    </row>
    <row r="355" spans="1:9" x14ac:dyDescent="0.25">
      <c r="E355" t="str">
        <f>""</f>
        <v/>
      </c>
      <c r="F355" t="str">
        <f>""</f>
        <v/>
      </c>
      <c r="H355" t="str">
        <f>"INV 74869589"</f>
        <v>INV 74869589</v>
      </c>
    </row>
    <row r="356" spans="1:9" x14ac:dyDescent="0.25">
      <c r="A356" t="s">
        <v>101</v>
      </c>
      <c r="B356">
        <v>79663</v>
      </c>
      <c r="C356" s="3">
        <v>944.62</v>
      </c>
      <c r="D356" s="1">
        <v>43430</v>
      </c>
      <c r="E356" t="str">
        <f>"74877494"</f>
        <v>74877494</v>
      </c>
      <c r="F356" t="str">
        <f>"INV 74877494"</f>
        <v>INV 74877494</v>
      </c>
      <c r="G356" s="2">
        <v>944.62</v>
      </c>
      <c r="H356" t="str">
        <f>"INV 74877494"</f>
        <v>INV 74877494</v>
      </c>
    </row>
    <row r="357" spans="1:9" x14ac:dyDescent="0.25">
      <c r="A357" t="s">
        <v>102</v>
      </c>
      <c r="B357">
        <v>999999</v>
      </c>
      <c r="C357" s="3">
        <v>3101.55</v>
      </c>
      <c r="D357" s="1">
        <v>43431</v>
      </c>
      <c r="E357" t="str">
        <f>"251166-00 241731-0"</f>
        <v>251166-00 241731-0</v>
      </c>
      <c r="F357" t="str">
        <f>"INV 251166-00"</f>
        <v>INV 251166-00</v>
      </c>
      <c r="G357" s="2">
        <v>3101.55</v>
      </c>
      <c r="H357" t="str">
        <f>"INV 251166-00"</f>
        <v>INV 251166-00</v>
      </c>
    </row>
    <row r="358" spans="1:9" x14ac:dyDescent="0.25">
      <c r="E358" t="str">
        <f>""</f>
        <v/>
      </c>
      <c r="F358" t="str">
        <f>""</f>
        <v/>
      </c>
      <c r="H358" t="str">
        <f>"INV 241731-0A"</f>
        <v>INV 241731-0A</v>
      </c>
    </row>
    <row r="359" spans="1:9" x14ac:dyDescent="0.25">
      <c r="E359" t="str">
        <f>""</f>
        <v/>
      </c>
      <c r="F359" t="str">
        <f>""</f>
        <v/>
      </c>
      <c r="H359" t="str">
        <f>"INV 251166-0A"</f>
        <v>INV 251166-0A</v>
      </c>
    </row>
    <row r="360" spans="1:9" x14ac:dyDescent="0.25">
      <c r="A360" t="s">
        <v>103</v>
      </c>
      <c r="B360">
        <v>999999</v>
      </c>
      <c r="C360" s="3">
        <v>35</v>
      </c>
      <c r="D360" s="1">
        <v>43418</v>
      </c>
      <c r="E360" t="str">
        <f>"201811064865"</f>
        <v>201811064865</v>
      </c>
      <c r="F360" t="str">
        <f>"REIMBURSE CCL DUES"</f>
        <v>REIMBURSE CCL DUES</v>
      </c>
      <c r="G360" s="2">
        <v>35</v>
      </c>
      <c r="H360" t="str">
        <f>"REIMBURSE CCL DUES"</f>
        <v>REIMBURSE CCL DUES</v>
      </c>
    </row>
    <row r="361" spans="1:9" x14ac:dyDescent="0.25">
      <c r="A361" t="s">
        <v>104</v>
      </c>
      <c r="B361">
        <v>79425</v>
      </c>
      <c r="C361" s="3">
        <v>285.27999999999997</v>
      </c>
      <c r="D361" s="1">
        <v>43417</v>
      </c>
      <c r="E361" t="str">
        <f>"3426071 &amp; 3440485"</f>
        <v>3426071 &amp; 3440485</v>
      </c>
      <c r="F361" t="str">
        <f>"Inv# 3426071 &amp; 3440485"</f>
        <v>Inv# 3426071 &amp; 3440485</v>
      </c>
      <c r="G361" s="2">
        <v>285.27999999999997</v>
      </c>
      <c r="H361" t="str">
        <f>"Inv# 3440485"</f>
        <v>Inv# 3440485</v>
      </c>
    </row>
    <row r="362" spans="1:9" x14ac:dyDescent="0.25">
      <c r="E362" t="str">
        <f>""</f>
        <v/>
      </c>
      <c r="F362" t="str">
        <f>""</f>
        <v/>
      </c>
      <c r="H362" t="str">
        <f>"Inv# 3426071"</f>
        <v>Inv# 3426071</v>
      </c>
    </row>
    <row r="363" spans="1:9" x14ac:dyDescent="0.25">
      <c r="A363" t="s">
        <v>105</v>
      </c>
      <c r="B363">
        <v>79426</v>
      </c>
      <c r="C363" s="3">
        <v>2814.04</v>
      </c>
      <c r="D363" s="1">
        <v>43417</v>
      </c>
      <c r="E363" t="str">
        <f>"23984"</f>
        <v>23984</v>
      </c>
      <c r="F363" t="str">
        <f>"INV 23984"</f>
        <v>INV 23984</v>
      </c>
      <c r="G363" s="2">
        <v>2814.04</v>
      </c>
      <c r="H363" t="str">
        <f>"INV 23984"</f>
        <v>INV 23984</v>
      </c>
    </row>
    <row r="364" spans="1:9" x14ac:dyDescent="0.25">
      <c r="A364" t="s">
        <v>106</v>
      </c>
      <c r="B364">
        <v>79664</v>
      </c>
      <c r="C364" s="3">
        <v>100</v>
      </c>
      <c r="D364" s="1">
        <v>43430</v>
      </c>
      <c r="E364" t="s">
        <v>88</v>
      </c>
      <c r="F364" t="s">
        <v>107</v>
      </c>
      <c r="G364" s="2" t="str">
        <f>"RESTITUTION-J. RICHARDSON"</f>
        <v>RESTITUTION-J. RICHARDSON</v>
      </c>
      <c r="H364" t="str">
        <f>"210-0000"</f>
        <v>210-0000</v>
      </c>
      <c r="I364" t="str">
        <f>""</f>
        <v/>
      </c>
    </row>
    <row r="365" spans="1:9" x14ac:dyDescent="0.25">
      <c r="A365" t="s">
        <v>108</v>
      </c>
      <c r="B365">
        <v>79427</v>
      </c>
      <c r="C365" s="3">
        <v>60</v>
      </c>
      <c r="D365" s="1">
        <v>43417</v>
      </c>
      <c r="E365" t="str">
        <f>"11264"</f>
        <v>11264</v>
      </c>
      <c r="F365" t="str">
        <f>"SERVICE"</f>
        <v>SERVICE</v>
      </c>
      <c r="G365" s="2">
        <v>60</v>
      </c>
      <c r="H365" t="str">
        <f>"SERVICE"</f>
        <v>SERVICE</v>
      </c>
    </row>
    <row r="366" spans="1:9" x14ac:dyDescent="0.25">
      <c r="A366" t="s">
        <v>108</v>
      </c>
      <c r="B366">
        <v>79665</v>
      </c>
      <c r="C366" s="3">
        <v>210</v>
      </c>
      <c r="D366" s="1">
        <v>43430</v>
      </c>
      <c r="E366" t="s">
        <v>88</v>
      </c>
      <c r="F366" t="s">
        <v>89</v>
      </c>
      <c r="G366" s="2" t="str">
        <f>"SERVICE"</f>
        <v>SERVICE</v>
      </c>
      <c r="H366" t="str">
        <f>"995-4110"</f>
        <v>995-4110</v>
      </c>
      <c r="I366" t="str">
        <f>""</f>
        <v/>
      </c>
    </row>
    <row r="367" spans="1:9" x14ac:dyDescent="0.25">
      <c r="E367" t="str">
        <f>"12490"</f>
        <v>12490</v>
      </c>
      <c r="F367" t="str">
        <f>"SERVICE"</f>
        <v>SERVICE</v>
      </c>
      <c r="G367" s="2">
        <v>75</v>
      </c>
      <c r="H367" t="str">
        <f>"SERVICE"</f>
        <v>SERVICE</v>
      </c>
    </row>
    <row r="368" spans="1:9" x14ac:dyDescent="0.25">
      <c r="E368" t="str">
        <f>"12992"</f>
        <v>12992</v>
      </c>
      <c r="F368" t="str">
        <f>"SERVICE"</f>
        <v>SERVICE</v>
      </c>
      <c r="G368" s="2">
        <v>75</v>
      </c>
      <c r="H368" t="str">
        <f>"SERVICE"</f>
        <v>SERVICE</v>
      </c>
    </row>
    <row r="369" spans="1:8" x14ac:dyDescent="0.25">
      <c r="A369" t="s">
        <v>109</v>
      </c>
      <c r="B369">
        <v>999999</v>
      </c>
      <c r="C369" s="3">
        <v>3221.7</v>
      </c>
      <c r="D369" s="1">
        <v>43418</v>
      </c>
      <c r="E369" t="str">
        <f>"107745"</f>
        <v>107745</v>
      </c>
      <c r="F369" t="str">
        <f>"CLIENT#001309-PROF SVCS OCT18"</f>
        <v>CLIENT#001309-PROF SVCS OCT18</v>
      </c>
      <c r="G369" s="2">
        <v>2130</v>
      </c>
      <c r="H369" t="str">
        <f>"CLIENT#001309-PROF SVCS OCT18"</f>
        <v>CLIENT#001309-PROF SVCS OCT18</v>
      </c>
    </row>
    <row r="370" spans="1:8" x14ac:dyDescent="0.25">
      <c r="E370" t="str">
        <f>"107746"</f>
        <v>107746</v>
      </c>
      <c r="F370" t="str">
        <f>"CLIENT#001309/PROF SVCS"</f>
        <v>CLIENT#001309/PROF SVCS</v>
      </c>
      <c r="G370" s="2">
        <v>1091.7</v>
      </c>
      <c r="H370" t="str">
        <f>"CLIENT#001309/PROF SVCS"</f>
        <v>CLIENT#001309/PROF SVCS</v>
      </c>
    </row>
    <row r="371" spans="1:8" x14ac:dyDescent="0.25">
      <c r="A371" t="s">
        <v>110</v>
      </c>
      <c r="B371">
        <v>999999</v>
      </c>
      <c r="C371" s="3">
        <v>410.14</v>
      </c>
      <c r="D371" s="1">
        <v>43418</v>
      </c>
      <c r="E371" t="str">
        <f>"71"</f>
        <v>71</v>
      </c>
      <c r="F371" t="str">
        <f>"2008 FORD REPAIRS/PCT#4"</f>
        <v>2008 FORD REPAIRS/PCT#4</v>
      </c>
      <c r="G371" s="2">
        <v>410.14</v>
      </c>
      <c r="H371" t="str">
        <f>"2008 FORD REPAIRS/PCT#4"</f>
        <v>2008 FORD REPAIRS/PCT#4</v>
      </c>
    </row>
    <row r="372" spans="1:8" x14ac:dyDescent="0.25">
      <c r="A372" t="s">
        <v>111</v>
      </c>
      <c r="B372">
        <v>999999</v>
      </c>
      <c r="C372" s="3">
        <v>331.07</v>
      </c>
      <c r="D372" s="1">
        <v>43431</v>
      </c>
      <c r="E372" t="str">
        <f>"18121"</f>
        <v>18121</v>
      </c>
      <c r="F372" t="str">
        <f>"423-5817"</f>
        <v>423-5817</v>
      </c>
      <c r="G372" s="2">
        <v>331.07</v>
      </c>
      <c r="H372" t="str">
        <f>"423-5817"</f>
        <v>423-5817</v>
      </c>
    </row>
    <row r="373" spans="1:8" x14ac:dyDescent="0.25">
      <c r="A373" t="s">
        <v>112</v>
      </c>
      <c r="B373">
        <v>999999</v>
      </c>
      <c r="C373" s="3">
        <v>400</v>
      </c>
      <c r="D373" s="1">
        <v>43418</v>
      </c>
      <c r="E373" t="str">
        <f>"1809"</f>
        <v>1809</v>
      </c>
      <c r="F373" t="str">
        <f>"MOWING MAINTENANCE"</f>
        <v>MOWING MAINTENANCE</v>
      </c>
      <c r="G373" s="2">
        <v>400</v>
      </c>
      <c r="H373" t="str">
        <f>"MOWING MAINTENANCE"</f>
        <v>MOWING MAINTENANCE</v>
      </c>
    </row>
    <row r="374" spans="1:8" x14ac:dyDescent="0.25">
      <c r="A374" t="s">
        <v>113</v>
      </c>
      <c r="B374">
        <v>79428</v>
      </c>
      <c r="C374" s="3">
        <v>853.9</v>
      </c>
      <c r="D374" s="1">
        <v>43417</v>
      </c>
      <c r="E374" t="str">
        <f>"84078934885 ++"</f>
        <v>84078934885 ++</v>
      </c>
      <c r="F374" t="str">
        <f>"INV 84078934885"</f>
        <v>INV 84078934885</v>
      </c>
      <c r="G374" s="2">
        <v>853.9</v>
      </c>
      <c r="H374" t="str">
        <f>"INV 84078934885"</f>
        <v>INV 84078934885</v>
      </c>
    </row>
    <row r="375" spans="1:8" x14ac:dyDescent="0.25">
      <c r="E375" t="str">
        <f>""</f>
        <v/>
      </c>
      <c r="F375" t="str">
        <f>""</f>
        <v/>
      </c>
      <c r="H375" t="str">
        <f>"INV 84078934965"</f>
        <v>INV 84078934965</v>
      </c>
    </row>
    <row r="376" spans="1:8" x14ac:dyDescent="0.25">
      <c r="E376" t="str">
        <f>""</f>
        <v/>
      </c>
      <c r="F376" t="str">
        <f>""</f>
        <v/>
      </c>
      <c r="H376" t="str">
        <f>"INV 84078935051"</f>
        <v>INV 84078935051</v>
      </c>
    </row>
    <row r="377" spans="1:8" x14ac:dyDescent="0.25">
      <c r="A377" t="s">
        <v>113</v>
      </c>
      <c r="B377">
        <v>79666</v>
      </c>
      <c r="C377" s="3">
        <v>496.92</v>
      </c>
      <c r="D377" s="1">
        <v>43430</v>
      </c>
      <c r="E377" t="str">
        <f>"84078935145/239"</f>
        <v>84078935145/239</v>
      </c>
      <c r="F377" t="str">
        <f>"INV 84078935145"</f>
        <v>INV 84078935145</v>
      </c>
      <c r="G377" s="2">
        <v>496.92</v>
      </c>
      <c r="H377" t="str">
        <f>"INV 84078935145"</f>
        <v>INV 84078935145</v>
      </c>
    </row>
    <row r="378" spans="1:8" x14ac:dyDescent="0.25">
      <c r="E378" t="str">
        <f>""</f>
        <v/>
      </c>
      <c r="F378" t="str">
        <f>""</f>
        <v/>
      </c>
      <c r="H378" t="str">
        <f>"INV 84078935239"</f>
        <v>INV 84078935239</v>
      </c>
    </row>
    <row r="379" spans="1:8" x14ac:dyDescent="0.25">
      <c r="A379" t="s">
        <v>114</v>
      </c>
      <c r="B379">
        <v>999999</v>
      </c>
      <c r="C379" s="3">
        <v>1322.62</v>
      </c>
      <c r="D379" s="1">
        <v>43418</v>
      </c>
      <c r="E379" t="str">
        <f>"201810304705"</f>
        <v>201810304705</v>
      </c>
      <c r="F379" t="str">
        <f>"56 017  56 018"</f>
        <v>56 017  56 018</v>
      </c>
      <c r="G379" s="2">
        <v>375</v>
      </c>
      <c r="H379" t="str">
        <f>"56 017  56 018"</f>
        <v>56 017  56 018</v>
      </c>
    </row>
    <row r="380" spans="1:8" x14ac:dyDescent="0.25">
      <c r="E380" t="str">
        <f>"201810304706"</f>
        <v>201810304706</v>
      </c>
      <c r="F380" t="str">
        <f>"55 705"</f>
        <v>55 705</v>
      </c>
      <c r="G380" s="2">
        <v>250</v>
      </c>
      <c r="H380" t="str">
        <f>"55 705"</f>
        <v>55 705</v>
      </c>
    </row>
    <row r="381" spans="1:8" x14ac:dyDescent="0.25">
      <c r="E381" t="str">
        <f>"201810304707"</f>
        <v>201810304707</v>
      </c>
      <c r="F381" t="str">
        <f>"56 104"</f>
        <v>56 104</v>
      </c>
      <c r="G381" s="2">
        <v>250</v>
      </c>
      <c r="H381" t="str">
        <f>"56 104"</f>
        <v>56 104</v>
      </c>
    </row>
    <row r="382" spans="1:8" x14ac:dyDescent="0.25">
      <c r="E382" t="str">
        <f>"201810304727"</f>
        <v>201810304727</v>
      </c>
      <c r="F382" t="str">
        <f>"18-19266"</f>
        <v>18-19266</v>
      </c>
      <c r="G382" s="2">
        <v>100</v>
      </c>
      <c r="H382" t="str">
        <f>"18-19266"</f>
        <v>18-19266</v>
      </c>
    </row>
    <row r="383" spans="1:8" x14ac:dyDescent="0.25">
      <c r="E383" t="str">
        <f>"201810304728"</f>
        <v>201810304728</v>
      </c>
      <c r="F383" t="str">
        <f>"18-18824"</f>
        <v>18-18824</v>
      </c>
      <c r="G383" s="2">
        <v>100</v>
      </c>
      <c r="H383" t="str">
        <f>"18-18824"</f>
        <v>18-18824</v>
      </c>
    </row>
    <row r="384" spans="1:8" x14ac:dyDescent="0.25">
      <c r="E384" t="str">
        <f>"201811064899"</f>
        <v>201811064899</v>
      </c>
      <c r="F384" t="str">
        <f>"18-19050"</f>
        <v>18-19050</v>
      </c>
      <c r="G384" s="2">
        <v>247.62</v>
      </c>
      <c r="H384" t="str">
        <f>"18-19050"</f>
        <v>18-19050</v>
      </c>
    </row>
    <row r="385" spans="1:8" x14ac:dyDescent="0.25">
      <c r="A385" t="s">
        <v>114</v>
      </c>
      <c r="B385">
        <v>999999</v>
      </c>
      <c r="C385" s="3">
        <v>975</v>
      </c>
      <c r="D385" s="1">
        <v>43431</v>
      </c>
      <c r="E385" t="str">
        <f>"201811155195"</f>
        <v>201811155195</v>
      </c>
      <c r="F385" t="str">
        <f>"56 166  56 167  402128-1"</f>
        <v>56 166  56 167  402128-1</v>
      </c>
      <c r="G385" s="2">
        <v>500</v>
      </c>
      <c r="H385" t="str">
        <f>"56 166  56 167  402128-1"</f>
        <v>56 166  56 167  402128-1</v>
      </c>
    </row>
    <row r="386" spans="1:8" x14ac:dyDescent="0.25">
      <c r="E386" t="str">
        <f>"201811155196"</f>
        <v>201811155196</v>
      </c>
      <c r="F386" t="str">
        <f>"55 695  55 394"</f>
        <v>55 695  55 394</v>
      </c>
      <c r="G386" s="2">
        <v>375</v>
      </c>
      <c r="H386" t="str">
        <f>"55 695  55 394"</f>
        <v>55 695  55 394</v>
      </c>
    </row>
    <row r="387" spans="1:8" x14ac:dyDescent="0.25">
      <c r="E387" t="str">
        <f>"201811155217"</f>
        <v>201811155217</v>
      </c>
      <c r="F387" t="str">
        <f>"JUVENILE"</f>
        <v>JUVENILE</v>
      </c>
      <c r="G387" s="2">
        <v>100</v>
      </c>
      <c r="H387" t="str">
        <f>"JUVENILE"</f>
        <v>JUVENILE</v>
      </c>
    </row>
    <row r="388" spans="1:8" x14ac:dyDescent="0.25">
      <c r="A388" t="s">
        <v>115</v>
      </c>
      <c r="B388">
        <v>79667</v>
      </c>
      <c r="C388" s="3">
        <v>480.02</v>
      </c>
      <c r="D388" s="1">
        <v>43430</v>
      </c>
      <c r="E388" t="str">
        <f>"201811155190"</f>
        <v>201811155190</v>
      </c>
      <c r="F388" t="str">
        <f>"CRIMESTOPPER FEES FOR OCT2018"</f>
        <v>CRIMESTOPPER FEES FOR OCT2018</v>
      </c>
      <c r="G388" s="2">
        <v>480.02</v>
      </c>
      <c r="H388" t="str">
        <f>"CRIMESTOPPER FEES FOR OCT2018"</f>
        <v>CRIMESTOPPER FEES FOR OCT2018</v>
      </c>
    </row>
    <row r="389" spans="1:8" x14ac:dyDescent="0.25">
      <c r="A389" t="s">
        <v>116</v>
      </c>
      <c r="B389">
        <v>79638</v>
      </c>
      <c r="C389" s="3">
        <v>3093.29</v>
      </c>
      <c r="D389" s="1">
        <v>43418</v>
      </c>
      <c r="E389" t="str">
        <f>"201811145126"</f>
        <v>201811145126</v>
      </c>
      <c r="F389" t="str">
        <f>"ACCT#5000057374 / 11/04/2018"</f>
        <v>ACCT#5000057374 / 11/04/2018</v>
      </c>
      <c r="G389" s="2">
        <v>3093.29</v>
      </c>
      <c r="H389" t="str">
        <f>"ACCT#5000057374 / 11/04/2018"</f>
        <v>ACCT#5000057374 / 11/04/2018</v>
      </c>
    </row>
    <row r="390" spans="1:8" x14ac:dyDescent="0.25">
      <c r="E390" t="str">
        <f>""</f>
        <v/>
      </c>
      <c r="F390" t="str">
        <f>""</f>
        <v/>
      </c>
      <c r="H390" t="str">
        <f>"ACCT#5000057374 / 11/04/2018"</f>
        <v>ACCT#5000057374 / 11/04/2018</v>
      </c>
    </row>
    <row r="391" spans="1:8" x14ac:dyDescent="0.25">
      <c r="E391" t="str">
        <f>""</f>
        <v/>
      </c>
      <c r="F391" t="str">
        <f>""</f>
        <v/>
      </c>
      <c r="H391" t="str">
        <f>"ACCT#5000057374 / 11/04/2018"</f>
        <v>ACCT#5000057374 / 11/04/2018</v>
      </c>
    </row>
    <row r="392" spans="1:8" x14ac:dyDescent="0.25">
      <c r="E392" t="str">
        <f>""</f>
        <v/>
      </c>
      <c r="F392" t="str">
        <f>""</f>
        <v/>
      </c>
      <c r="H392" t="str">
        <f>"ACCT#5000057374 / 11/04/2018"</f>
        <v>ACCT#5000057374 / 11/04/2018</v>
      </c>
    </row>
    <row r="393" spans="1:8" x14ac:dyDescent="0.25">
      <c r="A393" t="s">
        <v>117</v>
      </c>
      <c r="B393">
        <v>999999</v>
      </c>
      <c r="C393" s="3">
        <v>2600</v>
      </c>
      <c r="D393" s="1">
        <v>43418</v>
      </c>
      <c r="E393" t="str">
        <f>"25-06-2018 25-07-2"</f>
        <v>25-06-2018 25-07-2</v>
      </c>
      <c r="F393" t="str">
        <f>"INV 25-06-2018"</f>
        <v>INV 25-06-2018</v>
      </c>
      <c r="G393" s="2">
        <v>1625</v>
      </c>
      <c r="H393" t="str">
        <f>"INV 25-06-2018"</f>
        <v>INV 25-06-2018</v>
      </c>
    </row>
    <row r="394" spans="1:8" x14ac:dyDescent="0.25">
      <c r="E394" t="str">
        <f>""</f>
        <v/>
      </c>
      <c r="F394" t="str">
        <f>""</f>
        <v/>
      </c>
      <c r="H394" t="str">
        <f>"INV 25-07-2018"</f>
        <v>INV 25-07-2018</v>
      </c>
    </row>
    <row r="395" spans="1:8" x14ac:dyDescent="0.25">
      <c r="E395" t="str">
        <f>"25-10-2018"</f>
        <v>25-10-2018</v>
      </c>
      <c r="F395" t="str">
        <f>"INV 25-10-2018"</f>
        <v>INV 25-10-2018</v>
      </c>
      <c r="G395" s="2">
        <v>975</v>
      </c>
      <c r="H395" t="str">
        <f>"INV 25-10-2018"</f>
        <v>INV 25-10-2018</v>
      </c>
    </row>
    <row r="396" spans="1:8" x14ac:dyDescent="0.25">
      <c r="A396" t="s">
        <v>117</v>
      </c>
      <c r="B396">
        <v>999999</v>
      </c>
      <c r="C396" s="3">
        <v>2376.4899999999998</v>
      </c>
      <c r="D396" s="1">
        <v>43431</v>
      </c>
      <c r="E396" t="str">
        <f>"201811195276"</f>
        <v>201811195276</v>
      </c>
      <c r="F396" t="str">
        <f>"GRANT REIMBURSEMENT FY17/18"</f>
        <v>GRANT REIMBURSEMENT FY17/18</v>
      </c>
      <c r="G396" s="2">
        <v>2376.4899999999998</v>
      </c>
      <c r="H396" t="str">
        <f>"GRANT REIMBURSEMENT FY17/18"</f>
        <v>GRANT REIMBURSEMENT FY17/18</v>
      </c>
    </row>
    <row r="397" spans="1:8" x14ac:dyDescent="0.25">
      <c r="A397" t="s">
        <v>118</v>
      </c>
      <c r="B397">
        <v>79429</v>
      </c>
      <c r="C397" s="3">
        <v>2856.4</v>
      </c>
      <c r="D397" s="1">
        <v>43417</v>
      </c>
      <c r="E397" t="str">
        <f>"UT1000466628+"</f>
        <v>UT1000466628+</v>
      </c>
      <c r="F397" t="str">
        <f>"INV UT1000466628"</f>
        <v>INV UT1000466628</v>
      </c>
      <c r="G397" s="2">
        <v>1767.4</v>
      </c>
      <c r="H397" t="str">
        <f>"INV UT1000466628"</f>
        <v>INV UT1000466628</v>
      </c>
    </row>
    <row r="398" spans="1:8" x14ac:dyDescent="0.25">
      <c r="E398" t="str">
        <f>""</f>
        <v/>
      </c>
      <c r="F398" t="str">
        <f>""</f>
        <v/>
      </c>
      <c r="H398" t="str">
        <f>"INV UT1000475775"</f>
        <v>INV UT1000475775</v>
      </c>
    </row>
    <row r="399" spans="1:8" x14ac:dyDescent="0.25">
      <c r="E399" t="str">
        <f>"UTI000475133"</f>
        <v>UTI000475133</v>
      </c>
      <c r="F399" t="str">
        <f>"INV UT1000475133"</f>
        <v>INV UT1000475133</v>
      </c>
      <c r="G399" s="2">
        <v>1089</v>
      </c>
      <c r="H399" t="str">
        <f>"INV UT1000475133"</f>
        <v>INV UT1000475133</v>
      </c>
    </row>
    <row r="400" spans="1:8" x14ac:dyDescent="0.25">
      <c r="A400" t="s">
        <v>119</v>
      </c>
      <c r="B400">
        <v>79430</v>
      </c>
      <c r="C400" s="3">
        <v>270.26</v>
      </c>
      <c r="D400" s="1">
        <v>43417</v>
      </c>
      <c r="E400" t="str">
        <f>"8975"</f>
        <v>8975</v>
      </c>
      <c r="F400" t="str">
        <f>"1999 FORD F-150 TIRE SVCS"</f>
        <v>1999 FORD F-150 TIRE SVCS</v>
      </c>
      <c r="G400" s="2">
        <v>270.26</v>
      </c>
      <c r="H400" t="str">
        <f>"1999 FORD F-150 TIRE SVCS"</f>
        <v>1999 FORD F-150 TIRE SVCS</v>
      </c>
    </row>
    <row r="401" spans="1:8" x14ac:dyDescent="0.25">
      <c r="A401" t="s">
        <v>119</v>
      </c>
      <c r="B401">
        <v>79668</v>
      </c>
      <c r="C401" s="3">
        <v>7</v>
      </c>
      <c r="D401" s="1">
        <v>43430</v>
      </c>
      <c r="E401" t="str">
        <f>"9245"</f>
        <v>9245</v>
      </c>
      <c r="F401" t="str">
        <f>"INSPECTION / P1"</f>
        <v>INSPECTION / P1</v>
      </c>
      <c r="G401" s="2">
        <v>7</v>
      </c>
      <c r="H401" t="str">
        <f>"INSPECTION / P1"</f>
        <v>INSPECTION / P1</v>
      </c>
    </row>
    <row r="402" spans="1:8" x14ac:dyDescent="0.25">
      <c r="A402" t="s">
        <v>120</v>
      </c>
      <c r="B402">
        <v>79431</v>
      </c>
      <c r="C402" s="3">
        <v>23728.26</v>
      </c>
      <c r="D402" s="1">
        <v>43417</v>
      </c>
      <c r="E402" t="str">
        <f>"97001"</f>
        <v>97001</v>
      </c>
      <c r="F402" t="str">
        <f>"ACCT#1268/PCT#3"</f>
        <v>ACCT#1268/PCT#3</v>
      </c>
      <c r="G402" s="2">
        <v>1434.74</v>
      </c>
      <c r="H402" t="str">
        <f>"ACCT#1268/PCT#3"</f>
        <v>ACCT#1268/PCT#3</v>
      </c>
    </row>
    <row r="403" spans="1:8" x14ac:dyDescent="0.25">
      <c r="E403" t="str">
        <f>"97143"</f>
        <v>97143</v>
      </c>
      <c r="F403" t="str">
        <f>"ACCT#1267/PCT#2"</f>
        <v>ACCT#1267/PCT#2</v>
      </c>
      <c r="G403" s="2">
        <v>20062.09</v>
      </c>
      <c r="H403" t="str">
        <f>"ACCT#1267/PCT#2"</f>
        <v>ACCT#1267/PCT#2</v>
      </c>
    </row>
    <row r="404" spans="1:8" x14ac:dyDescent="0.25">
      <c r="E404" t="str">
        <f>"97144"</f>
        <v>97144</v>
      </c>
      <c r="F404" t="str">
        <f>"ACCT#1268/PCT#3"</f>
        <v>ACCT#1268/PCT#3</v>
      </c>
      <c r="G404" s="2">
        <v>1355.84</v>
      </c>
      <c r="H404" t="str">
        <f>"ACCT#1268/PCT#3"</f>
        <v>ACCT#1268/PCT#3</v>
      </c>
    </row>
    <row r="405" spans="1:8" x14ac:dyDescent="0.25">
      <c r="E405" t="str">
        <f>"97280"</f>
        <v>97280</v>
      </c>
      <c r="F405" t="str">
        <f>"ACCT#1268/PCT#3"</f>
        <v>ACCT#1268/PCT#3</v>
      </c>
      <c r="G405" s="2">
        <v>875.59</v>
      </c>
      <c r="H405" t="str">
        <f>"ACCT#1268/PCT#3"</f>
        <v>ACCT#1268/PCT#3</v>
      </c>
    </row>
    <row r="406" spans="1:8" x14ac:dyDescent="0.25">
      <c r="A406" t="s">
        <v>120</v>
      </c>
      <c r="B406">
        <v>79669</v>
      </c>
      <c r="C406" s="3">
        <v>1427.69</v>
      </c>
      <c r="D406" s="1">
        <v>43430</v>
      </c>
      <c r="E406" t="str">
        <f>"97395"</f>
        <v>97395</v>
      </c>
      <c r="F406" t="str">
        <f>"COMMERCIAL BASE / P3"</f>
        <v>COMMERCIAL BASE / P3</v>
      </c>
      <c r="G406" s="2">
        <v>1427.69</v>
      </c>
      <c r="H406" t="str">
        <f>"COMMERCIAL BASE / P3"</f>
        <v>COMMERCIAL BASE / P3</v>
      </c>
    </row>
    <row r="407" spans="1:8" x14ac:dyDescent="0.25">
      <c r="A407" t="s">
        <v>121</v>
      </c>
      <c r="B407">
        <v>79670</v>
      </c>
      <c r="C407" s="3">
        <v>75</v>
      </c>
      <c r="D407" s="1">
        <v>43430</v>
      </c>
      <c r="E407" t="str">
        <f>"12127"</f>
        <v>12127</v>
      </c>
      <c r="F407" t="str">
        <f>"SERVICE"</f>
        <v>SERVICE</v>
      </c>
      <c r="G407" s="2">
        <v>75</v>
      </c>
      <c r="H407" t="str">
        <f>"SERVICE"</f>
        <v>SERVICE</v>
      </c>
    </row>
    <row r="408" spans="1:8" x14ac:dyDescent="0.25">
      <c r="A408" t="s">
        <v>122</v>
      </c>
      <c r="B408">
        <v>79432</v>
      </c>
      <c r="C408" s="3">
        <v>89.01</v>
      </c>
      <c r="D408" s="1">
        <v>43417</v>
      </c>
      <c r="E408" t="str">
        <f>"201811074950"</f>
        <v>201811074950</v>
      </c>
      <c r="F408" t="str">
        <f>"REIMBURSEMENT FOR FUEL"</f>
        <v>REIMBURSEMENT FOR FUEL</v>
      </c>
      <c r="G408" s="2">
        <v>89.01</v>
      </c>
      <c r="H408" t="str">
        <f>"REIMBURSEMENT FOR FUEL"</f>
        <v>REIMBURSEMENT FOR FUEL</v>
      </c>
    </row>
    <row r="409" spans="1:8" x14ac:dyDescent="0.25">
      <c r="A409" t="s">
        <v>123</v>
      </c>
      <c r="B409">
        <v>999999</v>
      </c>
      <c r="C409" s="3">
        <v>29.99</v>
      </c>
      <c r="D409" s="1">
        <v>43418</v>
      </c>
      <c r="E409" t="str">
        <f>"201810304696"</f>
        <v>201810304696</v>
      </c>
      <c r="F409" t="str">
        <f>"REIMBURSE-FB ADVERTISEMENT"</f>
        <v>REIMBURSE-FB ADVERTISEMENT</v>
      </c>
      <c r="G409" s="2">
        <v>29.99</v>
      </c>
      <c r="H409" t="str">
        <f>"REIMBURSE-FB ADVERTISEMENT"</f>
        <v>REIMBURSE-FB ADVERTISEMENT</v>
      </c>
    </row>
    <row r="410" spans="1:8" x14ac:dyDescent="0.25">
      <c r="A410" t="s">
        <v>124</v>
      </c>
      <c r="B410">
        <v>79671</v>
      </c>
      <c r="C410" s="3">
        <v>750</v>
      </c>
      <c r="D410" s="1">
        <v>43430</v>
      </c>
      <c r="E410" t="str">
        <f>"201811155192"</f>
        <v>201811155192</v>
      </c>
      <c r="F410" t="str">
        <f>"407068.2"</f>
        <v>407068.2</v>
      </c>
      <c r="G410" s="2">
        <v>250</v>
      </c>
      <c r="H410" t="str">
        <f>"407068.2"</f>
        <v>407068.2</v>
      </c>
    </row>
    <row r="411" spans="1:8" x14ac:dyDescent="0.25">
      <c r="E411" t="str">
        <f>"201811155193"</f>
        <v>201811155193</v>
      </c>
      <c r="F411" t="str">
        <f>"402076-1"</f>
        <v>402076-1</v>
      </c>
      <c r="G411" s="2">
        <v>250</v>
      </c>
      <c r="H411" t="str">
        <f>"402076-1"</f>
        <v>402076-1</v>
      </c>
    </row>
    <row r="412" spans="1:8" x14ac:dyDescent="0.25">
      <c r="E412" t="str">
        <f>"201811155194"</f>
        <v>201811155194</v>
      </c>
      <c r="F412" t="str">
        <f>"1JP422180"</f>
        <v>1JP422180</v>
      </c>
      <c r="G412" s="2">
        <v>250</v>
      </c>
      <c r="H412" t="str">
        <f>"1JP422180"</f>
        <v>1JP422180</v>
      </c>
    </row>
    <row r="413" spans="1:8" x14ac:dyDescent="0.25">
      <c r="A413" t="s">
        <v>125</v>
      </c>
      <c r="B413">
        <v>79433</v>
      </c>
      <c r="C413" s="3">
        <v>30</v>
      </c>
      <c r="D413" s="1">
        <v>43417</v>
      </c>
      <c r="E413" t="str">
        <f>"18-19312"</f>
        <v>18-19312</v>
      </c>
      <c r="F413" t="str">
        <f t="shared" ref="F413:F421" si="11">"CENTRAL ADOPTION REGISTRY FUND"</f>
        <v>CENTRAL ADOPTION REGISTRY FUND</v>
      </c>
      <c r="G413" s="2">
        <v>15</v>
      </c>
      <c r="H413" t="str">
        <f t="shared" ref="H413:H421" si="12">"CENTRAL ADOPTION REGISTRY FUND"</f>
        <v>CENTRAL ADOPTION REGISTRY FUND</v>
      </c>
    </row>
    <row r="414" spans="1:8" x14ac:dyDescent="0.25">
      <c r="E414" t="str">
        <f>"18-19313"</f>
        <v>18-19313</v>
      </c>
      <c r="F414" t="str">
        <f t="shared" si="11"/>
        <v>CENTRAL ADOPTION REGISTRY FUND</v>
      </c>
      <c r="G414" s="2">
        <v>15</v>
      </c>
      <c r="H414" t="str">
        <f t="shared" si="12"/>
        <v>CENTRAL ADOPTION REGISTRY FUND</v>
      </c>
    </row>
    <row r="415" spans="1:8" x14ac:dyDescent="0.25">
      <c r="A415" t="s">
        <v>125</v>
      </c>
      <c r="B415">
        <v>79672</v>
      </c>
      <c r="C415" s="3">
        <v>105</v>
      </c>
      <c r="D415" s="1">
        <v>43430</v>
      </c>
      <c r="E415" t="str">
        <f>"18-19286"</f>
        <v>18-19286</v>
      </c>
      <c r="F415" t="str">
        <f t="shared" si="11"/>
        <v>CENTRAL ADOPTION REGISTRY FUND</v>
      </c>
      <c r="G415" s="2">
        <v>15</v>
      </c>
      <c r="H415" t="str">
        <f t="shared" si="12"/>
        <v>CENTRAL ADOPTION REGISTRY FUND</v>
      </c>
    </row>
    <row r="416" spans="1:8" x14ac:dyDescent="0.25">
      <c r="E416" t="str">
        <f>"18-19339"</f>
        <v>18-19339</v>
      </c>
      <c r="F416" t="str">
        <f t="shared" si="11"/>
        <v>CENTRAL ADOPTION REGISTRY FUND</v>
      </c>
      <c r="G416" s="2">
        <v>15</v>
      </c>
      <c r="H416" t="str">
        <f t="shared" si="12"/>
        <v>CENTRAL ADOPTION REGISTRY FUND</v>
      </c>
    </row>
    <row r="417" spans="1:8" x14ac:dyDescent="0.25">
      <c r="E417" t="str">
        <f>"18-19346"</f>
        <v>18-19346</v>
      </c>
      <c r="F417" t="str">
        <f t="shared" si="11"/>
        <v>CENTRAL ADOPTION REGISTRY FUND</v>
      </c>
      <c r="G417" s="2">
        <v>15</v>
      </c>
      <c r="H417" t="str">
        <f t="shared" si="12"/>
        <v>CENTRAL ADOPTION REGISTRY FUND</v>
      </c>
    </row>
    <row r="418" spans="1:8" x14ac:dyDescent="0.25">
      <c r="E418" t="str">
        <f>"18-19350"</f>
        <v>18-19350</v>
      </c>
      <c r="F418" t="str">
        <f t="shared" si="11"/>
        <v>CENTRAL ADOPTION REGISTRY FUND</v>
      </c>
      <c r="G418" s="2">
        <v>15</v>
      </c>
      <c r="H418" t="str">
        <f t="shared" si="12"/>
        <v>CENTRAL ADOPTION REGISTRY FUND</v>
      </c>
    </row>
    <row r="419" spans="1:8" x14ac:dyDescent="0.25">
      <c r="E419" t="str">
        <f>"423-6117"</f>
        <v>423-6117</v>
      </c>
      <c r="F419" t="str">
        <f t="shared" si="11"/>
        <v>CENTRAL ADOPTION REGISTRY FUND</v>
      </c>
      <c r="G419" s="2">
        <v>15</v>
      </c>
      <c r="H419" t="str">
        <f t="shared" si="12"/>
        <v>CENTRAL ADOPTION REGISTRY FUND</v>
      </c>
    </row>
    <row r="420" spans="1:8" x14ac:dyDescent="0.25">
      <c r="E420" t="str">
        <f>"423-6136"</f>
        <v>423-6136</v>
      </c>
      <c r="F420" t="str">
        <f t="shared" si="11"/>
        <v>CENTRAL ADOPTION REGISTRY FUND</v>
      </c>
      <c r="G420" s="2">
        <v>15</v>
      </c>
      <c r="H420" t="str">
        <f t="shared" si="12"/>
        <v>CENTRAL ADOPTION REGISTRY FUND</v>
      </c>
    </row>
    <row r="421" spans="1:8" x14ac:dyDescent="0.25">
      <c r="E421" t="str">
        <f>"423-6138"</f>
        <v>423-6138</v>
      </c>
      <c r="F421" t="str">
        <f t="shared" si="11"/>
        <v>CENTRAL ADOPTION REGISTRY FUND</v>
      </c>
      <c r="G421" s="2">
        <v>15</v>
      </c>
      <c r="H421" t="str">
        <f t="shared" si="12"/>
        <v>CENTRAL ADOPTION REGISTRY FUND</v>
      </c>
    </row>
    <row r="422" spans="1:8" x14ac:dyDescent="0.25">
      <c r="A422" t="s">
        <v>126</v>
      </c>
      <c r="B422">
        <v>79434</v>
      </c>
      <c r="C422" s="3">
        <v>1620</v>
      </c>
      <c r="D422" s="1">
        <v>43417</v>
      </c>
      <c r="E422" t="str">
        <f>"R10392"</f>
        <v>R10392</v>
      </c>
      <c r="F422" t="str">
        <f>"Inv# R10392"</f>
        <v>Inv# R10392</v>
      </c>
      <c r="G422" s="2">
        <v>1620</v>
      </c>
      <c r="H422" t="str">
        <f>"Basic Meter"</f>
        <v>Basic Meter</v>
      </c>
    </row>
    <row r="423" spans="1:8" x14ac:dyDescent="0.25">
      <c r="E423" t="str">
        <f>""</f>
        <v/>
      </c>
      <c r="F423" t="str">
        <f>""</f>
        <v/>
      </c>
      <c r="H423" t="str">
        <f>"Callyo Lines"</f>
        <v>Callyo Lines</v>
      </c>
    </row>
    <row r="424" spans="1:8" x14ac:dyDescent="0.25">
      <c r="E424" t="str">
        <f>""</f>
        <v/>
      </c>
      <c r="F424" t="str">
        <f>""</f>
        <v/>
      </c>
      <c r="H424" t="str">
        <f>"Support"</f>
        <v>Support</v>
      </c>
    </row>
    <row r="425" spans="1:8" x14ac:dyDescent="0.25">
      <c r="A425" t="s">
        <v>127</v>
      </c>
      <c r="B425">
        <v>79435</v>
      </c>
      <c r="C425" s="3">
        <v>7196</v>
      </c>
      <c r="D425" s="1">
        <v>43417</v>
      </c>
      <c r="E425" t="str">
        <f>"2019AQ001"</f>
        <v>2019AQ001</v>
      </c>
      <c r="F425" t="str">
        <f>"FY2019 AIR QUALITY PROGRAM CON"</f>
        <v>FY2019 AIR QUALITY PROGRAM CON</v>
      </c>
      <c r="G425" s="2">
        <v>7196</v>
      </c>
      <c r="H425" t="str">
        <f>"FY2019 AIR QUALITY PROGRAM CON"</f>
        <v>FY2019 AIR QUALITY PROGRAM CON</v>
      </c>
    </row>
    <row r="426" spans="1:8" x14ac:dyDescent="0.25">
      <c r="A426" t="s">
        <v>128</v>
      </c>
      <c r="B426">
        <v>999999</v>
      </c>
      <c r="C426" s="3">
        <v>939.3</v>
      </c>
      <c r="D426" s="1">
        <v>43431</v>
      </c>
      <c r="E426" t="str">
        <f>"1623888"</f>
        <v>1623888</v>
      </c>
      <c r="F426" t="str">
        <f>"ACCT#000690/PCT#4"</f>
        <v>ACCT#000690/PCT#4</v>
      </c>
      <c r="G426" s="2">
        <v>266.72000000000003</v>
      </c>
      <c r="H426" t="str">
        <f>"ACCT#000690/PCT#4"</f>
        <v>ACCT#000690/PCT#4</v>
      </c>
    </row>
    <row r="427" spans="1:8" x14ac:dyDescent="0.25">
      <c r="E427" t="str">
        <f>"499185"</f>
        <v>499185</v>
      </c>
      <c r="F427" t="str">
        <f>"ACCT#000690/PCT#2"</f>
        <v>ACCT#000690/PCT#2</v>
      </c>
      <c r="G427" s="2">
        <v>672.58</v>
      </c>
      <c r="H427" t="str">
        <f>"ACCT#000690/PCT#2"</f>
        <v>ACCT#000690/PCT#2</v>
      </c>
    </row>
    <row r="428" spans="1:8" x14ac:dyDescent="0.25">
      <c r="A428" t="s">
        <v>129</v>
      </c>
      <c r="B428">
        <v>79436</v>
      </c>
      <c r="C428" s="3">
        <v>325</v>
      </c>
      <c r="D428" s="1">
        <v>43417</v>
      </c>
      <c r="E428" t="str">
        <f>"16011"</f>
        <v>16011</v>
      </c>
      <c r="F428" t="str">
        <f>"FOURTH QUARTER MAINTENANCE"</f>
        <v>FOURTH QUARTER MAINTENANCE</v>
      </c>
      <c r="G428" s="2">
        <v>325</v>
      </c>
      <c r="H428" t="str">
        <f>"FOURTH QUARTER MAINTENANCE"</f>
        <v>FOURTH QUARTER MAINTENANCE</v>
      </c>
    </row>
    <row r="429" spans="1:8" x14ac:dyDescent="0.25">
      <c r="A429" t="s">
        <v>130</v>
      </c>
      <c r="B429">
        <v>79437</v>
      </c>
      <c r="C429" s="3">
        <v>12840</v>
      </c>
      <c r="D429" s="1">
        <v>43417</v>
      </c>
      <c r="E429" t="str">
        <f>"IN591364"</f>
        <v>IN591364</v>
      </c>
      <c r="F429" t="str">
        <f>"CARAHSOFT TECHNOLOGY CORPORATI"</f>
        <v>CARAHSOFT TECHNOLOGY CORPORATI</v>
      </c>
      <c r="G429" s="2">
        <v>12840</v>
      </c>
      <c r="H429" t="str">
        <f>"Docusign Pro"</f>
        <v>Docusign Pro</v>
      </c>
    </row>
    <row r="430" spans="1:8" x14ac:dyDescent="0.25">
      <c r="E430" t="str">
        <f>""</f>
        <v/>
      </c>
      <c r="F430" t="str">
        <f>""</f>
        <v/>
      </c>
      <c r="H430" t="str">
        <f>"Docusign Premier Spt"</f>
        <v>Docusign Premier Spt</v>
      </c>
    </row>
    <row r="431" spans="1:8" x14ac:dyDescent="0.25">
      <c r="A431" t="s">
        <v>131</v>
      </c>
      <c r="B431">
        <v>79438</v>
      </c>
      <c r="C431" s="3">
        <v>6794.83</v>
      </c>
      <c r="D431" s="1">
        <v>43417</v>
      </c>
      <c r="E431" t="str">
        <f>"18-21361"</f>
        <v>18-21361</v>
      </c>
      <c r="F431" t="str">
        <f>"Acct# 0058"</f>
        <v>Acct# 0058</v>
      </c>
      <c r="G431" s="2">
        <v>691.57</v>
      </c>
      <c r="H431" t="str">
        <f>"Go Daddy"</f>
        <v>Go Daddy</v>
      </c>
    </row>
    <row r="432" spans="1:8" x14ac:dyDescent="0.25">
      <c r="E432" t="str">
        <f>""</f>
        <v/>
      </c>
      <c r="F432" t="str">
        <f>""</f>
        <v/>
      </c>
      <c r="H432" t="str">
        <f>"Annette Murley"</f>
        <v>Annette Murley</v>
      </c>
    </row>
    <row r="433" spans="5:8" x14ac:dyDescent="0.25">
      <c r="E433" t="str">
        <f>""</f>
        <v/>
      </c>
      <c r="F433" t="str">
        <f>""</f>
        <v/>
      </c>
      <c r="H433" t="str">
        <f>"Kenneth Leatherwood"</f>
        <v>Kenneth Leatherwood</v>
      </c>
    </row>
    <row r="434" spans="5:8" x14ac:dyDescent="0.25">
      <c r="E434" t="str">
        <f>""</f>
        <v/>
      </c>
      <c r="F434" t="str">
        <f>""</f>
        <v/>
      </c>
      <c r="H434" t="str">
        <f>"Custom Ink"</f>
        <v>Custom Ink</v>
      </c>
    </row>
    <row r="435" spans="5:8" x14ac:dyDescent="0.25">
      <c r="E435" t="str">
        <f>""</f>
        <v/>
      </c>
      <c r="F435" t="str">
        <f>""</f>
        <v/>
      </c>
      <c r="H435" t="str">
        <f>"Custom Ink"</f>
        <v>Custom Ink</v>
      </c>
    </row>
    <row r="436" spans="5:8" x14ac:dyDescent="0.25">
      <c r="E436" t="str">
        <f>""</f>
        <v/>
      </c>
      <c r="F436" t="str">
        <f>""</f>
        <v/>
      </c>
      <c r="H436" t="str">
        <f>"Banards Tire"</f>
        <v>Banards Tire</v>
      </c>
    </row>
    <row r="437" spans="5:8" x14ac:dyDescent="0.25">
      <c r="E437" t="str">
        <f>"201811064888"</f>
        <v>201811064888</v>
      </c>
      <c r="F437" t="str">
        <f>"Acct# 0058"</f>
        <v>Acct# 0058</v>
      </c>
      <c r="G437" s="2">
        <v>6103.26</v>
      </c>
      <c r="H437" t="str">
        <f>"Mediators"</f>
        <v>Mediators</v>
      </c>
    </row>
    <row r="438" spans="5:8" x14ac:dyDescent="0.25">
      <c r="E438" t="str">
        <f>""</f>
        <v/>
      </c>
      <c r="F438" t="str">
        <f>""</f>
        <v/>
      </c>
      <c r="H438" t="str">
        <f>"VistaPrint"</f>
        <v>VistaPrint</v>
      </c>
    </row>
    <row r="439" spans="5:8" x14ac:dyDescent="0.25">
      <c r="E439" t="str">
        <f>""</f>
        <v/>
      </c>
      <c r="F439" t="str">
        <f>""</f>
        <v/>
      </c>
      <c r="H439" t="str">
        <f>"Rio Grande"</f>
        <v>Rio Grande</v>
      </c>
    </row>
    <row r="440" spans="5:8" x14ac:dyDescent="0.25">
      <c r="E440" t="str">
        <f>""</f>
        <v/>
      </c>
      <c r="F440" t="str">
        <f>""</f>
        <v/>
      </c>
      <c r="H440" t="str">
        <f>"Google"</f>
        <v>Google</v>
      </c>
    </row>
    <row r="441" spans="5:8" x14ac:dyDescent="0.25">
      <c r="E441" t="str">
        <f>""</f>
        <v/>
      </c>
      <c r="F441" t="str">
        <f>""</f>
        <v/>
      </c>
      <c r="H441" t="str">
        <f>"WebEx"</f>
        <v>WebEx</v>
      </c>
    </row>
    <row r="442" spans="5:8" x14ac:dyDescent="0.25">
      <c r="E442" t="str">
        <f>""</f>
        <v/>
      </c>
      <c r="F442" t="str">
        <f>""</f>
        <v/>
      </c>
      <c r="H442" t="str">
        <f>"DropBox"</f>
        <v>DropBox</v>
      </c>
    </row>
    <row r="443" spans="5:8" x14ac:dyDescent="0.25">
      <c r="E443" t="str">
        <f>""</f>
        <v/>
      </c>
      <c r="F443" t="str">
        <f>""</f>
        <v/>
      </c>
      <c r="H443" t="str">
        <f>"Go Daddy"</f>
        <v>Go Daddy</v>
      </c>
    </row>
    <row r="444" spans="5:8" x14ac:dyDescent="0.25">
      <c r="E444" t="str">
        <f>""</f>
        <v/>
      </c>
      <c r="F444" t="str">
        <f>""</f>
        <v/>
      </c>
      <c r="H444" t="str">
        <f>"Faucet"</f>
        <v>Faucet</v>
      </c>
    </row>
    <row r="445" spans="5:8" x14ac:dyDescent="0.25">
      <c r="E445" t="str">
        <f>""</f>
        <v/>
      </c>
      <c r="F445" t="str">
        <f>""</f>
        <v/>
      </c>
      <c r="H445" t="str">
        <f>"Rheem"</f>
        <v>Rheem</v>
      </c>
    </row>
    <row r="446" spans="5:8" x14ac:dyDescent="0.25">
      <c r="E446" t="str">
        <f>""</f>
        <v/>
      </c>
      <c r="F446" t="str">
        <f>""</f>
        <v/>
      </c>
      <c r="H446" t="str">
        <f>"Harbor Freight"</f>
        <v>Harbor Freight</v>
      </c>
    </row>
    <row r="447" spans="5:8" x14ac:dyDescent="0.25">
      <c r="E447" t="str">
        <f>""</f>
        <v/>
      </c>
      <c r="F447" t="str">
        <f>""</f>
        <v/>
      </c>
      <c r="H447" t="str">
        <f>"Drury"</f>
        <v>Drury</v>
      </c>
    </row>
    <row r="448" spans="5:8" x14ac:dyDescent="0.25">
      <c r="E448" t="str">
        <f>""</f>
        <v/>
      </c>
      <c r="F448" t="str">
        <f>""</f>
        <v/>
      </c>
      <c r="H448" t="str">
        <f>"Stella Hotel"</f>
        <v>Stella Hotel</v>
      </c>
    </row>
    <row r="449" spans="1:8" x14ac:dyDescent="0.25">
      <c r="E449" t="str">
        <f>""</f>
        <v/>
      </c>
      <c r="F449" t="str">
        <f>""</f>
        <v/>
      </c>
      <c r="H449" t="str">
        <f>"Kenneth Leatherwood"</f>
        <v>Kenneth Leatherwood</v>
      </c>
    </row>
    <row r="450" spans="1:8" x14ac:dyDescent="0.25">
      <c r="E450" t="str">
        <f>""</f>
        <v/>
      </c>
      <c r="F450" t="str">
        <f>""</f>
        <v/>
      </c>
      <c r="H450" t="str">
        <f>"Erika Dejesus"</f>
        <v>Erika Dejesus</v>
      </c>
    </row>
    <row r="451" spans="1:8" x14ac:dyDescent="0.25">
      <c r="E451" t="str">
        <f>""</f>
        <v/>
      </c>
      <c r="F451" t="str">
        <f>""</f>
        <v/>
      </c>
      <c r="H451" t="str">
        <f>"Robert Bennet"</f>
        <v>Robert Bennet</v>
      </c>
    </row>
    <row r="452" spans="1:8" x14ac:dyDescent="0.25">
      <c r="E452" t="str">
        <f>""</f>
        <v/>
      </c>
      <c r="F452" t="str">
        <f>""</f>
        <v/>
      </c>
      <c r="H452" t="str">
        <f>"NSI"</f>
        <v>NSI</v>
      </c>
    </row>
    <row r="453" spans="1:8" x14ac:dyDescent="0.25">
      <c r="E453" t="str">
        <f>""</f>
        <v/>
      </c>
      <c r="F453" t="str">
        <f>""</f>
        <v/>
      </c>
      <c r="H453" t="str">
        <f>"NSI"</f>
        <v>NSI</v>
      </c>
    </row>
    <row r="454" spans="1:8" x14ac:dyDescent="0.25">
      <c r="E454" t="str">
        <f>""</f>
        <v/>
      </c>
      <c r="F454" t="str">
        <f>""</f>
        <v/>
      </c>
      <c r="H454" t="str">
        <f>"Hilton"</f>
        <v>Hilton</v>
      </c>
    </row>
    <row r="455" spans="1:8" x14ac:dyDescent="0.25">
      <c r="E455" t="str">
        <f>""</f>
        <v/>
      </c>
      <c r="F455" t="str">
        <f>""</f>
        <v/>
      </c>
      <c r="H455" t="str">
        <f>"Cheaptix"</f>
        <v>Cheaptix</v>
      </c>
    </row>
    <row r="456" spans="1:8" x14ac:dyDescent="0.25">
      <c r="E456" t="str">
        <f>""</f>
        <v/>
      </c>
      <c r="F456" t="str">
        <f>""</f>
        <v/>
      </c>
      <c r="H456" t="str">
        <f>"American Flight"</f>
        <v>American Flight</v>
      </c>
    </row>
    <row r="457" spans="1:8" x14ac:dyDescent="0.25">
      <c r="E457" t="str">
        <f>""</f>
        <v/>
      </c>
      <c r="F457" t="str">
        <f>""</f>
        <v/>
      </c>
      <c r="H457" t="str">
        <f>"FLight"</f>
        <v>FLight</v>
      </c>
    </row>
    <row r="458" spans="1:8" x14ac:dyDescent="0.25">
      <c r="E458" t="str">
        <f>""</f>
        <v/>
      </c>
      <c r="F458" t="str">
        <f>""</f>
        <v/>
      </c>
      <c r="H458" t="str">
        <f>"Floods Class"</f>
        <v>Floods Class</v>
      </c>
    </row>
    <row r="459" spans="1:8" x14ac:dyDescent="0.25">
      <c r="E459" t="str">
        <f>""</f>
        <v/>
      </c>
      <c r="F459" t="str">
        <f>""</f>
        <v/>
      </c>
      <c r="H459" t="str">
        <f>"Flood Class"</f>
        <v>Flood Class</v>
      </c>
    </row>
    <row r="460" spans="1:8" x14ac:dyDescent="0.25">
      <c r="E460" t="str">
        <f>""</f>
        <v/>
      </c>
      <c r="F460" t="str">
        <f>""</f>
        <v/>
      </c>
      <c r="H460" t="str">
        <f>"Flight"</f>
        <v>Flight</v>
      </c>
    </row>
    <row r="461" spans="1:8" x14ac:dyDescent="0.25">
      <c r="A461" t="s">
        <v>131</v>
      </c>
      <c r="B461">
        <v>0</v>
      </c>
      <c r="C461" s="3">
        <v>1181.3399999999999</v>
      </c>
      <c r="D461" s="1">
        <v>43417</v>
      </c>
      <c r="E461" t="str">
        <f>"201811074940"</f>
        <v>201811074940</v>
      </c>
      <c r="F461" t="str">
        <f>"STATEMENT 09/22-10/23/18"</f>
        <v>STATEMENT 09/22-10/23/18</v>
      </c>
      <c r="G461" s="2">
        <v>312.83999999999997</v>
      </c>
      <c r="H461" t="str">
        <f>"BEST BUY"</f>
        <v>BEST BUY</v>
      </c>
    </row>
    <row r="462" spans="1:8" x14ac:dyDescent="0.25">
      <c r="E462" t="str">
        <f>""</f>
        <v/>
      </c>
      <c r="F462" t="str">
        <f>""</f>
        <v/>
      </c>
      <c r="H462" t="str">
        <f>"HARBOR FREIGHT"</f>
        <v>HARBOR FREIGHT</v>
      </c>
    </row>
    <row r="463" spans="1:8" x14ac:dyDescent="0.25">
      <c r="E463" t="str">
        <f>"201811074951"</f>
        <v>201811074951</v>
      </c>
      <c r="F463" t="str">
        <f>"STATEMENT 09/22-10/23/18"</f>
        <v>STATEMENT 09/22-10/23/18</v>
      </c>
      <c r="G463" s="2">
        <v>868.5</v>
      </c>
      <c r="H463" t="str">
        <f>"HAMPTON INN"</f>
        <v>HAMPTON INN</v>
      </c>
    </row>
    <row r="464" spans="1:8" x14ac:dyDescent="0.25">
      <c r="E464" t="str">
        <f>""</f>
        <v/>
      </c>
      <c r="F464" t="str">
        <f>""</f>
        <v/>
      </c>
      <c r="H464" t="str">
        <f>"BEST BUY"</f>
        <v>BEST BUY</v>
      </c>
    </row>
    <row r="465" spans="1:8" x14ac:dyDescent="0.25">
      <c r="E465" t="str">
        <f>""</f>
        <v/>
      </c>
      <c r="F465" t="str">
        <f>""</f>
        <v/>
      </c>
      <c r="H465" t="str">
        <f>"FINANCE CHARGES"</f>
        <v>FINANCE CHARGES</v>
      </c>
    </row>
    <row r="466" spans="1:8" x14ac:dyDescent="0.25">
      <c r="E466" t="str">
        <f>""</f>
        <v/>
      </c>
      <c r="F466" t="str">
        <f>""</f>
        <v/>
      </c>
      <c r="H466" t="str">
        <f>"TEX BUTANE CO."</f>
        <v>TEX BUTANE CO.</v>
      </c>
    </row>
    <row r="467" spans="1:8" x14ac:dyDescent="0.25">
      <c r="E467" t="str">
        <f>""</f>
        <v/>
      </c>
      <c r="F467" t="str">
        <f>""</f>
        <v/>
      </c>
      <c r="H467" t="str">
        <f>"SOUTHWEST AIRLINE"</f>
        <v>SOUTHWEST AIRLINE</v>
      </c>
    </row>
    <row r="468" spans="1:8" x14ac:dyDescent="0.25">
      <c r="E468" t="str">
        <f>""</f>
        <v/>
      </c>
      <c r="F468" t="str">
        <f>""</f>
        <v/>
      </c>
      <c r="H468" t="str">
        <f>"BALLY'S HOTEL"</f>
        <v>BALLY'S HOTEL</v>
      </c>
    </row>
    <row r="469" spans="1:8" x14ac:dyDescent="0.25">
      <c r="A469" t="s">
        <v>132</v>
      </c>
      <c r="B469">
        <v>999999</v>
      </c>
      <c r="C469" s="3">
        <v>10177.5</v>
      </c>
      <c r="D469" s="1">
        <v>43431</v>
      </c>
      <c r="E469" t="str">
        <f>"201811145136"</f>
        <v>201811145136</v>
      </c>
      <c r="F469" t="str">
        <f>"CAUSE #15 914"</f>
        <v>CAUSE #15 914</v>
      </c>
      <c r="G469" s="2">
        <v>5457.5</v>
      </c>
      <c r="H469" t="str">
        <f>"CAUSE #15 914"</f>
        <v>CAUSE #15 914</v>
      </c>
    </row>
    <row r="470" spans="1:8" x14ac:dyDescent="0.25">
      <c r="E470" t="str">
        <f>"201811145137"</f>
        <v>201811145137</v>
      </c>
      <c r="F470" t="str">
        <f>"CAUSE #15 914"</f>
        <v>CAUSE #15 914</v>
      </c>
      <c r="G470" s="2">
        <v>4720</v>
      </c>
      <c r="H470" t="str">
        <f>"CAUSE #15 914"</f>
        <v>CAUSE #15 914</v>
      </c>
    </row>
    <row r="471" spans="1:8" x14ac:dyDescent="0.25">
      <c r="A471" t="s">
        <v>133</v>
      </c>
      <c r="B471">
        <v>79793</v>
      </c>
      <c r="C471" s="3">
        <v>1427.75</v>
      </c>
      <c r="D471" s="1">
        <v>43433</v>
      </c>
      <c r="E471" t="str">
        <f>"201811295335"</f>
        <v>201811295335</v>
      </c>
      <c r="F471" t="str">
        <f>"ACCT#8000081165-5 / 11192018"</f>
        <v>ACCT#8000081165-5 / 11192018</v>
      </c>
      <c r="G471" s="2">
        <v>1427.75</v>
      </c>
      <c r="H471" t="str">
        <f>"ACCT#8000081165-5 / 11192018"</f>
        <v>ACCT#8000081165-5 / 11192018</v>
      </c>
    </row>
    <row r="472" spans="1:8" x14ac:dyDescent="0.25">
      <c r="E472" t="str">
        <f>""</f>
        <v/>
      </c>
      <c r="F472" t="str">
        <f>""</f>
        <v/>
      </c>
      <c r="H472" t="str">
        <f>"ACCT#8000081165-5 / 11192018"</f>
        <v>ACCT#8000081165-5 / 11192018</v>
      </c>
    </row>
    <row r="473" spans="1:8" x14ac:dyDescent="0.25">
      <c r="A473" t="s">
        <v>134</v>
      </c>
      <c r="B473">
        <v>79439</v>
      </c>
      <c r="C473" s="3">
        <v>470.4</v>
      </c>
      <c r="D473" s="1">
        <v>43417</v>
      </c>
      <c r="E473" t="str">
        <f>"30128809"</f>
        <v>30128809</v>
      </c>
      <c r="F473" t="str">
        <f>"CUST#BASPCT2/ORD#37-18894/P2"</f>
        <v>CUST#BASPCT2/ORD#37-18894/P2</v>
      </c>
      <c r="G473" s="2">
        <v>470.4</v>
      </c>
      <c r="H473" t="str">
        <f>"CUST#BASPCT2/ORD#37-18894/P2"</f>
        <v>CUST#BASPCT2/ORD#37-18894/P2</v>
      </c>
    </row>
    <row r="474" spans="1:8" x14ac:dyDescent="0.25">
      <c r="A474" t="s">
        <v>135</v>
      </c>
      <c r="B474">
        <v>999999</v>
      </c>
      <c r="C474" s="3">
        <v>90</v>
      </c>
      <c r="D474" s="1">
        <v>43418</v>
      </c>
      <c r="E474" t="str">
        <f>"0000050274"</f>
        <v>0000050274</v>
      </c>
      <c r="F474" t="str">
        <f>"DIAGNOSTICS/SERVICE CALL"</f>
        <v>DIAGNOSTICS/SERVICE CALL</v>
      </c>
      <c r="G474" s="2">
        <v>90</v>
      </c>
      <c r="H474" t="str">
        <f>"DIAGNOSTICS/SERVICE CALL"</f>
        <v>DIAGNOSTICS/SERVICE CALL</v>
      </c>
    </row>
    <row r="475" spans="1:8" x14ac:dyDescent="0.25">
      <c r="A475" t="s">
        <v>136</v>
      </c>
      <c r="B475">
        <v>79440</v>
      </c>
      <c r="C475" s="3">
        <v>195</v>
      </c>
      <c r="D475" s="1">
        <v>43417</v>
      </c>
      <c r="E475" t="str">
        <f>"BC2#016"</f>
        <v>BC2#016</v>
      </c>
      <c r="F475" t="str">
        <f>"RENTAL DATES OCT28-NOV28"</f>
        <v>RENTAL DATES OCT28-NOV28</v>
      </c>
      <c r="G475" s="2">
        <v>195</v>
      </c>
      <c r="H475" t="str">
        <f>"RENTAL DATES OCT28-NOV28"</f>
        <v>RENTAL DATES OCT28-NOV28</v>
      </c>
    </row>
    <row r="476" spans="1:8" x14ac:dyDescent="0.25">
      <c r="A476" t="s">
        <v>137</v>
      </c>
      <c r="B476">
        <v>79673</v>
      </c>
      <c r="C476" s="3">
        <v>2100</v>
      </c>
      <c r="D476" s="1">
        <v>43430</v>
      </c>
      <c r="E476" t="str">
        <f>"12542"</f>
        <v>12542</v>
      </c>
      <c r="F476" t="str">
        <f>"CTA 328-18 - R. VAN KOMEN"</f>
        <v>CTA 328-18 - R. VAN KOMEN</v>
      </c>
      <c r="G476" s="2">
        <v>2100</v>
      </c>
      <c r="H476" t="str">
        <f>"CTA 328-18 - R. VAN KOMEN"</f>
        <v>CTA 328-18 - R. VAN KOMEN</v>
      </c>
    </row>
    <row r="477" spans="1:8" x14ac:dyDescent="0.25">
      <c r="A477" t="s">
        <v>138</v>
      </c>
      <c r="B477">
        <v>79441</v>
      </c>
      <c r="C477" s="3">
        <v>200</v>
      </c>
      <c r="D477" s="1">
        <v>43417</v>
      </c>
      <c r="E477" t="str">
        <f>"201811024812"</f>
        <v>201811024812</v>
      </c>
      <c r="F477" t="str">
        <f>"18-18966"</f>
        <v>18-18966</v>
      </c>
      <c r="G477" s="2">
        <v>100</v>
      </c>
      <c r="H477" t="str">
        <f>"18-18966"</f>
        <v>18-18966</v>
      </c>
    </row>
    <row r="478" spans="1:8" x14ac:dyDescent="0.25">
      <c r="E478" t="str">
        <f>"201811024813"</f>
        <v>201811024813</v>
      </c>
      <c r="F478" t="str">
        <f>"18-18996"</f>
        <v>18-18996</v>
      </c>
      <c r="G478" s="2">
        <v>100</v>
      </c>
      <c r="H478" t="str">
        <f>"18-18996"</f>
        <v>18-18996</v>
      </c>
    </row>
    <row r="479" spans="1:8" x14ac:dyDescent="0.25">
      <c r="A479" t="s">
        <v>138</v>
      </c>
      <c r="B479">
        <v>79674</v>
      </c>
      <c r="C479" s="3">
        <v>400</v>
      </c>
      <c r="D479" s="1">
        <v>43430</v>
      </c>
      <c r="E479" t="str">
        <f>"201811145087"</f>
        <v>201811145087</v>
      </c>
      <c r="F479" t="str">
        <f>"18-19144"</f>
        <v>18-19144</v>
      </c>
      <c r="G479" s="2">
        <v>100</v>
      </c>
      <c r="H479" t="str">
        <f>"18-19144"</f>
        <v>18-19144</v>
      </c>
    </row>
    <row r="480" spans="1:8" x14ac:dyDescent="0.25">
      <c r="E480" t="str">
        <f>"201811145089"</f>
        <v>201811145089</v>
      </c>
      <c r="F480" t="str">
        <f>"18-18877"</f>
        <v>18-18877</v>
      </c>
      <c r="G480" s="2">
        <v>100</v>
      </c>
      <c r="H480" t="str">
        <f>"18-18877"</f>
        <v>18-18877</v>
      </c>
    </row>
    <row r="481" spans="1:8" x14ac:dyDescent="0.25">
      <c r="E481" t="str">
        <f>"201811145090"</f>
        <v>201811145090</v>
      </c>
      <c r="F481" t="str">
        <f>"17-18754"</f>
        <v>17-18754</v>
      </c>
      <c r="G481" s="2">
        <v>100</v>
      </c>
      <c r="H481" t="str">
        <f>"17-18754"</f>
        <v>17-18754</v>
      </c>
    </row>
    <row r="482" spans="1:8" x14ac:dyDescent="0.25">
      <c r="E482" t="str">
        <f>"201811145091"</f>
        <v>201811145091</v>
      </c>
      <c r="F482" t="str">
        <f>"18-19239"</f>
        <v>18-19239</v>
      </c>
      <c r="G482" s="2">
        <v>100</v>
      </c>
      <c r="H482" t="str">
        <f>"18-19239"</f>
        <v>18-19239</v>
      </c>
    </row>
    <row r="483" spans="1:8" x14ac:dyDescent="0.25">
      <c r="A483" t="s">
        <v>139</v>
      </c>
      <c r="B483">
        <v>999999</v>
      </c>
      <c r="C483" s="3">
        <v>151.97999999999999</v>
      </c>
      <c r="D483" s="1">
        <v>43418</v>
      </c>
      <c r="E483" t="str">
        <f>"0175946-IN"</f>
        <v>0175946-IN</v>
      </c>
      <c r="F483" t="str">
        <f>"INV 0175946-IN"</f>
        <v>INV 0175946-IN</v>
      </c>
      <c r="G483" s="2">
        <v>151.97999999999999</v>
      </c>
      <c r="H483" t="str">
        <f>"INV 0175946-IN"</f>
        <v>INV 0175946-IN</v>
      </c>
    </row>
    <row r="484" spans="1:8" x14ac:dyDescent="0.25">
      <c r="A484" t="s">
        <v>140</v>
      </c>
      <c r="B484">
        <v>79442</v>
      </c>
      <c r="C484" s="3">
        <v>15</v>
      </c>
      <c r="D484" s="1">
        <v>43417</v>
      </c>
      <c r="E484" t="str">
        <f>"201811024806"</f>
        <v>201811024806</v>
      </c>
      <c r="F484" t="str">
        <f>"BAIL BOND COUPONS"</f>
        <v>BAIL BOND COUPONS</v>
      </c>
      <c r="G484" s="2">
        <v>15</v>
      </c>
      <c r="H484" t="str">
        <f>"BAIL BOND COUPONS"</f>
        <v>BAIL BOND COUPONS</v>
      </c>
    </row>
    <row r="485" spans="1:8" x14ac:dyDescent="0.25">
      <c r="A485" t="s">
        <v>141</v>
      </c>
      <c r="B485">
        <v>79443</v>
      </c>
      <c r="C485" s="3">
        <v>12500</v>
      </c>
      <c r="D485" s="1">
        <v>43417</v>
      </c>
      <c r="E485" t="str">
        <f>"201810264677"</f>
        <v>201810264677</v>
      </c>
      <c r="F485" t="str">
        <f>"FISCAL YEAR 2019 AWARD"</f>
        <v>FISCAL YEAR 2019 AWARD</v>
      </c>
      <c r="G485" s="2">
        <v>12500</v>
      </c>
      <c r="H485" t="str">
        <f>"FISCAL YEAR 2019 AWARD"</f>
        <v>FISCAL YEAR 2019 AWARD</v>
      </c>
    </row>
    <row r="486" spans="1:8" x14ac:dyDescent="0.25">
      <c r="A486" t="s">
        <v>142</v>
      </c>
      <c r="B486">
        <v>999999</v>
      </c>
      <c r="C486" s="3">
        <v>6825</v>
      </c>
      <c r="D486" s="1">
        <v>43418</v>
      </c>
      <c r="E486" t="str">
        <f>"201810234626"</f>
        <v>201810234626</v>
      </c>
      <c r="F486" t="str">
        <f>"16 434"</f>
        <v>16 434</v>
      </c>
      <c r="G486" s="2">
        <v>400</v>
      </c>
      <c r="H486" t="str">
        <f>"16 434"</f>
        <v>16 434</v>
      </c>
    </row>
    <row r="487" spans="1:8" x14ac:dyDescent="0.25">
      <c r="E487" t="str">
        <f>"201810234627"</f>
        <v>201810234627</v>
      </c>
      <c r="F487" t="str">
        <f>"958-335"</f>
        <v>958-335</v>
      </c>
      <c r="G487" s="2">
        <v>100</v>
      </c>
      <c r="H487" t="str">
        <f>"958-335"</f>
        <v>958-335</v>
      </c>
    </row>
    <row r="488" spans="1:8" x14ac:dyDescent="0.25">
      <c r="E488" t="str">
        <f>"201810234628"</f>
        <v>201810234628</v>
      </c>
      <c r="F488" t="str">
        <f>"931-335"</f>
        <v>931-335</v>
      </c>
      <c r="G488" s="2">
        <v>100</v>
      </c>
      <c r="H488" t="str">
        <f>"931-335"</f>
        <v>931-335</v>
      </c>
    </row>
    <row r="489" spans="1:8" x14ac:dyDescent="0.25">
      <c r="E489" t="str">
        <f>"201810234629"</f>
        <v>201810234629</v>
      </c>
      <c r="F489" t="str">
        <f>"16 219  2017 0120MW  404246.1M"</f>
        <v>16 219  2017 0120MW  404246.1M</v>
      </c>
      <c r="G489" s="2">
        <v>2500</v>
      </c>
      <c r="H489" t="str">
        <f>"16 219  2017 0120MW  404246.1M"</f>
        <v>16 219  2017 0120MW  404246.1M</v>
      </c>
    </row>
    <row r="490" spans="1:8" x14ac:dyDescent="0.25">
      <c r="E490" t="str">
        <f>"201810234630"</f>
        <v>201810234630</v>
      </c>
      <c r="F490" t="str">
        <f>"406048-1"</f>
        <v>406048-1</v>
      </c>
      <c r="G490" s="2">
        <v>400</v>
      </c>
      <c r="H490" t="str">
        <f>"406048-1"</f>
        <v>406048-1</v>
      </c>
    </row>
    <row r="491" spans="1:8" x14ac:dyDescent="0.25">
      <c r="E491" t="str">
        <f>"201810304702"</f>
        <v>201810304702</v>
      </c>
      <c r="F491" t="str">
        <f>"55 793"</f>
        <v>55 793</v>
      </c>
      <c r="G491" s="2">
        <v>250</v>
      </c>
      <c r="H491" t="str">
        <f>"55 793"</f>
        <v>55 793</v>
      </c>
    </row>
    <row r="492" spans="1:8" x14ac:dyDescent="0.25">
      <c r="E492" t="str">
        <f>"201810304703"</f>
        <v>201810304703</v>
      </c>
      <c r="F492" t="str">
        <f>"55 915"</f>
        <v>55 915</v>
      </c>
      <c r="G492" s="2">
        <v>250</v>
      </c>
      <c r="H492" t="str">
        <f>"55 915"</f>
        <v>55 915</v>
      </c>
    </row>
    <row r="493" spans="1:8" x14ac:dyDescent="0.25">
      <c r="E493" t="str">
        <f>"201810304704"</f>
        <v>201810304704</v>
      </c>
      <c r="F493" t="str">
        <f>"56 478  CH20180817B"</f>
        <v>56 478  CH20180817B</v>
      </c>
      <c r="G493" s="2">
        <v>375</v>
      </c>
      <c r="H493" t="str">
        <f>"56 478  CH20180817B"</f>
        <v>56 478  CH20180817B</v>
      </c>
    </row>
    <row r="494" spans="1:8" x14ac:dyDescent="0.25">
      <c r="E494" t="str">
        <f>"201810304730"</f>
        <v>201810304730</v>
      </c>
      <c r="F494" t="str">
        <f>"18-18824"</f>
        <v>18-18824</v>
      </c>
      <c r="G494" s="2">
        <v>100</v>
      </c>
      <c r="H494" t="str">
        <f>"18-18824"</f>
        <v>18-18824</v>
      </c>
    </row>
    <row r="495" spans="1:8" x14ac:dyDescent="0.25">
      <c r="E495" t="str">
        <f>"201810304731"</f>
        <v>201810304731</v>
      </c>
      <c r="F495" t="str">
        <f>"18-18996"</f>
        <v>18-18996</v>
      </c>
      <c r="G495" s="2">
        <v>100</v>
      </c>
      <c r="H495" t="str">
        <f>"18-18996"</f>
        <v>18-18996</v>
      </c>
    </row>
    <row r="496" spans="1:8" x14ac:dyDescent="0.25">
      <c r="E496" t="str">
        <f>"201810304732"</f>
        <v>201810304732</v>
      </c>
      <c r="F496" t="str">
        <f>"18-18995"</f>
        <v>18-18995</v>
      </c>
      <c r="G496" s="2">
        <v>100</v>
      </c>
      <c r="H496" t="str">
        <f>"18-18995"</f>
        <v>18-18995</v>
      </c>
    </row>
    <row r="497" spans="1:8" x14ac:dyDescent="0.25">
      <c r="E497" t="str">
        <f>"201810304741"</f>
        <v>201810304741</v>
      </c>
      <c r="F497" t="str">
        <f>"18-19264"</f>
        <v>18-19264</v>
      </c>
      <c r="G497" s="2">
        <v>100</v>
      </c>
      <c r="H497" t="str">
        <f>"18-19264"</f>
        <v>18-19264</v>
      </c>
    </row>
    <row r="498" spans="1:8" x14ac:dyDescent="0.25">
      <c r="E498" t="str">
        <f>"201810304742"</f>
        <v>201810304742</v>
      </c>
      <c r="F498" t="str">
        <f>"18-19303"</f>
        <v>18-19303</v>
      </c>
      <c r="G498" s="2">
        <v>100</v>
      </c>
      <c r="H498" t="str">
        <f>"18-19303"</f>
        <v>18-19303</v>
      </c>
    </row>
    <row r="499" spans="1:8" x14ac:dyDescent="0.25">
      <c r="E499" t="str">
        <f>"201811014781"</f>
        <v>201811014781</v>
      </c>
      <c r="F499" t="str">
        <f>"423-6126"</f>
        <v>423-6126</v>
      </c>
      <c r="G499" s="2">
        <v>100</v>
      </c>
      <c r="H499" t="str">
        <f>"423-6126"</f>
        <v>423-6126</v>
      </c>
    </row>
    <row r="500" spans="1:8" x14ac:dyDescent="0.25">
      <c r="E500" t="str">
        <f>"201811014782"</f>
        <v>201811014782</v>
      </c>
      <c r="F500" t="str">
        <f>"16 184"</f>
        <v>16 184</v>
      </c>
      <c r="G500" s="2">
        <v>400</v>
      </c>
      <c r="H500" t="str">
        <f>"16 184"</f>
        <v>16 184</v>
      </c>
    </row>
    <row r="501" spans="1:8" x14ac:dyDescent="0.25">
      <c r="E501" t="str">
        <f>"201811014792"</f>
        <v>201811014792</v>
      </c>
      <c r="F501" t="str">
        <f>"3071620186"</f>
        <v>3071620186</v>
      </c>
      <c r="G501" s="2">
        <v>400</v>
      </c>
      <c r="H501" t="str">
        <f>"3071620186"</f>
        <v>3071620186</v>
      </c>
    </row>
    <row r="502" spans="1:8" x14ac:dyDescent="0.25">
      <c r="E502" t="str">
        <f>"201811064902"</f>
        <v>201811064902</v>
      </c>
      <c r="F502" t="str">
        <f>"18-19305"</f>
        <v>18-19305</v>
      </c>
      <c r="G502" s="2">
        <v>100</v>
      </c>
      <c r="H502" t="str">
        <f>"18-19305"</f>
        <v>18-19305</v>
      </c>
    </row>
    <row r="503" spans="1:8" x14ac:dyDescent="0.25">
      <c r="E503" t="str">
        <f>"201811064903"</f>
        <v>201811064903</v>
      </c>
      <c r="F503" t="str">
        <f>"17-18764"</f>
        <v>17-18764</v>
      </c>
      <c r="G503" s="2">
        <v>100</v>
      </c>
      <c r="H503" t="str">
        <f>"17-18764"</f>
        <v>17-18764</v>
      </c>
    </row>
    <row r="504" spans="1:8" x14ac:dyDescent="0.25">
      <c r="E504" t="str">
        <f>"201811064905"</f>
        <v>201811064905</v>
      </c>
      <c r="F504" t="str">
        <f>"JUVE DET"</f>
        <v>JUVE DET</v>
      </c>
      <c r="G504" s="2">
        <v>100</v>
      </c>
      <c r="H504" t="str">
        <f>"JUVE DET"</f>
        <v>JUVE DET</v>
      </c>
    </row>
    <row r="505" spans="1:8" x14ac:dyDescent="0.25">
      <c r="E505" t="str">
        <f>"201811064922"</f>
        <v>201811064922</v>
      </c>
      <c r="F505" t="str">
        <f>"56 544  56 545  56 546"</f>
        <v>56 544  56 545  56 546</v>
      </c>
      <c r="G505" s="2">
        <v>500</v>
      </c>
      <c r="H505" t="str">
        <f>"56 544  56 545  56 546"</f>
        <v>56 544  56 545  56 546</v>
      </c>
    </row>
    <row r="506" spans="1:8" x14ac:dyDescent="0.25">
      <c r="E506" t="str">
        <f>"201811064923"</f>
        <v>201811064923</v>
      </c>
      <c r="F506" t="str">
        <f>"312312016D"</f>
        <v>312312016D</v>
      </c>
      <c r="G506" s="2">
        <v>250</v>
      </c>
      <c r="H506" t="str">
        <f>"312312016D"</f>
        <v>312312016D</v>
      </c>
    </row>
    <row r="507" spans="1:8" x14ac:dyDescent="0.25">
      <c r="A507" t="s">
        <v>142</v>
      </c>
      <c r="B507">
        <v>999999</v>
      </c>
      <c r="C507" s="3">
        <v>4350</v>
      </c>
      <c r="D507" s="1">
        <v>43431</v>
      </c>
      <c r="E507" t="str">
        <f>"201811145118"</f>
        <v>201811145118</v>
      </c>
      <c r="F507" t="str">
        <f>"16 466"</f>
        <v>16 466</v>
      </c>
      <c r="G507" s="2">
        <v>400</v>
      </c>
      <c r="H507" t="str">
        <f>"16 466"</f>
        <v>16 466</v>
      </c>
    </row>
    <row r="508" spans="1:8" x14ac:dyDescent="0.25">
      <c r="E508" t="str">
        <f>"201811145119"</f>
        <v>201811145119</v>
      </c>
      <c r="F508" t="str">
        <f>"14 491"</f>
        <v>14 491</v>
      </c>
      <c r="G508" s="2">
        <v>400</v>
      </c>
      <c r="H508" t="str">
        <f>"14 491"</f>
        <v>14 491</v>
      </c>
    </row>
    <row r="509" spans="1:8" x14ac:dyDescent="0.25">
      <c r="E509" t="str">
        <f>"201811145120"</f>
        <v>201811145120</v>
      </c>
      <c r="F509" t="str">
        <f>"13 981"</f>
        <v>13 981</v>
      </c>
      <c r="G509" s="2">
        <v>2500</v>
      </c>
      <c r="H509" t="str">
        <f>"13 981"</f>
        <v>13 981</v>
      </c>
    </row>
    <row r="510" spans="1:8" x14ac:dyDescent="0.25">
      <c r="E510" t="str">
        <f>"201811155169"</f>
        <v>201811155169</v>
      </c>
      <c r="F510" t="str">
        <f>"DCPC18131A"</f>
        <v>DCPC18131A</v>
      </c>
      <c r="G510" s="2">
        <v>400</v>
      </c>
      <c r="H510" t="str">
        <f>"DCPC18131A"</f>
        <v>DCPC18131A</v>
      </c>
    </row>
    <row r="511" spans="1:8" x14ac:dyDescent="0.25">
      <c r="E511" t="str">
        <f>"201811155170"</f>
        <v>201811155170</v>
      </c>
      <c r="F511" t="str">
        <f>"16 524"</f>
        <v>16 524</v>
      </c>
      <c r="G511" s="2">
        <v>400</v>
      </c>
      <c r="H511" t="str">
        <f>"16 524"</f>
        <v>16 524</v>
      </c>
    </row>
    <row r="512" spans="1:8" x14ac:dyDescent="0.25">
      <c r="E512" t="str">
        <f>"201811155206"</f>
        <v>201811155206</v>
      </c>
      <c r="F512" t="str">
        <f>"CH201808270"</f>
        <v>CH201808270</v>
      </c>
      <c r="G512" s="2">
        <v>250</v>
      </c>
      <c r="H512" t="str">
        <f>"CH201808270"</f>
        <v>CH201808270</v>
      </c>
    </row>
    <row r="513" spans="1:8" x14ac:dyDescent="0.25">
      <c r="A513" t="s">
        <v>143</v>
      </c>
      <c r="B513">
        <v>79444</v>
      </c>
      <c r="C513" s="3">
        <v>85.51</v>
      </c>
      <c r="D513" s="1">
        <v>43417</v>
      </c>
      <c r="E513" t="str">
        <f>"5011969296"</f>
        <v>5011969296</v>
      </c>
      <c r="F513" t="str">
        <f>"CUST#0011167190/ORD#8019637320"</f>
        <v>CUST#0011167190/ORD#8019637320</v>
      </c>
      <c r="G513" s="2">
        <v>85.51</v>
      </c>
      <c r="H513" t="str">
        <f>"CUST#0011167190/ORD#8019637320"</f>
        <v>CUST#0011167190/ORD#8019637320</v>
      </c>
    </row>
    <row r="514" spans="1:8" x14ac:dyDescent="0.25">
      <c r="A514" t="s">
        <v>144</v>
      </c>
      <c r="B514">
        <v>79445</v>
      </c>
      <c r="C514" s="3">
        <v>36.72</v>
      </c>
      <c r="D514" s="1">
        <v>43417</v>
      </c>
      <c r="E514" t="str">
        <f>"8403871110"</f>
        <v>8403871110</v>
      </c>
      <c r="F514" t="str">
        <f>"CUST#10377368/PCT#2"</f>
        <v>CUST#10377368/PCT#2</v>
      </c>
      <c r="G514" s="2">
        <v>36.72</v>
      </c>
      <c r="H514" t="str">
        <f>"CUST#10377368/PCT#2"</f>
        <v>CUST#10377368/PCT#2</v>
      </c>
    </row>
    <row r="515" spans="1:8" x14ac:dyDescent="0.25">
      <c r="A515" t="s">
        <v>145</v>
      </c>
      <c r="B515">
        <v>79446</v>
      </c>
      <c r="C515" s="3">
        <v>4630.95</v>
      </c>
      <c r="D515" s="1">
        <v>43417</v>
      </c>
      <c r="E515" t="str">
        <f>"201811064847"</f>
        <v>201811064847</v>
      </c>
      <c r="F515" t="str">
        <f>"PAYER#13242108"</f>
        <v>PAYER#13242108</v>
      </c>
      <c r="G515" s="2">
        <v>1245.02</v>
      </c>
      <c r="H515" t="str">
        <f>"PAYER#13242108"</f>
        <v>PAYER#13242108</v>
      </c>
    </row>
    <row r="516" spans="1:8" x14ac:dyDescent="0.25">
      <c r="E516" t="str">
        <f>"201811064848"</f>
        <v>201811064848</v>
      </c>
      <c r="F516" t="str">
        <f>"PAYER#13242108/SIGN SHOP"</f>
        <v>PAYER#13242108/SIGN SHOP</v>
      </c>
      <c r="G516" s="2">
        <v>60.85</v>
      </c>
      <c r="H516" t="str">
        <f>"PAYER#13242108/SIGN SHOP"</f>
        <v>PAYER#13242108/SIGN SHOP</v>
      </c>
    </row>
    <row r="517" spans="1:8" x14ac:dyDescent="0.25">
      <c r="E517" t="str">
        <f>"201811064849"</f>
        <v>201811064849</v>
      </c>
      <c r="F517" t="str">
        <f>"PAYER#13242108/ANIMAL SHELTER"</f>
        <v>PAYER#13242108/ANIMAL SHELTER</v>
      </c>
      <c r="G517" s="2">
        <v>231.45</v>
      </c>
      <c r="H517" t="str">
        <f>"PAYER#13242108/ANIMAL SHELTER"</f>
        <v>PAYER#13242108/ANIMAL SHELTER</v>
      </c>
    </row>
    <row r="518" spans="1:8" x14ac:dyDescent="0.25">
      <c r="E518" t="str">
        <f>"201811064855"</f>
        <v>201811064855</v>
      </c>
      <c r="F518" t="str">
        <f>"PAYER#13242108/PRECINCT #1"</f>
        <v>PAYER#13242108/PRECINCT #1</v>
      </c>
      <c r="G518" s="2">
        <v>770.72</v>
      </c>
      <c r="H518" t="str">
        <f>"PAYER#13242108/PRECINCT #1"</f>
        <v>PAYER#13242108/PRECINCT #1</v>
      </c>
    </row>
    <row r="519" spans="1:8" x14ac:dyDescent="0.25">
      <c r="E519" t="str">
        <f>"201811064856"</f>
        <v>201811064856</v>
      </c>
      <c r="F519" t="str">
        <f>"PAYER#13242108/PRECINCT #2"</f>
        <v>PAYER#13242108/PRECINCT #2</v>
      </c>
      <c r="G519" s="2">
        <v>740.43</v>
      </c>
      <c r="H519" t="str">
        <f>"PAYER#13242108/PRECINCT #2"</f>
        <v>PAYER#13242108/PRECINCT #2</v>
      </c>
    </row>
    <row r="520" spans="1:8" x14ac:dyDescent="0.25">
      <c r="E520" t="str">
        <f>"201811064857"</f>
        <v>201811064857</v>
      </c>
      <c r="F520" t="str">
        <f>"PAYER#13242108/PRECINCT #4"</f>
        <v>PAYER#13242108/PRECINCT #4</v>
      </c>
      <c r="G520" s="2">
        <v>1582.48</v>
      </c>
      <c r="H520" t="str">
        <f>"PAYER#13242108/PRECINCT #4"</f>
        <v>PAYER#13242108/PRECINCT #4</v>
      </c>
    </row>
    <row r="521" spans="1:8" x14ac:dyDescent="0.25">
      <c r="A521" t="s">
        <v>144</v>
      </c>
      <c r="B521">
        <v>79675</v>
      </c>
      <c r="C521" s="3">
        <v>306.16000000000003</v>
      </c>
      <c r="D521" s="1">
        <v>43430</v>
      </c>
      <c r="E521" t="str">
        <f>"8403886813"</f>
        <v>8403886813</v>
      </c>
      <c r="F521" t="str">
        <f>"CUST#10377668 / PCT #3"</f>
        <v>CUST#10377668 / PCT #3</v>
      </c>
      <c r="G521" s="2">
        <v>306.16000000000003</v>
      </c>
      <c r="H521" t="str">
        <f>"CUST#10377668 / PCT #3"</f>
        <v>CUST#10377668 / PCT #3</v>
      </c>
    </row>
    <row r="522" spans="1:8" x14ac:dyDescent="0.25">
      <c r="A522" t="s">
        <v>145</v>
      </c>
      <c r="B522">
        <v>79676</v>
      </c>
      <c r="C522" s="3">
        <v>453.48</v>
      </c>
      <c r="D522" s="1">
        <v>43430</v>
      </c>
      <c r="E522" t="str">
        <f>"201811155140"</f>
        <v>201811155140</v>
      </c>
      <c r="F522" t="str">
        <f>"PAYER #13034093 / PRECINCT #3"</f>
        <v>PAYER #13034093 / PRECINCT #3</v>
      </c>
      <c r="G522" s="2">
        <v>453.48</v>
      </c>
      <c r="H522" t="str">
        <f>"PAYER #13034093 / PRECINCT #3"</f>
        <v>PAYER #13034093 / PRECINCT #3</v>
      </c>
    </row>
    <row r="523" spans="1:8" x14ac:dyDescent="0.25">
      <c r="A523" t="s">
        <v>98</v>
      </c>
      <c r="B523">
        <v>79383</v>
      </c>
      <c r="C523" s="3">
        <v>37504.57</v>
      </c>
      <c r="D523" s="1">
        <v>43411</v>
      </c>
      <c r="E523" t="str">
        <f>"201811074997"</f>
        <v>201811074997</v>
      </c>
      <c r="F523" t="str">
        <f>"ACCT#02-2083-04 / 10292018"</f>
        <v>ACCT#02-2083-04 / 10292018</v>
      </c>
      <c r="G523" s="2">
        <v>796.02</v>
      </c>
      <c r="H523" t="str">
        <f>"ACCT#02-2083-04 / 10292018"</f>
        <v>ACCT#02-2083-04 / 10292018</v>
      </c>
    </row>
    <row r="524" spans="1:8" x14ac:dyDescent="0.25">
      <c r="E524" t="str">
        <f>"201811074998"</f>
        <v>201811074998</v>
      </c>
      <c r="F524" t="str">
        <f>"COUNTY DEVELOPMENT CENTER"</f>
        <v>COUNTY DEVELOPMENT CENTER</v>
      </c>
      <c r="G524" s="2">
        <v>1591.26</v>
      </c>
      <c r="H524" t="str">
        <f>"COUNTY DEVELOPMENT CENTER"</f>
        <v>COUNTY DEVELOPMENT CENTER</v>
      </c>
    </row>
    <row r="525" spans="1:8" x14ac:dyDescent="0.25">
      <c r="E525" t="str">
        <f>"201811074999"</f>
        <v>201811074999</v>
      </c>
      <c r="F525" t="str">
        <f>"LAW ENFORCEMENT CENTER"</f>
        <v>LAW ENFORCEMENT CENTER</v>
      </c>
      <c r="G525" s="2">
        <v>22836.39</v>
      </c>
      <c r="H525" t="str">
        <f>"LAW ENFORCEMENT CENTER"</f>
        <v>LAW ENFORCEMENT CENTER</v>
      </c>
    </row>
    <row r="526" spans="1:8" x14ac:dyDescent="0.25">
      <c r="E526" t="str">
        <f>"201811075000"</f>
        <v>201811075000</v>
      </c>
      <c r="F526" t="str">
        <f>"BASTROP COUNTY COURTHOUSE"</f>
        <v>BASTROP COUNTY COURTHOUSE</v>
      </c>
      <c r="G526" s="2">
        <v>12280.9</v>
      </c>
      <c r="H526" t="str">
        <f>"BASTROP COUNTY COURTHOUSE"</f>
        <v>BASTROP COUNTY COURTHOUSE</v>
      </c>
    </row>
    <row r="527" spans="1:8" x14ac:dyDescent="0.25">
      <c r="A527" t="s">
        <v>98</v>
      </c>
      <c r="B527">
        <v>79677</v>
      </c>
      <c r="C527" s="3">
        <v>500</v>
      </c>
      <c r="D527" s="1">
        <v>43430</v>
      </c>
      <c r="E527" t="str">
        <f>"201811155142"</f>
        <v>201811155142</v>
      </c>
      <c r="F527" t="str">
        <f>"RENTAL-PARKING LOT"</f>
        <v>RENTAL-PARKING LOT</v>
      </c>
      <c r="G527" s="2">
        <v>500</v>
      </c>
      <c r="H527" t="str">
        <f>"RENTAL-PARKING LOT"</f>
        <v>RENTAL-PARKING LOT</v>
      </c>
    </row>
    <row r="528" spans="1:8" x14ac:dyDescent="0.25">
      <c r="A528" t="s">
        <v>146</v>
      </c>
      <c r="B528">
        <v>79378</v>
      </c>
      <c r="C528" s="3">
        <v>1665.52</v>
      </c>
      <c r="D528" s="1">
        <v>43405</v>
      </c>
      <c r="E528" t="str">
        <f>"201811014770"</f>
        <v>201811014770</v>
      </c>
      <c r="F528" t="str">
        <f>"ACCT#007-0000388-000/10232018"</f>
        <v>ACCT#007-0000388-000/10232018</v>
      </c>
      <c r="G528" s="2">
        <v>532.22</v>
      </c>
      <c r="H528" t="str">
        <f>"ACCT#007-0000388-000/10232018"</f>
        <v>ACCT#007-0000388-000/10232018</v>
      </c>
    </row>
    <row r="529" spans="1:8" x14ac:dyDescent="0.25">
      <c r="E529" t="str">
        <f>"201811014771"</f>
        <v>201811014771</v>
      </c>
      <c r="F529" t="str">
        <f>"ACCT#007-0000389-000/10232018"</f>
        <v>ACCT#007-0000389-000/10232018</v>
      </c>
      <c r="G529" s="2">
        <v>47.83</v>
      </c>
      <c r="H529" t="str">
        <f>"ACCT#007-0000389-000/10232018"</f>
        <v>ACCT#007-0000389-000/10232018</v>
      </c>
    </row>
    <row r="530" spans="1:8" x14ac:dyDescent="0.25">
      <c r="E530" t="str">
        <f>"201811014772"</f>
        <v>201811014772</v>
      </c>
      <c r="F530" t="str">
        <f>"ACCT#044-0001240-000/10232018"</f>
        <v>ACCT#044-0001240-000/10232018</v>
      </c>
      <c r="G530" s="2">
        <v>343.09</v>
      </c>
      <c r="H530" t="str">
        <f>"ACCT#044-0001240-000/10232018"</f>
        <v>ACCT#044-0001240-000/10232018</v>
      </c>
    </row>
    <row r="531" spans="1:8" x14ac:dyDescent="0.25">
      <c r="E531" t="str">
        <f>"201811014773"</f>
        <v>201811014773</v>
      </c>
      <c r="F531" t="str">
        <f>"ACCT#044-0001250-000/10232018"</f>
        <v>ACCT#044-0001250-000/10232018</v>
      </c>
      <c r="G531" s="2">
        <v>55.58</v>
      </c>
      <c r="H531" t="str">
        <f>"ACCT#044-0001250-000/10232018"</f>
        <v>ACCT#044-0001250-000/10232018</v>
      </c>
    </row>
    <row r="532" spans="1:8" x14ac:dyDescent="0.25">
      <c r="E532" t="str">
        <f>"201811014774"</f>
        <v>201811014774</v>
      </c>
      <c r="F532" t="str">
        <f>"ACCT#044-0001252-000/10232018"</f>
        <v>ACCT#044-0001252-000/10232018</v>
      </c>
      <c r="G532" s="2">
        <v>644.26</v>
      </c>
      <c r="H532" t="str">
        <f>"ACCT#044-0001252-000/10232018"</f>
        <v>ACCT#044-0001252-000/10232018</v>
      </c>
    </row>
    <row r="533" spans="1:8" x14ac:dyDescent="0.25">
      <c r="E533" t="str">
        <f>"201811014775"</f>
        <v>201811014775</v>
      </c>
      <c r="F533" t="str">
        <f>"ACCT#044-0001253-000/10232018"</f>
        <v>ACCT#044-0001253-000/10232018</v>
      </c>
      <c r="G533" s="2">
        <v>42.54</v>
      </c>
      <c r="H533" t="str">
        <f>"ACCT#044-0001253-000/10232018"</f>
        <v>ACCT#044-0001253-000/10232018</v>
      </c>
    </row>
    <row r="534" spans="1:8" x14ac:dyDescent="0.25">
      <c r="A534" t="s">
        <v>146</v>
      </c>
      <c r="B534">
        <v>79794</v>
      </c>
      <c r="C534" s="3">
        <v>2153.77</v>
      </c>
      <c r="D534" s="1">
        <v>43433</v>
      </c>
      <c r="E534" t="str">
        <f>"201811295336"</f>
        <v>201811295336</v>
      </c>
      <c r="F534" t="str">
        <f>"ACCT#007-0000388-000/11212018"</f>
        <v>ACCT#007-0000388-000/11212018</v>
      </c>
      <c r="G534" s="2">
        <v>481.44</v>
      </c>
      <c r="H534" t="str">
        <f>"ACCT#007-0000388-000/11212018"</f>
        <v>ACCT#007-0000388-000/11212018</v>
      </c>
    </row>
    <row r="535" spans="1:8" x14ac:dyDescent="0.25">
      <c r="E535" t="str">
        <f>"201811295337"</f>
        <v>201811295337</v>
      </c>
      <c r="F535" t="str">
        <f>"ACCT#007-0000389-000/11212018"</f>
        <v>ACCT#007-0000389-000/11212018</v>
      </c>
      <c r="G535" s="2">
        <v>22.72</v>
      </c>
      <c r="H535" t="str">
        <f>"ACCT#007-0000389-000/11212018"</f>
        <v>ACCT#007-0000389-000/11212018</v>
      </c>
    </row>
    <row r="536" spans="1:8" x14ac:dyDescent="0.25">
      <c r="E536" t="str">
        <f>"201811295338"</f>
        <v>201811295338</v>
      </c>
      <c r="F536" t="str">
        <f>"ACCT#044-0001240-000/11212018"</f>
        <v>ACCT#044-0001240-000/11212018</v>
      </c>
      <c r="G536" s="2">
        <v>301.58999999999997</v>
      </c>
      <c r="H536" t="str">
        <f>"ACCT#044-0001240-000/11212018"</f>
        <v>ACCT#044-0001240-000/11212018</v>
      </c>
    </row>
    <row r="537" spans="1:8" x14ac:dyDescent="0.25">
      <c r="E537" t="str">
        <f>"201811295339"</f>
        <v>201811295339</v>
      </c>
      <c r="F537" t="str">
        <f>"ACCT#044-0001250000/11212018"</f>
        <v>ACCT#044-0001250000/11212018</v>
      </c>
      <c r="G537" s="2">
        <v>72.91</v>
      </c>
      <c r="H537" t="str">
        <f>"ACCT#044-0001250000/11212018"</f>
        <v>ACCT#044-0001250000/11212018</v>
      </c>
    </row>
    <row r="538" spans="1:8" x14ac:dyDescent="0.25">
      <c r="E538" t="str">
        <f>"201811295340"</f>
        <v>201811295340</v>
      </c>
      <c r="F538" t="str">
        <f>"ACCT#044-0001252-000/11212018"</f>
        <v>ACCT#044-0001252-000/11212018</v>
      </c>
      <c r="G538" s="2">
        <v>1189.6199999999999</v>
      </c>
      <c r="H538" t="str">
        <f>"ACCT#044-0001252-000/11212018"</f>
        <v>ACCT#044-0001252-000/11212018</v>
      </c>
    </row>
    <row r="539" spans="1:8" x14ac:dyDescent="0.25">
      <c r="E539" t="str">
        <f>"201811295341"</f>
        <v>201811295341</v>
      </c>
      <c r="F539" t="str">
        <f>"ACCT#044-0001253-000/11212018"</f>
        <v>ACCT#044-0001253-000/11212018</v>
      </c>
      <c r="G539" s="2">
        <v>85.49</v>
      </c>
      <c r="H539" t="str">
        <f>"ACCT#044-0001253-000/11212018"</f>
        <v>ACCT#044-0001253-000/11212018</v>
      </c>
    </row>
    <row r="540" spans="1:8" x14ac:dyDescent="0.25">
      <c r="A540" t="s">
        <v>147</v>
      </c>
      <c r="B540">
        <v>999999</v>
      </c>
      <c r="C540" s="3">
        <v>1986.46</v>
      </c>
      <c r="D540" s="1">
        <v>43431</v>
      </c>
      <c r="E540" t="str">
        <f>"201811165269"</f>
        <v>201811165269</v>
      </c>
      <c r="F540" t="str">
        <f>"PMA-0043622/43623/43624"</f>
        <v>PMA-0043622/43623/43624</v>
      </c>
      <c r="G540" s="2">
        <v>913</v>
      </c>
      <c r="H540" t="str">
        <f>"PMA-0043622/43623/43624"</f>
        <v>PMA-0043622/43623/43624</v>
      </c>
    </row>
    <row r="541" spans="1:8" x14ac:dyDescent="0.25">
      <c r="E541" t="str">
        <f>"SCV-0078852"</f>
        <v>SCV-0078852</v>
      </c>
      <c r="F541" t="str">
        <f>"INV SCV-0078852"</f>
        <v>INV SCV-0078852</v>
      </c>
      <c r="G541" s="2">
        <v>1073.46</v>
      </c>
      <c r="H541" t="str">
        <f>"INV SCV-0078852"</f>
        <v>INV SCV-0078852</v>
      </c>
    </row>
    <row r="542" spans="1:8" x14ac:dyDescent="0.25">
      <c r="A542" t="s">
        <v>148</v>
      </c>
      <c r="B542">
        <v>79678</v>
      </c>
      <c r="C542" s="3">
        <v>34</v>
      </c>
      <c r="D542" s="1">
        <v>43430</v>
      </c>
      <c r="E542" t="str">
        <f>"201811165264"</f>
        <v>201811165264</v>
      </c>
      <c r="F542" t="str">
        <f>"SANE EXAM - 18-S-05202"</f>
        <v>SANE EXAM - 18-S-05202</v>
      </c>
      <c r="G542" s="2">
        <v>34</v>
      </c>
      <c r="H542" t="str">
        <f>"SANE EXAM - 18-S-05202"</f>
        <v>SANE EXAM - 18-S-05202</v>
      </c>
    </row>
    <row r="543" spans="1:8" x14ac:dyDescent="0.25">
      <c r="A543" t="s">
        <v>149</v>
      </c>
      <c r="B543">
        <v>999999</v>
      </c>
      <c r="C543" s="3">
        <v>501.08</v>
      </c>
      <c r="D543" s="1">
        <v>43418</v>
      </c>
      <c r="E543" t="str">
        <f>"201811074972"</f>
        <v>201811074972</v>
      </c>
      <c r="F543" t="str">
        <f>"INDIGENT HEALTH"</f>
        <v>INDIGENT HEALTH</v>
      </c>
      <c r="G543" s="2">
        <v>302.79000000000002</v>
      </c>
      <c r="H543" t="str">
        <f>"INDIGENT HEALTH"</f>
        <v>INDIGENT HEALTH</v>
      </c>
    </row>
    <row r="544" spans="1:8" x14ac:dyDescent="0.25">
      <c r="E544" t="str">
        <f>""</f>
        <v/>
      </c>
      <c r="F544" t="str">
        <f>""</f>
        <v/>
      </c>
      <c r="H544" t="str">
        <f>"INDIGENT HEALTH"</f>
        <v>INDIGENT HEALTH</v>
      </c>
    </row>
    <row r="545" spans="1:8" x14ac:dyDescent="0.25">
      <c r="E545" t="str">
        <f>"201811074973"</f>
        <v>201811074973</v>
      </c>
      <c r="F545" t="str">
        <f>"INDIGENT HEALTH"</f>
        <v>INDIGENT HEALTH</v>
      </c>
      <c r="G545" s="2">
        <v>198.29</v>
      </c>
      <c r="H545" t="str">
        <f>"INDIGENT HEALTH"</f>
        <v>INDIGENT HEALTH</v>
      </c>
    </row>
    <row r="546" spans="1:8" x14ac:dyDescent="0.25">
      <c r="A546" t="s">
        <v>149</v>
      </c>
      <c r="B546">
        <v>999999</v>
      </c>
      <c r="C546" s="3">
        <v>122.64</v>
      </c>
      <c r="D546" s="1">
        <v>43431</v>
      </c>
      <c r="E546" t="str">
        <f>"201810-0"</f>
        <v>201810-0</v>
      </c>
      <c r="F546" t="str">
        <f>"INV 201810-0"</f>
        <v>INV 201810-0</v>
      </c>
      <c r="G546" s="2">
        <v>77.5</v>
      </c>
      <c r="H546" t="str">
        <f>"INV 201810-0"</f>
        <v>INV 201810-0</v>
      </c>
    </row>
    <row r="547" spans="1:8" x14ac:dyDescent="0.25">
      <c r="E547" t="str">
        <f>"201811155231"</f>
        <v>201811155231</v>
      </c>
      <c r="F547" t="str">
        <f>"INDIGENT HEALTH"</f>
        <v>INDIGENT HEALTH</v>
      </c>
      <c r="G547" s="2">
        <v>45.14</v>
      </c>
      <c r="H547" t="str">
        <f>"INDIGENT HEALTH"</f>
        <v>INDIGENT HEALTH</v>
      </c>
    </row>
    <row r="548" spans="1:8" x14ac:dyDescent="0.25">
      <c r="A548" t="s">
        <v>150</v>
      </c>
      <c r="B548">
        <v>79447</v>
      </c>
      <c r="C548" s="3">
        <v>2280</v>
      </c>
      <c r="D548" s="1">
        <v>43417</v>
      </c>
      <c r="E548" t="str">
        <f>" 15528644"</f>
        <v xml:space="preserve"> 15528644</v>
      </c>
      <c r="F548" t="str">
        <f>"BOND#15528644-BRYAN C. GOERTZ"</f>
        <v>BOND#15528644-BRYAN C. GOERTZ</v>
      </c>
      <c r="G548" s="2">
        <v>50</v>
      </c>
      <c r="H548" t="str">
        <f>"BOND#15528644-BRYAN C. GOERTZ"</f>
        <v>BOND#15528644-BRYAN C. GOERTZ</v>
      </c>
    </row>
    <row r="549" spans="1:8" x14ac:dyDescent="0.25">
      <c r="E549" t="str">
        <f>" 15528646"</f>
        <v xml:space="preserve"> 15528646</v>
      </c>
      <c r="F549" t="str">
        <f>"BOND#15528646-RAYMAH DAVIS"</f>
        <v>BOND#15528646-RAYMAH DAVIS</v>
      </c>
      <c r="G549" s="2">
        <v>50</v>
      </c>
      <c r="H549" t="str">
        <f>"BOND#15528646-RAYMAH DAVIS"</f>
        <v>BOND#15528646-RAYMAH DAVIS</v>
      </c>
    </row>
    <row r="550" spans="1:8" x14ac:dyDescent="0.25">
      <c r="E550" t="str">
        <f>" 24870241"</f>
        <v xml:space="preserve"> 24870241</v>
      </c>
      <c r="F550" t="str">
        <f>"BOND#24870241-LAURIE INGRAM"</f>
        <v>BOND#24870241-LAURIE INGRAM</v>
      </c>
      <c r="G550" s="2">
        <v>1775</v>
      </c>
      <c r="H550" t="str">
        <f>"BOND#24870241-LAURIE INGRAM"</f>
        <v>BOND#24870241-LAURIE INGRAM</v>
      </c>
    </row>
    <row r="551" spans="1:8" x14ac:dyDescent="0.25">
      <c r="E551" t="str">
        <f>"24869949"</f>
        <v>24869949</v>
      </c>
      <c r="F551" t="str">
        <f>"BOND#24869949-SARAH LOUCKS"</f>
        <v>BOND#24869949-SARAH LOUCKS</v>
      </c>
      <c r="G551" s="2">
        <v>177.5</v>
      </c>
      <c r="H551" t="str">
        <f>"BOND#24869949-SARAH LOUCKS"</f>
        <v>BOND#24869949-SARAH LOUCKS</v>
      </c>
    </row>
    <row r="552" spans="1:8" x14ac:dyDescent="0.25">
      <c r="E552" t="str">
        <f>"24873471"</f>
        <v>24873471</v>
      </c>
      <c r="F552" t="str">
        <f>"BOND#24873471-KATHERINE HANNA"</f>
        <v>BOND#24873471-KATHERINE HANNA</v>
      </c>
      <c r="G552" s="2">
        <v>177.5</v>
      </c>
      <c r="H552" t="str">
        <f>"BOND#24873471-KATHERINE HANNA"</f>
        <v>BOND#24873471-KATHERINE HANNA</v>
      </c>
    </row>
    <row r="553" spans="1:8" x14ac:dyDescent="0.25">
      <c r="E553" t="str">
        <f>"69447529"</f>
        <v>69447529</v>
      </c>
      <c r="F553" t="str">
        <f>"BOND#69447529-MICHAEL OLSON"</f>
        <v>BOND#69447529-MICHAEL OLSON</v>
      </c>
      <c r="G553" s="2">
        <v>50</v>
      </c>
      <c r="H553" t="str">
        <f>"BOND#69447529-MICHAEL OLSON"</f>
        <v>BOND#69447529-MICHAEL OLSON</v>
      </c>
    </row>
    <row r="554" spans="1:8" x14ac:dyDescent="0.25">
      <c r="A554" t="s">
        <v>150</v>
      </c>
      <c r="B554">
        <v>79679</v>
      </c>
      <c r="C554" s="3">
        <v>129.5</v>
      </c>
      <c r="D554" s="1">
        <v>43430</v>
      </c>
      <c r="E554" t="str">
        <f>"201811155186"</f>
        <v>201811155186</v>
      </c>
      <c r="F554" t="str">
        <f>"BOND#61545189-B. ESCOBEDO"</f>
        <v>BOND#61545189-B. ESCOBEDO</v>
      </c>
      <c r="G554" s="2">
        <v>129.5</v>
      </c>
      <c r="H554" t="str">
        <f>"BOND#61545189-B. ESCOBEDO"</f>
        <v>BOND#61545189-B. ESCOBEDO</v>
      </c>
    </row>
    <row r="555" spans="1:8" x14ac:dyDescent="0.25">
      <c r="A555" t="s">
        <v>151</v>
      </c>
      <c r="B555">
        <v>79680</v>
      </c>
      <c r="C555" s="3">
        <v>95</v>
      </c>
      <c r="D555" s="1">
        <v>43430</v>
      </c>
      <c r="E555" t="str">
        <f>"12684"</f>
        <v>12684</v>
      </c>
      <c r="F555" t="str">
        <f>"SERVICE"</f>
        <v>SERVICE</v>
      </c>
      <c r="G555" s="2">
        <v>95</v>
      </c>
      <c r="H555" t="str">
        <f>"SERVICE"</f>
        <v>SERVICE</v>
      </c>
    </row>
    <row r="556" spans="1:8" x14ac:dyDescent="0.25">
      <c r="A556" t="s">
        <v>152</v>
      </c>
      <c r="B556">
        <v>79448</v>
      </c>
      <c r="C556" s="3">
        <v>251.2</v>
      </c>
      <c r="D556" s="1">
        <v>43417</v>
      </c>
      <c r="E556" t="str">
        <f>"201811074945"</f>
        <v>201811074945</v>
      </c>
      <c r="F556" t="str">
        <f>"LODGING"</f>
        <v>LODGING</v>
      </c>
      <c r="G556" s="2">
        <v>251.2</v>
      </c>
    </row>
    <row r="557" spans="1:8" x14ac:dyDescent="0.25">
      <c r="A557" t="s">
        <v>153</v>
      </c>
      <c r="B557">
        <v>999999</v>
      </c>
      <c r="C557" s="3">
        <v>146.54</v>
      </c>
      <c r="D557" s="1">
        <v>43418</v>
      </c>
      <c r="E557" t="str">
        <f>"201811074974"</f>
        <v>201811074974</v>
      </c>
      <c r="F557" t="str">
        <f>"INDIGENT HEALTH"</f>
        <v>INDIGENT HEALTH</v>
      </c>
      <c r="G557" s="2">
        <v>146.54</v>
      </c>
      <c r="H557" t="str">
        <f>"INDIGENT HEALTH"</f>
        <v>INDIGENT HEALTH</v>
      </c>
    </row>
    <row r="558" spans="1:8" x14ac:dyDescent="0.25">
      <c r="A558" t="s">
        <v>154</v>
      </c>
      <c r="B558">
        <v>79449</v>
      </c>
      <c r="C558" s="3">
        <v>698.87</v>
      </c>
      <c r="D558" s="1">
        <v>43417</v>
      </c>
      <c r="E558" t="str">
        <f>"0234-736632"</f>
        <v>0234-736632</v>
      </c>
      <c r="F558" t="str">
        <f>"INV 0234-736632"</f>
        <v>INV 0234-736632</v>
      </c>
      <c r="G558" s="2">
        <v>698.87</v>
      </c>
      <c r="H558" t="str">
        <f>"INV 0234-736632"</f>
        <v>INV 0234-736632</v>
      </c>
    </row>
    <row r="559" spans="1:8" x14ac:dyDescent="0.25">
      <c r="A559" t="s">
        <v>155</v>
      </c>
      <c r="B559">
        <v>79450</v>
      </c>
      <c r="C559" s="3">
        <v>3198.78</v>
      </c>
      <c r="D559" s="1">
        <v>43417</v>
      </c>
      <c r="E559" t="str">
        <f>"19728"</f>
        <v>19728</v>
      </c>
      <c r="F559" t="str">
        <f>"PATCH CORDS/MATERIAL"</f>
        <v>PATCH CORDS/MATERIAL</v>
      </c>
      <c r="G559" s="2">
        <v>135.78</v>
      </c>
      <c r="H559" t="str">
        <f>"PATCH CORDS/MATERIAL"</f>
        <v>PATCH CORDS/MATERIAL</v>
      </c>
    </row>
    <row r="560" spans="1:8" x14ac:dyDescent="0.25">
      <c r="E560" t="str">
        <f>"19809"</f>
        <v>19809</v>
      </c>
      <c r="F560" t="str">
        <f>"LABOR/MATERIALS/MULT LOCATIONS"</f>
        <v>LABOR/MATERIALS/MULT LOCATIONS</v>
      </c>
      <c r="G560" s="2">
        <v>840</v>
      </c>
      <c r="H560" t="str">
        <f>"LABOR/MATERIALS/MULT LOCATIONS"</f>
        <v>LABOR/MATERIALS/MULT LOCATIONS</v>
      </c>
    </row>
    <row r="561" spans="1:8" x14ac:dyDescent="0.25">
      <c r="E561" t="str">
        <f>"19826"</f>
        <v>19826</v>
      </c>
      <c r="F561" t="str">
        <f>"MATERIALS/LABOR-JUVE BOOT CAMP"</f>
        <v>MATERIALS/LABOR-JUVE BOOT CAMP</v>
      </c>
      <c r="G561" s="2">
        <v>458</v>
      </c>
      <c r="H561" t="str">
        <f>"MATERIALS/LABOR-JUVE BOOT CAMP"</f>
        <v>MATERIALS/LABOR-JUVE BOOT CAMP</v>
      </c>
    </row>
    <row r="562" spans="1:8" x14ac:dyDescent="0.25">
      <c r="E562" t="str">
        <f>"19873"</f>
        <v>19873</v>
      </c>
      <c r="F562" t="str">
        <f>"MATERIALS/LABOR/ANNEX BLDG"</f>
        <v>MATERIALS/LABOR/ANNEX BLDG</v>
      </c>
      <c r="G562" s="2">
        <v>1765</v>
      </c>
      <c r="H562" t="str">
        <f>"MATERIALS/LABOR/ANNEX BLDG"</f>
        <v>MATERIALS/LABOR/ANNEX BLDG</v>
      </c>
    </row>
    <row r="563" spans="1:8" x14ac:dyDescent="0.25">
      <c r="A563" t="s">
        <v>156</v>
      </c>
      <c r="B563">
        <v>79451</v>
      </c>
      <c r="C563" s="3">
        <v>3860.98</v>
      </c>
      <c r="D563" s="1">
        <v>43417</v>
      </c>
      <c r="E563" t="str">
        <f>"201811074959"</f>
        <v>201811074959</v>
      </c>
      <c r="F563" t="str">
        <f>"CORAM ALTERNATE SITE SERVICES"</f>
        <v>CORAM ALTERNATE SITE SERVICES</v>
      </c>
      <c r="G563" s="2">
        <v>3860.98</v>
      </c>
      <c r="H563" t="str">
        <f>""</f>
        <v/>
      </c>
    </row>
    <row r="564" spans="1:8" x14ac:dyDescent="0.25">
      <c r="A564" t="s">
        <v>157</v>
      </c>
      <c r="B564">
        <v>79681</v>
      </c>
      <c r="C564" s="3">
        <v>1930.5</v>
      </c>
      <c r="D564" s="1">
        <v>43430</v>
      </c>
      <c r="E564" t="str">
        <f>"JDP-10016-01"</f>
        <v>JDP-10016-01</v>
      </c>
      <c r="F564" t="str">
        <f>"DNA Fusion Software Suppo"</f>
        <v>DNA Fusion Software Suppo</v>
      </c>
      <c r="G564" s="2">
        <v>1930.5</v>
      </c>
      <c r="H564" t="str">
        <f>"Quote# 10152018c"</f>
        <v>Quote# 10152018c</v>
      </c>
    </row>
    <row r="565" spans="1:8" x14ac:dyDescent="0.25">
      <c r="A565" t="s">
        <v>158</v>
      </c>
      <c r="B565">
        <v>79682</v>
      </c>
      <c r="C565" s="3">
        <v>250</v>
      </c>
      <c r="D565" s="1">
        <v>43430</v>
      </c>
      <c r="E565" t="str">
        <f>"201811165268"</f>
        <v>201811165268</v>
      </c>
      <c r="F565" t="str">
        <f>"PSYCHOLOGICAL EVAL-B. BARNES"</f>
        <v>PSYCHOLOGICAL EVAL-B. BARNES</v>
      </c>
      <c r="G565" s="2">
        <v>250</v>
      </c>
      <c r="H565" t="str">
        <f>"PSYCHOLOGICAL EVAL-B. BARNES"</f>
        <v>PSYCHOLOGICAL EVAL-B. BARNES</v>
      </c>
    </row>
    <row r="566" spans="1:8" x14ac:dyDescent="0.25">
      <c r="A566" t="s">
        <v>159</v>
      </c>
      <c r="B566">
        <v>79452</v>
      </c>
      <c r="C566" s="3">
        <v>450</v>
      </c>
      <c r="D566" s="1">
        <v>43417</v>
      </c>
      <c r="E566" t="str">
        <f>"201811064893"</f>
        <v>201811064893</v>
      </c>
      <c r="F566" t="str">
        <f>"CAUSE#1819130/CRIMINAL DOCKET"</f>
        <v>CAUSE#1819130/CRIMINAL DOCKET</v>
      </c>
      <c r="G566" s="2">
        <v>450</v>
      </c>
      <c r="H566" t="str">
        <f>"CAUSE#1819130/CRIMINAL DOCKET"</f>
        <v>CAUSE#1819130/CRIMINAL DOCKET</v>
      </c>
    </row>
    <row r="567" spans="1:8" x14ac:dyDescent="0.25">
      <c r="A567" t="s">
        <v>160</v>
      </c>
      <c r="B567">
        <v>79453</v>
      </c>
      <c r="C567" s="3">
        <v>150</v>
      </c>
      <c r="D567" s="1">
        <v>43417</v>
      </c>
      <c r="E567" t="str">
        <f>"201810254661"</f>
        <v>201810254661</v>
      </c>
      <c r="F567" t="str">
        <f>"CLEANING SVCS 10/5 &amp; 10/19/P2"</f>
        <v>CLEANING SVCS 10/5 &amp; 10/19/P2</v>
      </c>
      <c r="G567" s="2">
        <v>150</v>
      </c>
      <c r="H567" t="str">
        <f>"CLEANING SVCS 10/5 &amp; 10/19/P2"</f>
        <v>CLEANING SVCS 10/5 &amp; 10/19/P2</v>
      </c>
    </row>
    <row r="568" spans="1:8" x14ac:dyDescent="0.25">
      <c r="A568" t="s">
        <v>161</v>
      </c>
      <c r="B568">
        <v>79454</v>
      </c>
      <c r="C568" s="3">
        <v>1578.05</v>
      </c>
      <c r="D568" s="1">
        <v>43417</v>
      </c>
      <c r="E568" t="str">
        <f>"7048 1828 8193 822"</f>
        <v>7048 1828 8193 822</v>
      </c>
      <c r="F568" t="str">
        <f>"CONTRACT#042-1434-2"</f>
        <v>CONTRACT#042-1434-2</v>
      </c>
      <c r="G568" s="2">
        <v>1578.05</v>
      </c>
      <c r="H568" t="str">
        <f>"CONTRACT#042-1434-2"</f>
        <v>CONTRACT#042-1434-2</v>
      </c>
    </row>
    <row r="569" spans="1:8" x14ac:dyDescent="0.25">
      <c r="A569" t="s">
        <v>162</v>
      </c>
      <c r="B569">
        <v>79455</v>
      </c>
      <c r="C569" s="3">
        <v>5087.6000000000004</v>
      </c>
      <c r="D569" s="1">
        <v>43417</v>
      </c>
      <c r="E569" t="str">
        <f>"311782"</f>
        <v>311782</v>
      </c>
      <c r="F569" t="str">
        <f>"INv# 311782"</f>
        <v>INv# 311782</v>
      </c>
      <c r="G569" s="2">
        <v>5087.6000000000004</v>
      </c>
      <c r="H569" t="str">
        <f>"INv# 311782"</f>
        <v>INv# 311782</v>
      </c>
    </row>
    <row r="570" spans="1:8" x14ac:dyDescent="0.25">
      <c r="A570" t="s">
        <v>163</v>
      </c>
      <c r="B570">
        <v>79683</v>
      </c>
      <c r="C570" s="3">
        <v>293.18</v>
      </c>
      <c r="D570" s="1">
        <v>43430</v>
      </c>
      <c r="E570" t="str">
        <f>"IN1825236"</f>
        <v>IN1825236</v>
      </c>
      <c r="F570" t="str">
        <f>"ACCT#BC113:40R756"</f>
        <v>ACCT#BC113:40R756</v>
      </c>
      <c r="G570" s="2">
        <v>293.18</v>
      </c>
      <c r="H570" t="str">
        <f>"ACCT#BC113:40R756"</f>
        <v>ACCT#BC113:40R756</v>
      </c>
    </row>
    <row r="571" spans="1:8" x14ac:dyDescent="0.25">
      <c r="A571" t="s">
        <v>164</v>
      </c>
      <c r="B571">
        <v>79684</v>
      </c>
      <c r="C571" s="3">
        <v>80</v>
      </c>
      <c r="D571" s="1">
        <v>43430</v>
      </c>
      <c r="E571" t="str">
        <f>"12924"</f>
        <v>12924</v>
      </c>
      <c r="F571" t="str">
        <f>"SERVICE"</f>
        <v>SERVICE</v>
      </c>
      <c r="G571" s="2">
        <v>80</v>
      </c>
      <c r="H571" t="str">
        <f>"SERVICE"</f>
        <v>SERVICE</v>
      </c>
    </row>
    <row r="572" spans="1:8" x14ac:dyDescent="0.25">
      <c r="A572" t="s">
        <v>165</v>
      </c>
      <c r="B572">
        <v>79456</v>
      </c>
      <c r="C572" s="3">
        <v>7.63</v>
      </c>
      <c r="D572" s="1">
        <v>43417</v>
      </c>
      <c r="E572" t="str">
        <f>"201810304697"</f>
        <v>201810304697</v>
      </c>
      <c r="F572" t="str">
        <f>"REIMBURSE MILEAGE"</f>
        <v>REIMBURSE MILEAGE</v>
      </c>
      <c r="G572" s="2">
        <v>7.63</v>
      </c>
      <c r="H572" t="str">
        <f>"REIMBURSE MILEAGE"</f>
        <v>REIMBURSE MILEAGE</v>
      </c>
    </row>
    <row r="573" spans="1:8" x14ac:dyDescent="0.25">
      <c r="A573" t="s">
        <v>166</v>
      </c>
      <c r="B573">
        <v>79685</v>
      </c>
      <c r="C573" s="3">
        <v>1612.8</v>
      </c>
      <c r="D573" s="1">
        <v>43430</v>
      </c>
      <c r="E573" t="str">
        <f>"541489"</f>
        <v>541489</v>
      </c>
      <c r="F573" t="str">
        <f>"INV 541489"</f>
        <v>INV 541489</v>
      </c>
      <c r="G573" s="2">
        <v>1612.8</v>
      </c>
      <c r="H573" t="str">
        <f>"INV 541489"</f>
        <v>INV 541489</v>
      </c>
    </row>
    <row r="574" spans="1:8" x14ac:dyDescent="0.25">
      <c r="A574" t="s">
        <v>167</v>
      </c>
      <c r="B574">
        <v>79457</v>
      </c>
      <c r="C574" s="3">
        <v>100</v>
      </c>
      <c r="D574" s="1">
        <v>43417</v>
      </c>
      <c r="E574" t="str">
        <f>"201811054830"</f>
        <v>201811054830</v>
      </c>
      <c r="F574" t="str">
        <f>"LEGAL CONSULT SVCS-OCT 2018"</f>
        <v>LEGAL CONSULT SVCS-OCT 2018</v>
      </c>
      <c r="G574" s="2">
        <v>100</v>
      </c>
      <c r="H574" t="str">
        <f>"LEGAL CONSULT SVCS-OCT 2018"</f>
        <v>LEGAL CONSULT SVCS-OCT 2018</v>
      </c>
    </row>
    <row r="575" spans="1:8" x14ac:dyDescent="0.25">
      <c r="A575" t="s">
        <v>168</v>
      </c>
      <c r="B575">
        <v>79458</v>
      </c>
      <c r="C575" s="3">
        <v>80.23</v>
      </c>
      <c r="D575" s="1">
        <v>43417</v>
      </c>
      <c r="E575" t="str">
        <f>"201811074977"</f>
        <v>201811074977</v>
      </c>
      <c r="F575" t="str">
        <f>"INDIGENT HEALTH"</f>
        <v>INDIGENT HEALTH</v>
      </c>
      <c r="G575" s="2">
        <v>80.23</v>
      </c>
      <c r="H575" t="str">
        <f>"INDIGENT HEALTH"</f>
        <v>INDIGENT HEALTH</v>
      </c>
    </row>
    <row r="576" spans="1:8" x14ac:dyDescent="0.25">
      <c r="A576" t="s">
        <v>169</v>
      </c>
      <c r="B576">
        <v>999999</v>
      </c>
      <c r="C576" s="3">
        <v>320</v>
      </c>
      <c r="D576" s="1">
        <v>43418</v>
      </c>
      <c r="E576" t="str">
        <f>"201811064900"</f>
        <v>201811064900</v>
      </c>
      <c r="F576" t="str">
        <f>"18-19306"</f>
        <v>18-19306</v>
      </c>
      <c r="G576" s="2">
        <v>137.5</v>
      </c>
      <c r="H576" t="str">
        <f>"18-19306"</f>
        <v>18-19306</v>
      </c>
    </row>
    <row r="577" spans="1:8" x14ac:dyDescent="0.25">
      <c r="E577" t="str">
        <f>"201811064901"</f>
        <v>201811064901</v>
      </c>
      <c r="F577" t="str">
        <f>"17-18637"</f>
        <v>17-18637</v>
      </c>
      <c r="G577" s="2">
        <v>182.5</v>
      </c>
      <c r="H577" t="str">
        <f>"17-18637"</f>
        <v>17-18637</v>
      </c>
    </row>
    <row r="578" spans="1:8" x14ac:dyDescent="0.25">
      <c r="A578" t="s">
        <v>169</v>
      </c>
      <c r="B578">
        <v>999999</v>
      </c>
      <c r="C578" s="3">
        <v>1177.5</v>
      </c>
      <c r="D578" s="1">
        <v>43431</v>
      </c>
      <c r="E578" t="str">
        <f>"201811145111"</f>
        <v>201811145111</v>
      </c>
      <c r="F578" t="str">
        <f>"07-12260"</f>
        <v>07-12260</v>
      </c>
      <c r="G578" s="2">
        <v>100</v>
      </c>
      <c r="H578" t="str">
        <f>"07-12260"</f>
        <v>07-12260</v>
      </c>
    </row>
    <row r="579" spans="1:8" x14ac:dyDescent="0.25">
      <c r="E579" t="str">
        <f>"201811145112"</f>
        <v>201811145112</v>
      </c>
      <c r="F579" t="str">
        <f>"17-18680"</f>
        <v>17-18680</v>
      </c>
      <c r="G579" s="2">
        <v>100</v>
      </c>
      <c r="H579" t="str">
        <f>"17-18680"</f>
        <v>17-18680</v>
      </c>
    </row>
    <row r="580" spans="1:8" x14ac:dyDescent="0.25">
      <c r="E580" t="str">
        <f>"201811145117"</f>
        <v>201811145117</v>
      </c>
      <c r="F580" t="str">
        <f>"423-4498"</f>
        <v>423-4498</v>
      </c>
      <c r="G580" s="2">
        <v>100</v>
      </c>
      <c r="H580" t="str">
        <f>"423-4498"</f>
        <v>423-4498</v>
      </c>
    </row>
    <row r="581" spans="1:8" x14ac:dyDescent="0.25">
      <c r="E581" t="str">
        <f>"201811165249"</f>
        <v>201811165249</v>
      </c>
      <c r="F581" t="str">
        <f>"17-18754"</f>
        <v>17-18754</v>
      </c>
      <c r="G581" s="2">
        <v>422.5</v>
      </c>
      <c r="H581" t="str">
        <f>"17-18754"</f>
        <v>17-18754</v>
      </c>
    </row>
    <row r="582" spans="1:8" x14ac:dyDescent="0.25">
      <c r="E582" t="str">
        <f>"201811165250"</f>
        <v>201811165250</v>
      </c>
      <c r="F582" t="str">
        <f>"18-18877"</f>
        <v>18-18877</v>
      </c>
      <c r="G582" s="2">
        <v>355</v>
      </c>
      <c r="H582" t="str">
        <f>"18-18877"</f>
        <v>18-18877</v>
      </c>
    </row>
    <row r="583" spans="1:8" x14ac:dyDescent="0.25">
      <c r="E583" t="str">
        <f>"201811165251"</f>
        <v>201811165251</v>
      </c>
      <c r="F583" t="str">
        <f>"18-19144"</f>
        <v>18-19144</v>
      </c>
      <c r="G583" s="2">
        <v>100</v>
      </c>
      <c r="H583" t="str">
        <f>"18-19144"</f>
        <v>18-19144</v>
      </c>
    </row>
    <row r="584" spans="1:8" x14ac:dyDescent="0.25">
      <c r="A584" t="s">
        <v>170</v>
      </c>
      <c r="B584">
        <v>79636</v>
      </c>
      <c r="C584" s="3">
        <v>212.45</v>
      </c>
      <c r="D584" s="1">
        <v>43418</v>
      </c>
      <c r="E584" t="str">
        <f>"201811145079"</f>
        <v>201811145079</v>
      </c>
      <c r="F584" t="str">
        <f>"UNIFORM JEANS REIMBURSEMENT"</f>
        <v>UNIFORM JEANS REIMBURSEMENT</v>
      </c>
      <c r="G584" s="2">
        <v>212.45</v>
      </c>
      <c r="H584" t="str">
        <f>"UNIFORM JEANS REIMBURSEMENT"</f>
        <v>UNIFORM JEANS REIMBURSEMENT</v>
      </c>
    </row>
    <row r="585" spans="1:8" x14ac:dyDescent="0.25">
      <c r="A585" t="s">
        <v>171</v>
      </c>
      <c r="B585">
        <v>79459</v>
      </c>
      <c r="C585" s="3">
        <v>10174.44</v>
      </c>
      <c r="D585" s="1">
        <v>43417</v>
      </c>
      <c r="E585" t="str">
        <f>"10273834827"</f>
        <v>10273834827</v>
      </c>
      <c r="F585" t="str">
        <f>"DELL USB SLIM P. BIRRAN"</f>
        <v>DELL USB SLIM P. BIRRAN</v>
      </c>
      <c r="G585" s="2">
        <v>59.99</v>
      </c>
      <c r="H585" t="str">
        <f>"DELL USB SLIM P. BIRRAN"</f>
        <v>DELL USB SLIM P. BIRRAN</v>
      </c>
    </row>
    <row r="586" spans="1:8" x14ac:dyDescent="0.25">
      <c r="E586" t="str">
        <f>"10276049720"</f>
        <v>10276049720</v>
      </c>
      <c r="F586" t="str">
        <f>"RUGGED LAPTOP"</f>
        <v>RUGGED LAPTOP</v>
      </c>
      <c r="G586" s="2">
        <v>10114.450000000001</v>
      </c>
      <c r="H586" t="str">
        <f>"LAT 14 RUGGED LAPTOP"</f>
        <v>LAT 14 RUGGED LAPTOP</v>
      </c>
    </row>
    <row r="587" spans="1:8" x14ac:dyDescent="0.25">
      <c r="A587" t="s">
        <v>171</v>
      </c>
      <c r="B587">
        <v>79686</v>
      </c>
      <c r="C587" s="3">
        <v>694.77</v>
      </c>
      <c r="D587" s="1">
        <v>43430</v>
      </c>
      <c r="E587" t="str">
        <f>"10274297722"</f>
        <v>10274297722</v>
      </c>
      <c r="F587" t="str">
        <f>"DELL ORDER FOR KRISTY"</f>
        <v>DELL ORDER FOR KRISTY</v>
      </c>
      <c r="G587" s="2">
        <v>694.77</v>
      </c>
      <c r="H587" t="str">
        <f>"MONITOR U2417H"</f>
        <v>MONITOR U2417H</v>
      </c>
    </row>
    <row r="588" spans="1:8" x14ac:dyDescent="0.25">
      <c r="E588" t="str">
        <f>""</f>
        <v/>
      </c>
      <c r="F588" t="str">
        <f>""</f>
        <v/>
      </c>
      <c r="H588" t="str">
        <f>"DELL BUSINESS DOCK"</f>
        <v>DELL BUSINESS DOCK</v>
      </c>
    </row>
    <row r="589" spans="1:8" x14ac:dyDescent="0.25">
      <c r="A589" t="s">
        <v>172</v>
      </c>
      <c r="B589">
        <v>79687</v>
      </c>
      <c r="C589" s="3">
        <v>1710</v>
      </c>
      <c r="D589" s="1">
        <v>43430</v>
      </c>
      <c r="E589" t="str">
        <f>"201811165260"</f>
        <v>201811165260</v>
      </c>
      <c r="F589" t="str">
        <f>"SANE EXAMS"</f>
        <v>SANE EXAMS</v>
      </c>
      <c r="G589" s="2">
        <v>1038</v>
      </c>
      <c r="H589" t="str">
        <f>"SANE EXAMS"</f>
        <v>SANE EXAMS</v>
      </c>
    </row>
    <row r="590" spans="1:8" x14ac:dyDescent="0.25">
      <c r="E590" t="str">
        <f>"201811165261"</f>
        <v>201811165261</v>
      </c>
      <c r="F590" t="str">
        <f>"SANE EXAM - 18-S-05202"</f>
        <v>SANE EXAM - 18-S-05202</v>
      </c>
      <c r="G590" s="2">
        <v>672</v>
      </c>
      <c r="H590" t="str">
        <f>"SANE EXAM - 18-S-05202"</f>
        <v>SANE EXAM - 18-S-05202</v>
      </c>
    </row>
    <row r="591" spans="1:8" x14ac:dyDescent="0.25">
      <c r="A591" t="s">
        <v>173</v>
      </c>
      <c r="B591">
        <v>999999</v>
      </c>
      <c r="C591" s="3">
        <v>2255</v>
      </c>
      <c r="D591" s="1">
        <v>43418</v>
      </c>
      <c r="E591" t="str">
        <f>"BATX014957"</f>
        <v>BATX014957</v>
      </c>
      <c r="F591" t="str">
        <f>"INV BATX014957"</f>
        <v>INV BATX014957</v>
      </c>
      <c r="G591" s="2">
        <v>2255</v>
      </c>
      <c r="H591" t="str">
        <f>"INV BATX014957"</f>
        <v>INV BATX014957</v>
      </c>
    </row>
    <row r="592" spans="1:8" x14ac:dyDescent="0.25">
      <c r="A592" t="s">
        <v>173</v>
      </c>
      <c r="B592">
        <v>999999</v>
      </c>
      <c r="C592" s="3">
        <v>2975</v>
      </c>
      <c r="D592" s="1">
        <v>43431</v>
      </c>
      <c r="E592" t="str">
        <f>"BATX015726"</f>
        <v>BATX015726</v>
      </c>
      <c r="F592" t="str">
        <f>"INV BATX015726"</f>
        <v>INV BATX015726</v>
      </c>
      <c r="G592" s="2">
        <v>2975</v>
      </c>
      <c r="H592" t="str">
        <f>"INV BATX015726"</f>
        <v>INV BATX015726</v>
      </c>
    </row>
    <row r="593" spans="1:8" x14ac:dyDescent="0.25">
      <c r="A593" t="s">
        <v>174</v>
      </c>
      <c r="B593">
        <v>79460</v>
      </c>
      <c r="C593" s="3">
        <v>195</v>
      </c>
      <c r="D593" s="1">
        <v>43417</v>
      </c>
      <c r="E593" t="str">
        <f>"201811074948"</f>
        <v>201811074948</v>
      </c>
      <c r="F593" t="str">
        <f>"PER DIEM"</f>
        <v>PER DIEM</v>
      </c>
      <c r="G593" s="2">
        <v>195</v>
      </c>
      <c r="H593" t="str">
        <f>"PER DIEM"</f>
        <v>PER DIEM</v>
      </c>
    </row>
    <row r="594" spans="1:8" x14ac:dyDescent="0.25">
      <c r="A594" t="s">
        <v>175</v>
      </c>
      <c r="B594">
        <v>79461</v>
      </c>
      <c r="C594" s="3">
        <v>124.75</v>
      </c>
      <c r="D594" s="1">
        <v>43417</v>
      </c>
      <c r="E594" t="str">
        <f>"201810254655"</f>
        <v>201810254655</v>
      </c>
      <c r="F594" t="str">
        <f>"REIMBURSE-OFFICE FURNITURE/WAL"</f>
        <v>REIMBURSE-OFFICE FURNITURE/WAL</v>
      </c>
      <c r="G594" s="2">
        <v>124.75</v>
      </c>
      <c r="H594" t="str">
        <f>"REIMBURSE-OFFICE FURNITURE/WAL"</f>
        <v>REIMBURSE-OFFICE FURNITURE/WAL</v>
      </c>
    </row>
    <row r="595" spans="1:8" x14ac:dyDescent="0.25">
      <c r="A595" t="s">
        <v>176</v>
      </c>
      <c r="B595">
        <v>79462</v>
      </c>
      <c r="C595" s="3">
        <v>585.9</v>
      </c>
      <c r="D595" s="1">
        <v>43417</v>
      </c>
      <c r="E595" t="str">
        <f>"24845"</f>
        <v>24845</v>
      </c>
      <c r="F595" t="str">
        <f>"SERVICE CALL/LOCKS/GEN SVCS"</f>
        <v>SERVICE CALL/LOCKS/GEN SVCS</v>
      </c>
      <c r="G595" s="2">
        <v>565</v>
      </c>
      <c r="H595" t="str">
        <f>"SERVICE CALL/LOCKS/GEN SVCS"</f>
        <v>SERVICE CALL/LOCKS/GEN SVCS</v>
      </c>
    </row>
    <row r="596" spans="1:8" x14ac:dyDescent="0.25">
      <c r="E596" t="str">
        <f>"24906"</f>
        <v>24906</v>
      </c>
      <c r="F596" t="str">
        <f>"DUP KEYS/KEY TAGS"</f>
        <v>DUP KEYS/KEY TAGS</v>
      </c>
      <c r="G596" s="2">
        <v>20.9</v>
      </c>
      <c r="H596" t="str">
        <f>"DUP KEYS/KEY TAGS"</f>
        <v>DUP KEYS/KEY TAGS</v>
      </c>
    </row>
    <row r="597" spans="1:8" x14ac:dyDescent="0.25">
      <c r="A597" t="s">
        <v>177</v>
      </c>
      <c r="B597">
        <v>79463</v>
      </c>
      <c r="C597" s="3">
        <v>2264.4899999999998</v>
      </c>
      <c r="D597" s="1">
        <v>43417</v>
      </c>
      <c r="E597" t="str">
        <f>"19091120N"</f>
        <v>19091120N</v>
      </c>
      <c r="F597" t="str">
        <f>"CUST#PKE5000/09/01-09/30"</f>
        <v>CUST#PKE5000/09/01-09/30</v>
      </c>
      <c r="G597" s="2">
        <v>2264.4899999999998</v>
      </c>
      <c r="H597" t="str">
        <f>"CUST#PKE5000/09/01-09/30"</f>
        <v>CUST#PKE5000/09/01-09/30</v>
      </c>
    </row>
    <row r="598" spans="1:8" x14ac:dyDescent="0.25">
      <c r="E598" t="str">
        <f>""</f>
        <v/>
      </c>
      <c r="F598" t="str">
        <f>""</f>
        <v/>
      </c>
      <c r="H598" t="str">
        <f>"CUST#PKE5000/09/01-09/30"</f>
        <v>CUST#PKE5000/09/01-09/30</v>
      </c>
    </row>
    <row r="599" spans="1:8" x14ac:dyDescent="0.25">
      <c r="A599" t="s">
        <v>178</v>
      </c>
      <c r="B599">
        <v>79464</v>
      </c>
      <c r="C599" s="3">
        <v>87.08</v>
      </c>
      <c r="D599" s="1">
        <v>43417</v>
      </c>
      <c r="E599" t="str">
        <f>"103399"</f>
        <v>103399</v>
      </c>
      <c r="F599" t="str">
        <f>"HOOKS/PCT#1"</f>
        <v>HOOKS/PCT#1</v>
      </c>
      <c r="G599" s="2">
        <v>10.119999999999999</v>
      </c>
      <c r="H599" t="str">
        <f>"HOOKS/PCT#1"</f>
        <v>HOOKS/PCT#1</v>
      </c>
    </row>
    <row r="600" spans="1:8" x14ac:dyDescent="0.25">
      <c r="E600" t="str">
        <f>"103533"</f>
        <v>103533</v>
      </c>
      <c r="F600" t="str">
        <f>"MATERIAL"</f>
        <v>MATERIAL</v>
      </c>
      <c r="G600" s="2">
        <v>35.96</v>
      </c>
      <c r="H600" t="str">
        <f>"4  V-Groove Roller"</f>
        <v>4  V-Groove Roller</v>
      </c>
    </row>
    <row r="601" spans="1:8" x14ac:dyDescent="0.25">
      <c r="E601" t="str">
        <f>""</f>
        <v/>
      </c>
      <c r="F601" t="str">
        <f>""</f>
        <v/>
      </c>
      <c r="H601" t="str">
        <f>"Box V Groove"</f>
        <v>Box V Groove</v>
      </c>
    </row>
    <row r="602" spans="1:8" x14ac:dyDescent="0.25">
      <c r="E602" t="str">
        <f>"103558"</f>
        <v>103558</v>
      </c>
      <c r="F602" t="str">
        <f>"ANGLE/PCT#3"</f>
        <v>ANGLE/PCT#3</v>
      </c>
      <c r="G602" s="2">
        <v>41</v>
      </c>
      <c r="H602" t="str">
        <f>"ANGLE/PCT#3"</f>
        <v>ANGLE/PCT#3</v>
      </c>
    </row>
    <row r="603" spans="1:8" x14ac:dyDescent="0.25">
      <c r="A603" t="s">
        <v>179</v>
      </c>
      <c r="B603">
        <v>79795</v>
      </c>
      <c r="C603" s="3">
        <v>749.4</v>
      </c>
      <c r="D603" s="1">
        <v>43433</v>
      </c>
      <c r="E603" t="str">
        <f>"201811295342"</f>
        <v>201811295342</v>
      </c>
      <c r="F603" t="str">
        <f>"ACCT#405900029213/12012018"</f>
        <v>ACCT#405900029213/12012018</v>
      </c>
      <c r="G603" s="2">
        <v>374.7</v>
      </c>
      <c r="H603" t="str">
        <f>"ACCT#405900029213/12012018"</f>
        <v>ACCT#405900029213/12012018</v>
      </c>
    </row>
    <row r="604" spans="1:8" x14ac:dyDescent="0.25">
      <c r="E604" t="str">
        <f>"201811295343"</f>
        <v>201811295343</v>
      </c>
      <c r="F604" t="str">
        <f>"ACCT#405900029225/12012018"</f>
        <v>ACCT#405900029225/12012018</v>
      </c>
      <c r="G604" s="2">
        <v>187.35</v>
      </c>
      <c r="H604" t="str">
        <f>"ACCT#405900029225/12012018"</f>
        <v>ACCT#405900029225/12012018</v>
      </c>
    </row>
    <row r="605" spans="1:8" x14ac:dyDescent="0.25">
      <c r="E605" t="str">
        <f>"201811295344"</f>
        <v>201811295344</v>
      </c>
      <c r="F605" t="str">
        <f>"ACCT#405900028789/12012018"</f>
        <v>ACCT#405900028789/12012018</v>
      </c>
      <c r="G605" s="2">
        <v>187.35</v>
      </c>
      <c r="H605" t="str">
        <f>"ACCT#405900028789/12012018"</f>
        <v>ACCT#405900028789/12012018</v>
      </c>
    </row>
    <row r="606" spans="1:8" x14ac:dyDescent="0.25">
      <c r="A606" t="s">
        <v>180</v>
      </c>
      <c r="B606">
        <v>79465</v>
      </c>
      <c r="C606" s="3">
        <v>1610</v>
      </c>
      <c r="D606" s="1">
        <v>43417</v>
      </c>
      <c r="E606" t="str">
        <f>"28614A"</f>
        <v>28614A</v>
      </c>
      <c r="F606" t="str">
        <f>"INV 28614A"</f>
        <v>INV 28614A</v>
      </c>
      <c r="G606" s="2">
        <v>1610</v>
      </c>
      <c r="H606" t="str">
        <f>"INV 28614A"</f>
        <v>INV 28614A</v>
      </c>
    </row>
    <row r="607" spans="1:8" x14ac:dyDescent="0.25">
      <c r="A607" t="s">
        <v>180</v>
      </c>
      <c r="B607">
        <v>79688</v>
      </c>
      <c r="C607" s="3">
        <v>1409</v>
      </c>
      <c r="D607" s="1">
        <v>43430</v>
      </c>
      <c r="E607" t="str">
        <f>"28644B"</f>
        <v>28644B</v>
      </c>
      <c r="F607" t="str">
        <f>"INV 28644B"</f>
        <v>INV 28644B</v>
      </c>
      <c r="G607" s="2">
        <v>1409</v>
      </c>
      <c r="H607" t="str">
        <f>"INV 28644B"</f>
        <v>INV 28644B</v>
      </c>
    </row>
    <row r="608" spans="1:8" x14ac:dyDescent="0.25">
      <c r="A608" t="s">
        <v>181</v>
      </c>
      <c r="B608">
        <v>999999</v>
      </c>
      <c r="C608" s="3">
        <v>7125</v>
      </c>
      <c r="D608" s="1">
        <v>43418</v>
      </c>
      <c r="E608" t="str">
        <f>"201810234631"</f>
        <v>201810234631</v>
      </c>
      <c r="F608" t="str">
        <f>"CH-20180131-C"</f>
        <v>CH-20180131-C</v>
      </c>
      <c r="G608" s="2">
        <v>400</v>
      </c>
      <c r="H608" t="str">
        <f>"CH-20180131-C"</f>
        <v>CH-20180131-C</v>
      </c>
    </row>
    <row r="609" spans="1:8" x14ac:dyDescent="0.25">
      <c r="E609" t="str">
        <f>"201810264663"</f>
        <v>201810264663</v>
      </c>
      <c r="F609" t="str">
        <f>"16677"</f>
        <v>16677</v>
      </c>
      <c r="G609" s="2">
        <v>400</v>
      </c>
      <c r="H609" t="str">
        <f>"16677"</f>
        <v>16677</v>
      </c>
    </row>
    <row r="610" spans="1:8" x14ac:dyDescent="0.25">
      <c r="E610" t="str">
        <f>"201810264664"</f>
        <v>201810264664</v>
      </c>
      <c r="F610" t="str">
        <f>"423-6077 &amp; 423-6078"</f>
        <v>423-6077 &amp; 423-6078</v>
      </c>
      <c r="G610" s="2">
        <v>200</v>
      </c>
      <c r="H610" t="str">
        <f>"423-6077 &amp; 423-6078"</f>
        <v>423-6077 &amp; 423-6078</v>
      </c>
    </row>
    <row r="611" spans="1:8" x14ac:dyDescent="0.25">
      <c r="E611" t="str">
        <f>"201810264665"</f>
        <v>201810264665</v>
      </c>
      <c r="F611" t="str">
        <f>"16669 &amp; 16670"</f>
        <v>16669 &amp; 16670</v>
      </c>
      <c r="G611" s="2">
        <v>800</v>
      </c>
      <c r="H611" t="str">
        <f>"16669 &amp; 16670"</f>
        <v>16669 &amp; 16670</v>
      </c>
    </row>
    <row r="612" spans="1:8" x14ac:dyDescent="0.25">
      <c r="E612" t="str">
        <f>"201810304708"</f>
        <v>201810304708</v>
      </c>
      <c r="F612" t="str">
        <f>"56320  56321"</f>
        <v>56320  56321</v>
      </c>
      <c r="G612" s="2">
        <v>375</v>
      </c>
      <c r="H612" t="str">
        <f>"56320  56321"</f>
        <v>56320  56321</v>
      </c>
    </row>
    <row r="613" spans="1:8" x14ac:dyDescent="0.25">
      <c r="E613" t="str">
        <f>"201810304709"</f>
        <v>201810304709</v>
      </c>
      <c r="F613" t="str">
        <f>"56520"</f>
        <v>56520</v>
      </c>
      <c r="G613" s="2">
        <v>250</v>
      </c>
      <c r="H613" t="str">
        <f>"56520"</f>
        <v>56520</v>
      </c>
    </row>
    <row r="614" spans="1:8" x14ac:dyDescent="0.25">
      <c r="E614" t="str">
        <f>"201810304719"</f>
        <v>201810304719</v>
      </c>
      <c r="F614" t="str">
        <f>"409096-8M"</f>
        <v>409096-8M</v>
      </c>
      <c r="G614" s="2">
        <v>250</v>
      </c>
      <c r="H614" t="str">
        <f>"409096-8M"</f>
        <v>409096-8M</v>
      </c>
    </row>
    <row r="615" spans="1:8" x14ac:dyDescent="0.25">
      <c r="E615" t="str">
        <f>"201810304735"</f>
        <v>201810304735</v>
      </c>
      <c r="F615" t="str">
        <f>"18-18967"</f>
        <v>18-18967</v>
      </c>
      <c r="G615" s="2">
        <v>250</v>
      </c>
      <c r="H615" t="str">
        <f>"18-18967"</f>
        <v>18-18967</v>
      </c>
    </row>
    <row r="616" spans="1:8" x14ac:dyDescent="0.25">
      <c r="E616" t="str">
        <f>"201810304747"</f>
        <v>201810304747</v>
      </c>
      <c r="F616" t="str">
        <f>"AC-2018-09"</f>
        <v>AC-2018-09</v>
      </c>
      <c r="G616" s="2">
        <v>400</v>
      </c>
      <c r="H616" t="str">
        <f>"AC-2018-09"</f>
        <v>AC-2018-09</v>
      </c>
    </row>
    <row r="617" spans="1:8" x14ac:dyDescent="0.25">
      <c r="E617" t="str">
        <f>"201810304748"</f>
        <v>201810304748</v>
      </c>
      <c r="F617" t="str">
        <f>"AC2018-0417"</f>
        <v>AC2018-0417</v>
      </c>
      <c r="G617" s="2">
        <v>400</v>
      </c>
      <c r="H617" t="str">
        <f>"AC2018-0417"</f>
        <v>AC2018-0417</v>
      </c>
    </row>
    <row r="618" spans="1:8" x14ac:dyDescent="0.25">
      <c r="E618" t="str">
        <f>"201810304749"</f>
        <v>201810304749</v>
      </c>
      <c r="F618" t="str">
        <f>"02-0125-1"</f>
        <v>02-0125-1</v>
      </c>
      <c r="G618" s="2">
        <v>400</v>
      </c>
      <c r="H618" t="str">
        <f>"02-0125-1"</f>
        <v>02-0125-1</v>
      </c>
    </row>
    <row r="619" spans="1:8" x14ac:dyDescent="0.25">
      <c r="E619" t="str">
        <f>"201811014777"</f>
        <v>201811014777</v>
      </c>
      <c r="F619" t="str">
        <f>"16295  408097-3"</f>
        <v>16295  408097-3</v>
      </c>
      <c r="G619" s="2">
        <v>2500</v>
      </c>
      <c r="H619" t="str">
        <f>"16295  408097-3"</f>
        <v>16295  408097-3</v>
      </c>
    </row>
    <row r="620" spans="1:8" x14ac:dyDescent="0.25">
      <c r="E620" t="str">
        <f>"201811064927"</f>
        <v>201811064927</v>
      </c>
      <c r="F620" t="str">
        <f>"56011 CH-20181017EDE CH-201810"</f>
        <v>56011 CH-20181017EDE CH-201810</v>
      </c>
      <c r="G620" s="2">
        <v>500</v>
      </c>
      <c r="H620" t="str">
        <f>"56011 CH-20181017EDE CH-201810"</f>
        <v>56011 CH-20181017EDE CH-201810</v>
      </c>
    </row>
    <row r="621" spans="1:8" x14ac:dyDescent="0.25">
      <c r="A621" t="s">
        <v>181</v>
      </c>
      <c r="B621">
        <v>999999</v>
      </c>
      <c r="C621" s="3">
        <v>3012.5</v>
      </c>
      <c r="D621" s="1">
        <v>43431</v>
      </c>
      <c r="E621" t="str">
        <f>"201811145122"</f>
        <v>201811145122</v>
      </c>
      <c r="F621" t="str">
        <f>"C180042"</f>
        <v>C180042</v>
      </c>
      <c r="G621" s="2">
        <v>400</v>
      </c>
      <c r="H621" t="str">
        <f>"C180042"</f>
        <v>C180042</v>
      </c>
    </row>
    <row r="622" spans="1:8" x14ac:dyDescent="0.25">
      <c r="E622" t="str">
        <f>"201811155171"</f>
        <v>201811155171</v>
      </c>
      <c r="F622" t="str">
        <f>"16654"</f>
        <v>16654</v>
      </c>
      <c r="G622" s="2">
        <v>600</v>
      </c>
      <c r="H622" t="str">
        <f>"16654"</f>
        <v>16654</v>
      </c>
    </row>
    <row r="623" spans="1:8" x14ac:dyDescent="0.25">
      <c r="E623" t="str">
        <f>"201811155172"</f>
        <v>201811155172</v>
      </c>
      <c r="F623" t="str">
        <f>"15962"</f>
        <v>15962</v>
      </c>
      <c r="G623" s="2">
        <v>400</v>
      </c>
      <c r="H623" t="str">
        <f>"15962"</f>
        <v>15962</v>
      </c>
    </row>
    <row r="624" spans="1:8" x14ac:dyDescent="0.25">
      <c r="E624" t="str">
        <f>"201811155173"</f>
        <v>201811155173</v>
      </c>
      <c r="F624" t="str">
        <f>"16608"</f>
        <v>16608</v>
      </c>
      <c r="G624" s="2">
        <v>400</v>
      </c>
      <c r="H624" t="str">
        <f>"16608"</f>
        <v>16608</v>
      </c>
    </row>
    <row r="625" spans="1:8" x14ac:dyDescent="0.25">
      <c r="E625" t="str">
        <f>"201811155208"</f>
        <v>201811155208</v>
      </c>
      <c r="F625" t="str">
        <f>"55813"</f>
        <v>55813</v>
      </c>
      <c r="G625" s="2">
        <v>250</v>
      </c>
      <c r="H625" t="str">
        <f>"55813"</f>
        <v>55813</v>
      </c>
    </row>
    <row r="626" spans="1:8" x14ac:dyDescent="0.25">
      <c r="E626" t="str">
        <f>"201811155209"</f>
        <v>201811155209</v>
      </c>
      <c r="F626" t="str">
        <f>"17-18764"</f>
        <v>17-18764</v>
      </c>
      <c r="G626" s="2">
        <v>100</v>
      </c>
      <c r="H626" t="str">
        <f>"17-18764"</f>
        <v>17-18764</v>
      </c>
    </row>
    <row r="627" spans="1:8" x14ac:dyDescent="0.25">
      <c r="E627" t="str">
        <f>"201811155210"</f>
        <v>201811155210</v>
      </c>
      <c r="F627" t="str">
        <f>"18-19321"</f>
        <v>18-19321</v>
      </c>
      <c r="G627" s="2">
        <v>362.5</v>
      </c>
      <c r="H627" t="str">
        <f>"18-19321"</f>
        <v>18-19321</v>
      </c>
    </row>
    <row r="628" spans="1:8" x14ac:dyDescent="0.25">
      <c r="E628" t="str">
        <f>"201811155211"</f>
        <v>201811155211</v>
      </c>
      <c r="F628" t="str">
        <f>"18-19321"</f>
        <v>18-19321</v>
      </c>
      <c r="G628" s="2">
        <v>100</v>
      </c>
      <c r="H628" t="str">
        <f>"18-19321"</f>
        <v>18-19321</v>
      </c>
    </row>
    <row r="629" spans="1:8" x14ac:dyDescent="0.25">
      <c r="E629" t="str">
        <f>"201811155212"</f>
        <v>201811155212</v>
      </c>
      <c r="F629" t="str">
        <f>"18-19239"</f>
        <v>18-19239</v>
      </c>
      <c r="G629" s="2">
        <v>175</v>
      </c>
      <c r="H629" t="str">
        <f>"18-19239"</f>
        <v>18-19239</v>
      </c>
    </row>
    <row r="630" spans="1:8" x14ac:dyDescent="0.25">
      <c r="E630" t="str">
        <f>"201811155213"</f>
        <v>201811155213</v>
      </c>
      <c r="F630" t="str">
        <f>"18-19299"</f>
        <v>18-19299</v>
      </c>
      <c r="G630" s="2">
        <v>225</v>
      </c>
      <c r="H630" t="str">
        <f>"18-19299"</f>
        <v>18-19299</v>
      </c>
    </row>
    <row r="631" spans="1:8" x14ac:dyDescent="0.25">
      <c r="A631" t="s">
        <v>182</v>
      </c>
      <c r="B631">
        <v>79466</v>
      </c>
      <c r="C631" s="3">
        <v>1176</v>
      </c>
      <c r="D631" s="1">
        <v>43417</v>
      </c>
      <c r="E631" t="str">
        <f>"15-1405"</f>
        <v>15-1405</v>
      </c>
      <c r="F631" t="str">
        <f>"ROAD BASE/PCT#3"</f>
        <v>ROAD BASE/PCT#3</v>
      </c>
      <c r="G631" s="2">
        <v>1176</v>
      </c>
      <c r="H631" t="str">
        <f>"ROAD BASE/PCT#3"</f>
        <v>ROAD BASE/PCT#3</v>
      </c>
    </row>
    <row r="632" spans="1:8" x14ac:dyDescent="0.25">
      <c r="A632" t="s">
        <v>182</v>
      </c>
      <c r="B632">
        <v>79689</v>
      </c>
      <c r="C632" s="3">
        <v>1032</v>
      </c>
      <c r="D632" s="1">
        <v>43430</v>
      </c>
      <c r="E632" t="str">
        <f>"15-1421"</f>
        <v>15-1421</v>
      </c>
      <c r="F632" t="str">
        <f>"ROAD BASE / PCT #3"</f>
        <v>ROAD BASE / PCT #3</v>
      </c>
      <c r="G632" s="2">
        <v>1032</v>
      </c>
      <c r="H632" t="str">
        <f>"ROAD BASE / PCT #3"</f>
        <v>ROAD BASE / PCT #3</v>
      </c>
    </row>
    <row r="633" spans="1:8" x14ac:dyDescent="0.25">
      <c r="A633" t="s">
        <v>183</v>
      </c>
      <c r="B633">
        <v>999999</v>
      </c>
      <c r="C633" s="3">
        <v>2091.5</v>
      </c>
      <c r="D633" s="1">
        <v>43418</v>
      </c>
      <c r="E633" t="str">
        <f>"1343416"</f>
        <v>1343416</v>
      </c>
      <c r="F633" t="str">
        <f>"INV 1343416"</f>
        <v>INV 1343416</v>
      </c>
      <c r="G633" s="2">
        <v>803.73</v>
      </c>
      <c r="H633" t="str">
        <f>"INV 1343416"</f>
        <v>INV 1343416</v>
      </c>
    </row>
    <row r="634" spans="1:8" x14ac:dyDescent="0.25">
      <c r="E634" t="str">
        <f>"1369393"</f>
        <v>1369393</v>
      </c>
      <c r="F634" t="str">
        <f>"INV 1369393"</f>
        <v>INV 1369393</v>
      </c>
      <c r="G634" s="2">
        <v>1287.77</v>
      </c>
      <c r="H634" t="str">
        <f>"INV 1369393"</f>
        <v>INV 1369393</v>
      </c>
    </row>
    <row r="635" spans="1:8" x14ac:dyDescent="0.25">
      <c r="A635" t="s">
        <v>184</v>
      </c>
      <c r="B635">
        <v>79467</v>
      </c>
      <c r="C635" s="3">
        <v>174</v>
      </c>
      <c r="D635" s="1">
        <v>43417</v>
      </c>
      <c r="E635" t="str">
        <f>"1165"</f>
        <v>1165</v>
      </c>
      <c r="F635" t="str">
        <f>"INV 1165"</f>
        <v>INV 1165</v>
      </c>
      <c r="G635" s="2">
        <v>174</v>
      </c>
      <c r="H635" t="str">
        <f>"INV 1165"</f>
        <v>INV 1165</v>
      </c>
    </row>
    <row r="636" spans="1:8" x14ac:dyDescent="0.25">
      <c r="A636" t="s">
        <v>185</v>
      </c>
      <c r="B636">
        <v>79690</v>
      </c>
      <c r="C636" s="3">
        <v>95.39</v>
      </c>
      <c r="D636" s="1">
        <v>43430</v>
      </c>
      <c r="E636" t="str">
        <f>"201811155161"</f>
        <v>201811155161</v>
      </c>
      <c r="F636" t="str">
        <f>"REIMBURSE-MEALS"</f>
        <v>REIMBURSE-MEALS</v>
      </c>
      <c r="G636" s="2">
        <v>95.39</v>
      </c>
      <c r="H636" t="str">
        <f>"REIMBURSE-MEALS"</f>
        <v>REIMBURSE-MEALS</v>
      </c>
    </row>
    <row r="637" spans="1:8" x14ac:dyDescent="0.25">
      <c r="A637" t="s">
        <v>186</v>
      </c>
      <c r="B637">
        <v>79691</v>
      </c>
      <c r="C637" s="3">
        <v>83.68</v>
      </c>
      <c r="D637" s="1">
        <v>43430</v>
      </c>
      <c r="E637" t="str">
        <f>"1070832"</f>
        <v>1070832</v>
      </c>
      <c r="F637" t="str">
        <f>"ACCT#B06875/BALLOTS/ELECTIONS"</f>
        <v>ACCT#B06875/BALLOTS/ELECTIONS</v>
      </c>
      <c r="G637" s="2">
        <v>83.68</v>
      </c>
      <c r="H637" t="str">
        <f>"ACCT#B06875/BALLOTS/ELECTIONS"</f>
        <v>ACCT#B06875/BALLOTS/ELECTIONS</v>
      </c>
    </row>
    <row r="638" spans="1:8" x14ac:dyDescent="0.25">
      <c r="A638" t="s">
        <v>187</v>
      </c>
      <c r="B638">
        <v>79468</v>
      </c>
      <c r="C638" s="3">
        <v>114.95</v>
      </c>
      <c r="D638" s="1">
        <v>43417</v>
      </c>
      <c r="E638" t="str">
        <f>"781532"</f>
        <v>781532</v>
      </c>
      <c r="F638" t="str">
        <f>"STATEMENT#11970/PCT#4"</f>
        <v>STATEMENT#11970/PCT#4</v>
      </c>
      <c r="G638" s="2">
        <v>114.95</v>
      </c>
      <c r="H638" t="str">
        <f>"STATEMENT#11970/PCT#4"</f>
        <v>STATEMENT#11970/PCT#4</v>
      </c>
    </row>
    <row r="639" spans="1:8" x14ac:dyDescent="0.25">
      <c r="A639" t="s">
        <v>188</v>
      </c>
      <c r="B639">
        <v>79384</v>
      </c>
      <c r="C639" s="3">
        <v>947.78</v>
      </c>
      <c r="D639" s="1">
        <v>43411</v>
      </c>
      <c r="E639" t="str">
        <f>"201811075001"</f>
        <v>201811075001</v>
      </c>
      <c r="F639" t="str">
        <f>"ACCT#007-0008410-002/10312018"</f>
        <v>ACCT#007-0008410-002/10312018</v>
      </c>
      <c r="G639" s="2">
        <v>127.53</v>
      </c>
      <c r="H639" t="str">
        <f>"ACCT#007-0008410-002/10312018"</f>
        <v>ACCT#007-0008410-002/10312018</v>
      </c>
    </row>
    <row r="640" spans="1:8" x14ac:dyDescent="0.25">
      <c r="E640" t="str">
        <f>"201811075002"</f>
        <v>201811075002</v>
      </c>
      <c r="F640" t="str">
        <f>"ACCT#007-0011501-000/10312018"</f>
        <v>ACCT#007-0011501-000/10312018</v>
      </c>
      <c r="G640" s="2">
        <v>107.08</v>
      </c>
      <c r="H640" t="str">
        <f>"ACCT#007-0011501-000/10312018"</f>
        <v>ACCT#007-0011501-000/10312018</v>
      </c>
    </row>
    <row r="641" spans="1:8" x14ac:dyDescent="0.25">
      <c r="E641" t="str">
        <f>"201811075003"</f>
        <v>201811075003</v>
      </c>
      <c r="F641" t="str">
        <f>"ACCT#007-0011510-000/10312018"</f>
        <v>ACCT#007-0011510-000/10312018</v>
      </c>
      <c r="G641" s="2">
        <v>235.91</v>
      </c>
      <c r="H641" t="str">
        <f>"ACCT#007-0011510-000/10312018"</f>
        <v>ACCT#007-0011510-000/10312018</v>
      </c>
    </row>
    <row r="642" spans="1:8" x14ac:dyDescent="0.25">
      <c r="E642" t="str">
        <f>"201811075004"</f>
        <v>201811075004</v>
      </c>
      <c r="F642" t="str">
        <f>"ACCT#007-0011530-000/10312018"</f>
        <v>ACCT#007-0011530-000/10312018</v>
      </c>
      <c r="G642" s="2">
        <v>97.4</v>
      </c>
      <c r="H642" t="str">
        <f>"ACCT#007-0011530-000/10312018"</f>
        <v>ACCT#007-0011530-000/10312018</v>
      </c>
    </row>
    <row r="643" spans="1:8" x14ac:dyDescent="0.25">
      <c r="E643" t="str">
        <f>"201811075005"</f>
        <v>201811075005</v>
      </c>
      <c r="F643" t="str">
        <f>"ACCT#007-0011534-001/10312018"</f>
        <v>ACCT#007-0011534-001/10312018</v>
      </c>
      <c r="G643" s="2">
        <v>156.88</v>
      </c>
      <c r="H643" t="str">
        <f>"ACCT#007-0011534-001/10312018"</f>
        <v>ACCT#007-0011534-001/10312018</v>
      </c>
    </row>
    <row r="644" spans="1:8" x14ac:dyDescent="0.25">
      <c r="E644" t="str">
        <f>"201811075006"</f>
        <v>201811075006</v>
      </c>
      <c r="F644" t="str">
        <f>"ACCT#007-0011535-000/10312018"</f>
        <v>ACCT#007-0011535-000/10312018</v>
      </c>
      <c r="G644" s="2">
        <v>111.49</v>
      </c>
      <c r="H644" t="str">
        <f>"ACCT#007-0011535-000/10312018"</f>
        <v>ACCT#007-0011535-000/10312018</v>
      </c>
    </row>
    <row r="645" spans="1:8" x14ac:dyDescent="0.25">
      <c r="E645" t="str">
        <f>"201811075007"</f>
        <v>201811075007</v>
      </c>
      <c r="F645" t="str">
        <f>"ACCT#007-0011544-001/10312018"</f>
        <v>ACCT#007-0011544-001/10312018</v>
      </c>
      <c r="G645" s="2">
        <v>111.49</v>
      </c>
      <c r="H645" t="str">
        <f>"ACCT#007-0011544-001/10312018"</f>
        <v>ACCT#007-0011544-001/10312018</v>
      </c>
    </row>
    <row r="646" spans="1:8" x14ac:dyDescent="0.25">
      <c r="A646" t="s">
        <v>189</v>
      </c>
      <c r="B646">
        <v>79469</v>
      </c>
      <c r="C646" s="3">
        <v>4176.76</v>
      </c>
      <c r="D646" s="1">
        <v>43417</v>
      </c>
      <c r="E646" t="str">
        <f>"145-22382-01"</f>
        <v>145-22382-01</v>
      </c>
      <c r="F646" t="str">
        <f>"LED bulbs and sockets"</f>
        <v>LED bulbs and sockets</v>
      </c>
      <c r="G646" s="2">
        <v>2917.5</v>
      </c>
      <c r="H646" t="str">
        <f>"LED15T848GC840D"</f>
        <v>LED15T848GC840D</v>
      </c>
    </row>
    <row r="647" spans="1:8" x14ac:dyDescent="0.25">
      <c r="E647" t="str">
        <f>""</f>
        <v/>
      </c>
      <c r="F647" t="str">
        <f>""</f>
        <v/>
      </c>
      <c r="H647" t="str">
        <f>"KTS0CKETT8UT4W"</f>
        <v>KTS0CKETT8UT4W</v>
      </c>
    </row>
    <row r="648" spans="1:8" x14ac:dyDescent="0.25">
      <c r="E648" t="str">
        <f>"145-22949-01"</f>
        <v>145-22949-01</v>
      </c>
      <c r="F648" t="str">
        <f>"ACCT#0888336/SIGN SHOP"</f>
        <v>ACCT#0888336/SIGN SHOP</v>
      </c>
      <c r="G648" s="2">
        <v>249.46</v>
      </c>
      <c r="H648" t="str">
        <f>"ACCT#0888336/SIGN SHOP"</f>
        <v>ACCT#0888336/SIGN SHOP</v>
      </c>
    </row>
    <row r="649" spans="1:8" x14ac:dyDescent="0.25">
      <c r="E649" t="str">
        <f>"145-22982-01"</f>
        <v>145-22982-01</v>
      </c>
      <c r="F649" t="str">
        <f>"ACCT#0888336/SIGN SHOP"</f>
        <v>ACCT#0888336/SIGN SHOP</v>
      </c>
      <c r="G649" s="2">
        <v>1009.8</v>
      </c>
      <c r="H649" t="str">
        <f>"ACCT#0888336/SIGN SHOP"</f>
        <v>ACCT#0888336/SIGN SHOP</v>
      </c>
    </row>
    <row r="650" spans="1:8" x14ac:dyDescent="0.25">
      <c r="A650" t="s">
        <v>189</v>
      </c>
      <c r="B650">
        <v>79692</v>
      </c>
      <c r="C650" s="3">
        <v>269.77</v>
      </c>
      <c r="D650" s="1">
        <v>43430</v>
      </c>
      <c r="E650" t="str">
        <f>"145-23079-01"</f>
        <v>145-23079-01</v>
      </c>
      <c r="F650" t="str">
        <f>"ACCT#0888336/DIST CT"</f>
        <v>ACCT#0888336/DIST CT</v>
      </c>
      <c r="G650" s="2">
        <v>269.77</v>
      </c>
      <c r="H650" t="str">
        <f>"ACCT#0888336/DIST CT"</f>
        <v>ACCT#0888336/DIST CT</v>
      </c>
    </row>
    <row r="651" spans="1:8" x14ac:dyDescent="0.25">
      <c r="A651" t="s">
        <v>190</v>
      </c>
      <c r="B651">
        <v>79693</v>
      </c>
      <c r="C651" s="3">
        <v>90</v>
      </c>
      <c r="D651" s="1">
        <v>43430</v>
      </c>
      <c r="E651" t="str">
        <f>"12722"</f>
        <v>12722</v>
      </c>
      <c r="F651" t="str">
        <f>"SERVICE"</f>
        <v>SERVICE</v>
      </c>
      <c r="G651" s="2">
        <v>90</v>
      </c>
      <c r="H651" t="str">
        <f>"SERVICE"</f>
        <v>SERVICE</v>
      </c>
    </row>
    <row r="652" spans="1:8" x14ac:dyDescent="0.25">
      <c r="A652" t="s">
        <v>191</v>
      </c>
      <c r="B652">
        <v>79470</v>
      </c>
      <c r="C652" s="3">
        <v>588.41999999999996</v>
      </c>
      <c r="D652" s="1">
        <v>43417</v>
      </c>
      <c r="E652" t="str">
        <f>"201811074947"</f>
        <v>201811074947</v>
      </c>
      <c r="F652" t="str">
        <f>"LODGING"</f>
        <v>LODGING</v>
      </c>
      <c r="G652" s="2">
        <v>588.41999999999996</v>
      </c>
      <c r="H652" t="str">
        <f>"LODGING"</f>
        <v>LODGING</v>
      </c>
    </row>
    <row r="653" spans="1:8" x14ac:dyDescent="0.25">
      <c r="A653" t="s">
        <v>192</v>
      </c>
      <c r="B653">
        <v>79471</v>
      </c>
      <c r="C653" s="3">
        <v>17854.93</v>
      </c>
      <c r="D653" s="1">
        <v>43417</v>
      </c>
      <c r="E653" t="str">
        <f>"93539496"</f>
        <v>93539496</v>
      </c>
      <c r="F653" t="str">
        <f>"Annual Licensing"</f>
        <v>Annual Licensing</v>
      </c>
      <c r="G653" s="2">
        <v>17854.93</v>
      </c>
      <c r="H653" t="str">
        <f>"102583"</f>
        <v>102583</v>
      </c>
    </row>
    <row r="654" spans="1:8" x14ac:dyDescent="0.25">
      <c r="E654" t="str">
        <f>""</f>
        <v/>
      </c>
      <c r="F654" t="str">
        <f>""</f>
        <v/>
      </c>
      <c r="H654" t="str">
        <f>"99047"</f>
        <v>99047</v>
      </c>
    </row>
    <row r="655" spans="1:8" x14ac:dyDescent="0.25">
      <c r="E655" t="str">
        <f>""</f>
        <v/>
      </c>
      <c r="F655" t="str">
        <f>""</f>
        <v/>
      </c>
      <c r="H655" t="str">
        <f>"111290"</f>
        <v>111290</v>
      </c>
    </row>
    <row r="656" spans="1:8" x14ac:dyDescent="0.25">
      <c r="A656" t="s">
        <v>193</v>
      </c>
      <c r="B656">
        <v>79472</v>
      </c>
      <c r="C656" s="3">
        <v>5988.65</v>
      </c>
      <c r="D656" s="1">
        <v>43417</v>
      </c>
      <c r="E656" t="str">
        <f>"9401942646"</f>
        <v>9401942646</v>
      </c>
      <c r="F656" t="str">
        <f>"ACCT#912922/DEMURRAGE/PCT#1"</f>
        <v>ACCT#912922/DEMURRAGE/PCT#1</v>
      </c>
      <c r="G656" s="2">
        <v>196</v>
      </c>
      <c r="H656" t="str">
        <f>"ACCT#912922/DEMURRAGE/PCT#1"</f>
        <v>ACCT#912922/DEMURRAGE/PCT#1</v>
      </c>
    </row>
    <row r="657" spans="1:8" x14ac:dyDescent="0.25">
      <c r="E657" t="str">
        <f>"9401945175"</f>
        <v>9401945175</v>
      </c>
      <c r="F657" t="str">
        <f>"ACCT#912922/BOL#23592/PCT#1"</f>
        <v>ACCT#912922/BOL#23592/PCT#1</v>
      </c>
      <c r="G657" s="2">
        <v>1995.77</v>
      </c>
      <c r="H657" t="str">
        <f>"ACCT#912922/BOL#23592/PCT#1"</f>
        <v>ACCT#912922/BOL#23592/PCT#1</v>
      </c>
    </row>
    <row r="658" spans="1:8" x14ac:dyDescent="0.25">
      <c r="E658" t="str">
        <f>"9401949262"</f>
        <v>9401949262</v>
      </c>
      <c r="F658" t="str">
        <f>"ACCT#912922/BOL#23619/PCT#1"</f>
        <v>ACCT#912922/BOL#23619/PCT#1</v>
      </c>
      <c r="G658" s="2">
        <v>3796.88</v>
      </c>
      <c r="H658" t="str">
        <f>"ACCT#912922/BOL#23619/PCT#1"</f>
        <v>ACCT#912922/BOL#23619/PCT#1</v>
      </c>
    </row>
    <row r="659" spans="1:8" x14ac:dyDescent="0.25">
      <c r="A659" t="s">
        <v>194</v>
      </c>
      <c r="B659">
        <v>999999</v>
      </c>
      <c r="C659" s="3">
        <v>899.24</v>
      </c>
      <c r="D659" s="1">
        <v>43418</v>
      </c>
      <c r="E659" t="str">
        <f>"3420054"</f>
        <v>3420054</v>
      </c>
      <c r="F659" t="str">
        <f>"ACCT#00405/PCT#2"</f>
        <v>ACCT#00405/PCT#2</v>
      </c>
      <c r="G659" s="2">
        <v>215</v>
      </c>
      <c r="H659" t="str">
        <f>"ACCT#00405/PCT#2"</f>
        <v>ACCT#00405/PCT#2</v>
      </c>
    </row>
    <row r="660" spans="1:8" x14ac:dyDescent="0.25">
      <c r="E660" t="str">
        <f>"3420060"</f>
        <v>3420060</v>
      </c>
      <c r="F660" t="str">
        <f>"ACCT#00405/PCT#3"</f>
        <v>ACCT#00405/PCT#3</v>
      </c>
      <c r="G660" s="2">
        <v>578</v>
      </c>
      <c r="H660" t="str">
        <f>"ACCT#00405/PCT#3"</f>
        <v>ACCT#00405/PCT#3</v>
      </c>
    </row>
    <row r="661" spans="1:8" x14ac:dyDescent="0.25">
      <c r="E661" t="str">
        <f>"3420065"</f>
        <v>3420065</v>
      </c>
      <c r="F661" t="str">
        <f>"ACCT#00405/PCT#1"</f>
        <v>ACCT#00405/PCT#1</v>
      </c>
      <c r="G661" s="2">
        <v>106.24</v>
      </c>
      <c r="H661" t="str">
        <f>"ACCT#00405/PCT#1"</f>
        <v>ACCT#00405/PCT#1</v>
      </c>
    </row>
    <row r="662" spans="1:8" x14ac:dyDescent="0.25">
      <c r="A662" t="s">
        <v>195</v>
      </c>
      <c r="B662">
        <v>79473</v>
      </c>
      <c r="C662" s="3">
        <v>19006.169999999998</v>
      </c>
      <c r="D662" s="1">
        <v>43417</v>
      </c>
      <c r="E662" t="str">
        <f>"201810254658"</f>
        <v>201810254658</v>
      </c>
      <c r="F662" t="str">
        <f>"PER FY2019 BUDGET"</f>
        <v>PER FY2019 BUDGET</v>
      </c>
      <c r="G662" s="2">
        <v>11000</v>
      </c>
      <c r="H662" t="str">
        <f>"PER FY2019 BUDGET"</f>
        <v>PER FY2019 BUDGET</v>
      </c>
    </row>
    <row r="663" spans="1:8" x14ac:dyDescent="0.25">
      <c r="E663" t="str">
        <f>"201811064929"</f>
        <v>201811064929</v>
      </c>
      <c r="F663" t="str">
        <f>"GRANT REIMBURSEMENT"</f>
        <v>GRANT REIMBURSEMENT</v>
      </c>
      <c r="G663" s="2">
        <v>8006.17</v>
      </c>
      <c r="H663" t="str">
        <f>"GRANT REIMBURSEMENT"</f>
        <v>GRANT REIMBURSEMENT</v>
      </c>
    </row>
    <row r="664" spans="1:8" x14ac:dyDescent="0.25">
      <c r="A664" t="s">
        <v>196</v>
      </c>
      <c r="B664">
        <v>79474</v>
      </c>
      <c r="C664" s="3">
        <v>143.80000000000001</v>
      </c>
      <c r="D664" s="1">
        <v>43417</v>
      </c>
      <c r="E664" t="str">
        <f>"201811074975"</f>
        <v>201811074975</v>
      </c>
      <c r="F664" t="str">
        <f>"INDIGENT HEALTH"</f>
        <v>INDIGENT HEALTH</v>
      </c>
      <c r="G664" s="2">
        <v>97.07</v>
      </c>
      <c r="H664" t="str">
        <f>"INDIGENT HEALTH"</f>
        <v>INDIGENT HEALTH</v>
      </c>
    </row>
    <row r="665" spans="1:8" x14ac:dyDescent="0.25">
      <c r="E665" t="str">
        <f>""</f>
        <v/>
      </c>
      <c r="F665" t="str">
        <f>""</f>
        <v/>
      </c>
      <c r="H665" t="str">
        <f>"INDIGENT HEALTH"</f>
        <v>INDIGENT HEALTH</v>
      </c>
    </row>
    <row r="666" spans="1:8" x14ac:dyDescent="0.25">
      <c r="E666" t="str">
        <f>"201811074976"</f>
        <v>201811074976</v>
      </c>
      <c r="F666" t="str">
        <f>"INDIGENT HEALTH"</f>
        <v>INDIGENT HEALTH</v>
      </c>
      <c r="G666" s="2">
        <v>46.73</v>
      </c>
      <c r="H666" t="str">
        <f>"INDIGENT HEALTH"</f>
        <v>INDIGENT HEALTH</v>
      </c>
    </row>
    <row r="667" spans="1:8" x14ac:dyDescent="0.25">
      <c r="A667" t="s">
        <v>196</v>
      </c>
      <c r="B667">
        <v>79694</v>
      </c>
      <c r="C667" s="3">
        <v>98.25</v>
      </c>
      <c r="D667" s="1">
        <v>43430</v>
      </c>
      <c r="E667" t="str">
        <f>"201811155232"</f>
        <v>201811155232</v>
      </c>
      <c r="F667" t="str">
        <f>"INDIGENT HEALTH"</f>
        <v>INDIGENT HEALTH</v>
      </c>
      <c r="G667" s="2">
        <v>98.25</v>
      </c>
      <c r="H667" t="str">
        <f>"INDIGENT HEALTH"</f>
        <v>INDIGENT HEALTH</v>
      </c>
    </row>
    <row r="668" spans="1:8" x14ac:dyDescent="0.25">
      <c r="E668" t="str">
        <f>""</f>
        <v/>
      </c>
      <c r="F668" t="str">
        <f>""</f>
        <v/>
      </c>
      <c r="H668" t="str">
        <f>"INDIGENT HEALTH"</f>
        <v>INDIGENT HEALTH</v>
      </c>
    </row>
    <row r="669" spans="1:8" x14ac:dyDescent="0.25">
      <c r="A669" t="s">
        <v>197</v>
      </c>
      <c r="B669">
        <v>79475</v>
      </c>
      <c r="C669" s="3">
        <v>650</v>
      </c>
      <c r="D669" s="1">
        <v>43417</v>
      </c>
      <c r="E669" t="str">
        <f>"201811074949"</f>
        <v>201811074949</v>
      </c>
      <c r="F669" t="str">
        <f>"TRAINING"</f>
        <v>TRAINING</v>
      </c>
      <c r="G669" s="2">
        <v>650</v>
      </c>
      <c r="H669" t="str">
        <f>"TRAINING"</f>
        <v>TRAINING</v>
      </c>
    </row>
    <row r="670" spans="1:8" x14ac:dyDescent="0.25">
      <c r="A670" t="s">
        <v>198</v>
      </c>
      <c r="B670">
        <v>79476</v>
      </c>
      <c r="C670" s="3">
        <v>106.06</v>
      </c>
      <c r="D670" s="1">
        <v>43417</v>
      </c>
      <c r="E670" t="str">
        <f>"6-335-16626"</f>
        <v>6-335-16626</v>
      </c>
      <c r="F670" t="str">
        <f>"ACCT#4702-9210-5"</f>
        <v>ACCT#4702-9210-5</v>
      </c>
      <c r="G670" s="2">
        <v>106.06</v>
      </c>
      <c r="H670" t="str">
        <f>"ACCT#4702-9210-5"</f>
        <v>ACCT#4702-9210-5</v>
      </c>
    </row>
    <row r="671" spans="1:8" x14ac:dyDescent="0.25">
      <c r="A671" t="s">
        <v>199</v>
      </c>
      <c r="B671">
        <v>79477</v>
      </c>
      <c r="C671" s="3">
        <v>20.69</v>
      </c>
      <c r="D671" s="1">
        <v>43417</v>
      </c>
      <c r="E671" t="str">
        <f>"6-342-10382"</f>
        <v>6-342-10382</v>
      </c>
      <c r="F671" t="str">
        <f>"INV 6-342-10382"</f>
        <v>INV 6-342-10382</v>
      </c>
      <c r="G671" s="2">
        <v>20.69</v>
      </c>
      <c r="H671" t="str">
        <f>"INV 6-342-10382"</f>
        <v>INV 6-342-10382</v>
      </c>
    </row>
    <row r="672" spans="1:8" x14ac:dyDescent="0.25">
      <c r="A672" t="s">
        <v>200</v>
      </c>
      <c r="B672">
        <v>79478</v>
      </c>
      <c r="C672" s="3">
        <v>79.41</v>
      </c>
      <c r="D672" s="1">
        <v>43417</v>
      </c>
      <c r="E672" t="str">
        <f>"85841"</f>
        <v>85841</v>
      </c>
      <c r="F672" t="str">
        <f>"INV 85841"</f>
        <v>INV 85841</v>
      </c>
      <c r="G672" s="2">
        <v>79.41</v>
      </c>
      <c r="H672" t="str">
        <f>"INV 85841"</f>
        <v>INV 85841</v>
      </c>
    </row>
    <row r="673" spans="1:9" x14ac:dyDescent="0.25">
      <c r="A673" t="s">
        <v>201</v>
      </c>
      <c r="B673">
        <v>79479</v>
      </c>
      <c r="C673" s="3">
        <v>75.150000000000006</v>
      </c>
      <c r="D673" s="1">
        <v>43417</v>
      </c>
      <c r="E673" t="str">
        <f>"10798357"</f>
        <v>10798357</v>
      </c>
      <c r="F673" t="str">
        <f>"ACCT#80975-001/PCT#2"</f>
        <v>ACCT#80975-001/PCT#2</v>
      </c>
      <c r="G673" s="2">
        <v>75.150000000000006</v>
      </c>
      <c r="H673" t="str">
        <f>"ACCT#80975-001/PCT#2"</f>
        <v>ACCT#80975-001/PCT#2</v>
      </c>
    </row>
    <row r="674" spans="1:9" x14ac:dyDescent="0.25">
      <c r="A674" t="s">
        <v>202</v>
      </c>
      <c r="B674">
        <v>79695</v>
      </c>
      <c r="C674" s="3">
        <v>50</v>
      </c>
      <c r="D674" s="1">
        <v>43430</v>
      </c>
      <c r="E674" t="s">
        <v>46</v>
      </c>
      <c r="F674" t="s">
        <v>203</v>
      </c>
      <c r="G674" s="2" t="str">
        <f>"RESTITUTION-D. CORKILL"</f>
        <v>RESTITUTION-D. CORKILL</v>
      </c>
      <c r="H674" t="str">
        <f>"210-0000"</f>
        <v>210-0000</v>
      </c>
      <c r="I674" t="str">
        <f>""</f>
        <v/>
      </c>
    </row>
    <row r="675" spans="1:9" x14ac:dyDescent="0.25">
      <c r="A675" t="s">
        <v>204</v>
      </c>
      <c r="B675">
        <v>999999</v>
      </c>
      <c r="C675" s="3">
        <v>500</v>
      </c>
      <c r="D675" s="1">
        <v>43418</v>
      </c>
      <c r="E675" t="str">
        <f>"201811064919"</f>
        <v>201811064919</v>
      </c>
      <c r="F675" t="str">
        <f>"56 290"</f>
        <v>56 290</v>
      </c>
      <c r="G675" s="2">
        <v>250</v>
      </c>
      <c r="H675" t="str">
        <f>"56 290"</f>
        <v>56 290</v>
      </c>
    </row>
    <row r="676" spans="1:9" x14ac:dyDescent="0.25">
      <c r="E676" t="str">
        <f>"201811064920"</f>
        <v>201811064920</v>
      </c>
      <c r="F676" t="str">
        <f>"55 849"</f>
        <v>55 849</v>
      </c>
      <c r="G676" s="2">
        <v>250</v>
      </c>
      <c r="H676" t="str">
        <f>"55 849"</f>
        <v>55 849</v>
      </c>
    </row>
    <row r="677" spans="1:9" x14ac:dyDescent="0.25">
      <c r="A677" t="s">
        <v>204</v>
      </c>
      <c r="B677">
        <v>999999</v>
      </c>
      <c r="C677" s="3">
        <v>650</v>
      </c>
      <c r="D677" s="1">
        <v>43431</v>
      </c>
      <c r="E677" t="str">
        <f>"201811155184"</f>
        <v>201811155184</v>
      </c>
      <c r="F677" t="str">
        <f>"16 528"</f>
        <v>16 528</v>
      </c>
      <c r="G677" s="2">
        <v>400</v>
      </c>
      <c r="H677" t="str">
        <f>"16 528"</f>
        <v>16 528</v>
      </c>
    </row>
    <row r="678" spans="1:9" x14ac:dyDescent="0.25">
      <c r="E678" t="str">
        <f>"201811155205"</f>
        <v>201811155205</v>
      </c>
      <c r="F678" t="str">
        <f>"56 588"</f>
        <v>56 588</v>
      </c>
      <c r="G678" s="2">
        <v>250</v>
      </c>
      <c r="H678" t="str">
        <f>"56 588"</f>
        <v>56 588</v>
      </c>
    </row>
    <row r="679" spans="1:9" x14ac:dyDescent="0.25">
      <c r="A679" t="s">
        <v>205</v>
      </c>
      <c r="B679">
        <v>79480</v>
      </c>
      <c r="C679" s="3">
        <v>184.75</v>
      </c>
      <c r="D679" s="1">
        <v>43417</v>
      </c>
      <c r="E679" t="str">
        <f>"201811054837"</f>
        <v>201811054837</v>
      </c>
      <c r="F679" t="str">
        <f>"MILEAGE REIMBURSEMENT"</f>
        <v>MILEAGE REIMBURSEMENT</v>
      </c>
      <c r="G679" s="2">
        <v>184.75</v>
      </c>
      <c r="H679" t="str">
        <f>"MILEAGE REIMBURSEMENT"</f>
        <v>MILEAGE REIMBURSEMENT</v>
      </c>
    </row>
    <row r="680" spans="1:9" x14ac:dyDescent="0.25">
      <c r="A680" t="s">
        <v>206</v>
      </c>
      <c r="B680">
        <v>999999</v>
      </c>
      <c r="C680" s="3">
        <v>514.9</v>
      </c>
      <c r="D680" s="1">
        <v>43418</v>
      </c>
      <c r="E680" t="str">
        <f>"AP383737"</f>
        <v>AP383737</v>
      </c>
      <c r="F680" t="str">
        <f>"ACCT#3325/PCT#2"</f>
        <v>ACCT#3325/PCT#2</v>
      </c>
      <c r="G680" s="2">
        <v>514.9</v>
      </c>
      <c r="H680" t="str">
        <f>"ACCT#3325/PCT#2"</f>
        <v>ACCT#3325/PCT#2</v>
      </c>
    </row>
    <row r="681" spans="1:9" x14ac:dyDescent="0.25">
      <c r="A681" t="s">
        <v>206</v>
      </c>
      <c r="B681">
        <v>999999</v>
      </c>
      <c r="C681" s="3">
        <v>275.83</v>
      </c>
      <c r="D681" s="1">
        <v>43431</v>
      </c>
      <c r="E681" t="str">
        <f>"AP385361"</f>
        <v>AP385361</v>
      </c>
      <c r="F681" t="str">
        <f>"CUST #3324 / PRECINCT #3"</f>
        <v>CUST #3324 / PRECINCT #3</v>
      </c>
      <c r="G681" s="2">
        <v>26.1</v>
      </c>
      <c r="H681" t="str">
        <f>"CUST #3324 / PRECINCT #3"</f>
        <v>CUST #3324 / PRECINCT #3</v>
      </c>
    </row>
    <row r="682" spans="1:9" x14ac:dyDescent="0.25">
      <c r="E682" t="str">
        <f>"AP385379"</f>
        <v>AP385379</v>
      </c>
      <c r="F682" t="str">
        <f>"CUST #3324 / PRECINCT #3"</f>
        <v>CUST #3324 / PRECINCT #3</v>
      </c>
      <c r="G682" s="2">
        <v>113.57</v>
      </c>
      <c r="H682" t="str">
        <f>"CUST #3324 / PRECINCT #3"</f>
        <v>CUST #3324 / PRECINCT #3</v>
      </c>
    </row>
    <row r="683" spans="1:9" x14ac:dyDescent="0.25">
      <c r="E683" t="str">
        <f>"AP385630"</f>
        <v>AP385630</v>
      </c>
      <c r="F683" t="str">
        <f>"ACCT#3326/PCT#4"</f>
        <v>ACCT#3326/PCT#4</v>
      </c>
      <c r="G683" s="2">
        <v>136.16</v>
      </c>
      <c r="H683" t="str">
        <f>"ACCT#3326/PCT#4"</f>
        <v>ACCT#3326/PCT#4</v>
      </c>
    </row>
    <row r="684" spans="1:9" x14ac:dyDescent="0.25">
      <c r="A684" t="s">
        <v>207</v>
      </c>
      <c r="B684">
        <v>999999</v>
      </c>
      <c r="C684" s="3">
        <v>100</v>
      </c>
      <c r="D684" s="1">
        <v>43418</v>
      </c>
      <c r="E684" t="str">
        <f>"106986"</f>
        <v>106986</v>
      </c>
      <c r="F684" t="str">
        <f>"INV GC 106986"</f>
        <v>INV GC 106986</v>
      </c>
      <c r="G684" s="2">
        <v>100</v>
      </c>
      <c r="H684" t="str">
        <f>"INV GC 106986"</f>
        <v>INV GC 106986</v>
      </c>
    </row>
    <row r="685" spans="1:9" x14ac:dyDescent="0.25">
      <c r="A685" t="s">
        <v>207</v>
      </c>
      <c r="B685">
        <v>999999</v>
      </c>
      <c r="C685" s="3">
        <v>516.75</v>
      </c>
      <c r="D685" s="1">
        <v>43431</v>
      </c>
      <c r="E685" t="str">
        <f>"107038"</f>
        <v>107038</v>
      </c>
      <c r="F685" t="str">
        <f>"WINDOW/REGULAR ENVELOPES"</f>
        <v>WINDOW/REGULAR ENVELOPES</v>
      </c>
      <c r="G685" s="2">
        <v>200.64</v>
      </c>
      <c r="H685" t="str">
        <f>"WINDOW/REGULAR ENVELOPES"</f>
        <v>WINDOW/REGULAR ENVELOPES</v>
      </c>
    </row>
    <row r="686" spans="1:9" x14ac:dyDescent="0.25">
      <c r="E686" t="str">
        <f>"107061"</f>
        <v>107061</v>
      </c>
      <c r="F686" t="str">
        <f>"PAPER SUPPLIES-EXTENSION OFFIC"</f>
        <v>PAPER SUPPLIES-EXTENSION OFFIC</v>
      </c>
      <c r="G686" s="2">
        <v>223.95</v>
      </c>
      <c r="H686" t="str">
        <f>"PAPER SUPPLIES-EXTENSION OFFIC"</f>
        <v>PAPER SUPPLIES-EXTENSION OFFIC</v>
      </c>
    </row>
    <row r="687" spans="1:9" x14ac:dyDescent="0.25">
      <c r="E687" t="str">
        <f>"107067"</f>
        <v>107067</v>
      </c>
      <c r="F687" t="str">
        <f>"BUSINESS CARDS/ENVIRON &amp; SANIT"</f>
        <v>BUSINESS CARDS/ENVIRON &amp; SANIT</v>
      </c>
      <c r="G687" s="2">
        <v>92.16</v>
      </c>
      <c r="H687" t="str">
        <f>"BUSINESS CARDS/ENVIRON &amp; SANIT"</f>
        <v>BUSINESS CARDS/ENVIRON &amp; SANIT</v>
      </c>
    </row>
    <row r="688" spans="1:9" x14ac:dyDescent="0.25">
      <c r="A688" t="s">
        <v>208</v>
      </c>
      <c r="B688">
        <v>79696</v>
      </c>
      <c r="C688" s="3">
        <v>48.95</v>
      </c>
      <c r="D688" s="1">
        <v>43430</v>
      </c>
      <c r="E688" t="str">
        <f>"201811155247"</f>
        <v>201811155247</v>
      </c>
      <c r="F688" t="str">
        <f>"STATEMENT 06302018"</f>
        <v>STATEMENT 06302018</v>
      </c>
      <c r="G688" s="2">
        <v>48.95</v>
      </c>
      <c r="H688" t="str">
        <f>"STATEMENT 06302018"</f>
        <v>STATEMENT 06302018</v>
      </c>
    </row>
    <row r="689" spans="1:8" x14ac:dyDescent="0.25">
      <c r="A689" t="s">
        <v>209</v>
      </c>
      <c r="B689">
        <v>79697</v>
      </c>
      <c r="C689" s="3">
        <v>140</v>
      </c>
      <c r="D689" s="1">
        <v>43430</v>
      </c>
      <c r="E689" t="str">
        <f>"12684"</f>
        <v>12684</v>
      </c>
      <c r="F689" t="str">
        <f>"SERVICE"</f>
        <v>SERVICE</v>
      </c>
      <c r="G689" s="2">
        <v>140</v>
      </c>
      <c r="H689" t="str">
        <f>"SERVICE"</f>
        <v>SERVICE</v>
      </c>
    </row>
    <row r="690" spans="1:8" x14ac:dyDescent="0.25">
      <c r="A690" t="s">
        <v>210</v>
      </c>
      <c r="B690">
        <v>999999</v>
      </c>
      <c r="C690" s="3">
        <v>505.1</v>
      </c>
      <c r="D690" s="1">
        <v>43418</v>
      </c>
      <c r="E690" t="str">
        <f>"N54957"</f>
        <v>N54957</v>
      </c>
      <c r="F690" t="str">
        <f>"INV N54957"</f>
        <v>INV N54957</v>
      </c>
      <c r="G690" s="2">
        <v>411.53</v>
      </c>
      <c r="H690" t="str">
        <f>"INV N54957"</f>
        <v>INV N54957</v>
      </c>
    </row>
    <row r="691" spans="1:8" x14ac:dyDescent="0.25">
      <c r="E691" t="str">
        <f>"N55170"</f>
        <v>N55170</v>
      </c>
      <c r="F691" t="str">
        <f>"INV N55170"</f>
        <v>INV N55170</v>
      </c>
      <c r="G691" s="2">
        <v>93.57</v>
      </c>
      <c r="H691" t="str">
        <f>"INV N55170"</f>
        <v>INV N55170</v>
      </c>
    </row>
    <row r="692" spans="1:8" x14ac:dyDescent="0.25">
      <c r="A692" t="s">
        <v>211</v>
      </c>
      <c r="B692">
        <v>79481</v>
      </c>
      <c r="C692" s="3">
        <v>150</v>
      </c>
      <c r="D692" s="1">
        <v>43417</v>
      </c>
      <c r="E692" t="str">
        <f>"2019-003"</f>
        <v>2019-003</v>
      </c>
      <c r="F692" t="str">
        <f>"MBRSHIP#510-JACQUELINE LUCERO"</f>
        <v>MBRSHIP#510-JACQUELINE LUCERO</v>
      </c>
      <c r="G692" s="2">
        <v>50</v>
      </c>
      <c r="H692" t="str">
        <f>"MBRSHIP#510-JACQUELINE LUCERO"</f>
        <v>MBRSHIP#510-JACQUELINE LUCERO</v>
      </c>
    </row>
    <row r="693" spans="1:8" x14ac:dyDescent="0.25">
      <c r="E693" t="str">
        <f>"2019-004"</f>
        <v>2019-004</v>
      </c>
      <c r="F693" t="str">
        <f>"MEMBERSHIP#533-MARIDEL BORREGO"</f>
        <v>MEMBERSHIP#533-MARIDEL BORREGO</v>
      </c>
      <c r="G693" s="2">
        <v>50</v>
      </c>
      <c r="H693" t="str">
        <f>"MEMBERSHIP#533-MARIDEL BORREGO"</f>
        <v>MEMBERSHIP#533-MARIDEL BORREGO</v>
      </c>
    </row>
    <row r="694" spans="1:8" x14ac:dyDescent="0.25">
      <c r="E694" t="str">
        <f>"2019-005"</f>
        <v>2019-005</v>
      </c>
      <c r="F694" t="str">
        <f>"MEMBERSHIP#511-LAURIE INGRAM"</f>
        <v>MEMBERSHIP#511-LAURIE INGRAM</v>
      </c>
      <c r="G694" s="2">
        <v>50</v>
      </c>
      <c r="H694" t="str">
        <f>"MEMBERSHIP#511-LAURIE INGRAM"</f>
        <v>MEMBERSHIP#511-LAURIE INGRAM</v>
      </c>
    </row>
    <row r="695" spans="1:8" x14ac:dyDescent="0.25">
      <c r="A695" t="s">
        <v>212</v>
      </c>
      <c r="B695">
        <v>79482</v>
      </c>
      <c r="C695" s="3">
        <v>1380</v>
      </c>
      <c r="D695" s="1">
        <v>43417</v>
      </c>
      <c r="E695" t="str">
        <f>"625-106313"</f>
        <v>625-106313</v>
      </c>
      <c r="F695" t="str">
        <f>"CUST#535538/ORD#109781/PCT#2"</f>
        <v>CUST#535538/ORD#109781/PCT#2</v>
      </c>
      <c r="G695" s="2">
        <v>1380</v>
      </c>
      <c r="H695" t="str">
        <f>"CUST#535538/ORD#109781/PCT#2"</f>
        <v>CUST#535538/ORD#109781/PCT#2</v>
      </c>
    </row>
    <row r="696" spans="1:8" x14ac:dyDescent="0.25">
      <c r="A696" t="s">
        <v>213</v>
      </c>
      <c r="B696">
        <v>999999</v>
      </c>
      <c r="C696" s="3">
        <v>900</v>
      </c>
      <c r="D696" s="1">
        <v>43431</v>
      </c>
      <c r="E696" t="str">
        <f>"201811155138"</f>
        <v>201811155138</v>
      </c>
      <c r="F696" t="str">
        <f>"16323"</f>
        <v>16323</v>
      </c>
      <c r="G696" s="2">
        <v>600</v>
      </c>
      <c r="H696" t="str">
        <f>"16323"</f>
        <v>16323</v>
      </c>
    </row>
    <row r="697" spans="1:8" x14ac:dyDescent="0.25">
      <c r="E697" t="str">
        <f>"201811155185"</f>
        <v>201811155185</v>
      </c>
      <c r="F697" t="str">
        <f>"16323"</f>
        <v>16323</v>
      </c>
      <c r="G697" s="2">
        <v>300</v>
      </c>
      <c r="H697" t="str">
        <f>"16323"</f>
        <v>16323</v>
      </c>
    </row>
    <row r="698" spans="1:8" x14ac:dyDescent="0.25">
      <c r="A698" t="s">
        <v>214</v>
      </c>
      <c r="B698">
        <v>79698</v>
      </c>
      <c r="C698" s="3">
        <v>65</v>
      </c>
      <c r="D698" s="1">
        <v>43430</v>
      </c>
      <c r="E698" t="str">
        <f>"12722"</f>
        <v>12722</v>
      </c>
      <c r="F698" t="str">
        <f>"SERVICE"</f>
        <v>SERVICE</v>
      </c>
      <c r="G698" s="2">
        <v>65</v>
      </c>
      <c r="H698" t="str">
        <f>"SERVICE"</f>
        <v>SERVICE</v>
      </c>
    </row>
    <row r="699" spans="1:8" x14ac:dyDescent="0.25">
      <c r="A699" t="s">
        <v>215</v>
      </c>
      <c r="B699">
        <v>79483</v>
      </c>
      <c r="C699" s="3">
        <v>750</v>
      </c>
      <c r="D699" s="1">
        <v>43417</v>
      </c>
      <c r="E699" t="str">
        <f>"1042"</f>
        <v>1042</v>
      </c>
      <c r="F699" t="str">
        <f>"TRANSPORT-HWY 95"</f>
        <v>TRANSPORT-HWY 95</v>
      </c>
      <c r="G699" s="2">
        <v>750</v>
      </c>
      <c r="H699" t="str">
        <f>"TRANSPORT-HWY 95"</f>
        <v>TRANSPORT-HWY 95</v>
      </c>
    </row>
    <row r="700" spans="1:8" x14ac:dyDescent="0.25">
      <c r="A700" t="s">
        <v>216</v>
      </c>
      <c r="B700">
        <v>79484</v>
      </c>
      <c r="C700" s="3">
        <v>151.58000000000001</v>
      </c>
      <c r="D700" s="1">
        <v>43417</v>
      </c>
      <c r="E700" t="str">
        <f>"9948357000"</f>
        <v>9948357000</v>
      </c>
      <c r="F700" t="str">
        <f>"ACCT#814780730/ANNEX/GEN SVCS"</f>
        <v>ACCT#814780730/ANNEX/GEN SVCS</v>
      </c>
      <c r="G700" s="2">
        <v>151.58000000000001</v>
      </c>
      <c r="H700" t="str">
        <f>"ACCT#814780730/ANNEX/GEN SVCS"</f>
        <v>ACCT#814780730/ANNEX/GEN SVCS</v>
      </c>
    </row>
    <row r="701" spans="1:8" x14ac:dyDescent="0.25">
      <c r="A701" t="s">
        <v>217</v>
      </c>
      <c r="B701">
        <v>79485</v>
      </c>
      <c r="C701" s="3">
        <v>133.91999999999999</v>
      </c>
      <c r="D701" s="1">
        <v>43417</v>
      </c>
      <c r="E701" t="str">
        <f>"I00428707-10112018"</f>
        <v>I00428707-10112018</v>
      </c>
      <c r="F701" t="str">
        <f>"GRAND JUNCTION NEWSPAPERS"</f>
        <v>GRAND JUNCTION NEWSPAPERS</v>
      </c>
      <c r="G701" s="2">
        <v>133.91999999999999</v>
      </c>
      <c r="H701" t="str">
        <f>"Bastrop Advertiser"</f>
        <v>Bastrop Advertiser</v>
      </c>
    </row>
    <row r="702" spans="1:8" x14ac:dyDescent="0.25">
      <c r="E702" t="str">
        <f>""</f>
        <v/>
      </c>
      <c r="F702" t="str">
        <f>""</f>
        <v/>
      </c>
      <c r="H702" t="str">
        <f>"Smithville Times"</f>
        <v>Smithville Times</v>
      </c>
    </row>
    <row r="703" spans="1:8" x14ac:dyDescent="0.25">
      <c r="A703" t="s">
        <v>218</v>
      </c>
      <c r="B703">
        <v>79486</v>
      </c>
      <c r="C703" s="3">
        <v>50495</v>
      </c>
      <c r="D703" s="1">
        <v>43417</v>
      </c>
      <c r="E703" t="str">
        <f>"271695"</f>
        <v>271695</v>
      </c>
      <c r="F703" t="str">
        <f>"GRAPEVINE DODGE CHRYSLER JEEP"</f>
        <v>GRAPEVINE DODGE CHRYSLER JEEP</v>
      </c>
      <c r="G703" s="2">
        <v>23086</v>
      </c>
      <c r="H703" t="str">
        <f>"2018 Dodge Ram"</f>
        <v>2018 Dodge Ram</v>
      </c>
    </row>
    <row r="704" spans="1:8" x14ac:dyDescent="0.25">
      <c r="E704" t="str">
        <f>""</f>
        <v/>
      </c>
      <c r="F704" t="str">
        <f>""</f>
        <v/>
      </c>
      <c r="H704" t="str">
        <f>"Delivery Charge"</f>
        <v>Delivery Charge</v>
      </c>
    </row>
    <row r="705" spans="1:8" x14ac:dyDescent="0.25">
      <c r="E705" t="str">
        <f>""</f>
        <v/>
      </c>
      <c r="F705" t="str">
        <f>""</f>
        <v/>
      </c>
      <c r="H705" t="str">
        <f>"Buyboard Fee"</f>
        <v>Buyboard Fee</v>
      </c>
    </row>
    <row r="706" spans="1:8" x14ac:dyDescent="0.25">
      <c r="E706" t="str">
        <f>"271763"</f>
        <v>271763</v>
      </c>
      <c r="F706" t="str">
        <f>"GRAPEVINE DODGE CHRYSLER JEEP"</f>
        <v>GRAPEVINE DODGE CHRYSLER JEEP</v>
      </c>
      <c r="G706" s="2">
        <v>27409</v>
      </c>
      <c r="H706" t="str">
        <f>"Delivery Charge"</f>
        <v>Delivery Charge</v>
      </c>
    </row>
    <row r="707" spans="1:8" x14ac:dyDescent="0.25">
      <c r="E707" t="str">
        <f>""</f>
        <v/>
      </c>
      <c r="F707" t="str">
        <f>""</f>
        <v/>
      </c>
      <c r="H707" t="str">
        <f>"Ram Dodge 2500"</f>
        <v>Ram Dodge 2500</v>
      </c>
    </row>
    <row r="708" spans="1:8" x14ac:dyDescent="0.25">
      <c r="A708" t="s">
        <v>219</v>
      </c>
      <c r="B708">
        <v>79487</v>
      </c>
      <c r="C708" s="3">
        <v>200</v>
      </c>
      <c r="D708" s="1">
        <v>43417</v>
      </c>
      <c r="E708" t="str">
        <f>"4921"</f>
        <v>4921</v>
      </c>
      <c r="F708" t="str">
        <f>"TML HOTEL REIMBURSEMENT"</f>
        <v>TML HOTEL REIMBURSEMENT</v>
      </c>
      <c r="G708" s="2">
        <v>200</v>
      </c>
      <c r="H708" t="str">
        <f>"TML HOTEL REIMBURSEMENT"</f>
        <v>TML HOTEL REIMBURSEMENT</v>
      </c>
    </row>
    <row r="709" spans="1:8" x14ac:dyDescent="0.25">
      <c r="A709" t="s">
        <v>220</v>
      </c>
      <c r="B709">
        <v>79488</v>
      </c>
      <c r="C709" s="3">
        <v>1882.6</v>
      </c>
      <c r="D709" s="1">
        <v>43417</v>
      </c>
      <c r="E709" t="str">
        <f>"193008"</f>
        <v>193008</v>
      </c>
      <c r="F709" t="str">
        <f>"INV# 193008"</f>
        <v>INV# 193008</v>
      </c>
      <c r="G709" s="2">
        <v>1882.6</v>
      </c>
      <c r="H709" t="str">
        <f>"12kva powerware"</f>
        <v>12kva powerware</v>
      </c>
    </row>
    <row r="710" spans="1:8" x14ac:dyDescent="0.25">
      <c r="A710" t="s">
        <v>221</v>
      </c>
      <c r="B710">
        <v>999999</v>
      </c>
      <c r="C710" s="3">
        <v>5159.9399999999996</v>
      </c>
      <c r="D710" s="1">
        <v>43418</v>
      </c>
      <c r="E710" t="str">
        <f>"1575122"</f>
        <v>1575122</v>
      </c>
      <c r="F710" t="str">
        <f>"INV 1575122"</f>
        <v>INV 1575122</v>
      </c>
      <c r="G710" s="2">
        <v>2919.25</v>
      </c>
      <c r="H710" t="str">
        <f>"INV 1575122"</f>
        <v>INV 1575122</v>
      </c>
    </row>
    <row r="711" spans="1:8" x14ac:dyDescent="0.25">
      <c r="E711" t="str">
        <f>"1575123  1578848"</f>
        <v>1575123  1578848</v>
      </c>
      <c r="F711" t="str">
        <f>"INV 1575123"</f>
        <v>INV 1575123</v>
      </c>
      <c r="G711" s="2">
        <v>136.32</v>
      </c>
      <c r="H711" t="str">
        <f>"INV 1575123"</f>
        <v>INV 1575123</v>
      </c>
    </row>
    <row r="712" spans="1:8" x14ac:dyDescent="0.25">
      <c r="E712" t="str">
        <f>""</f>
        <v/>
      </c>
      <c r="F712" t="str">
        <f>""</f>
        <v/>
      </c>
      <c r="H712" t="str">
        <f>"INV 1578848"</f>
        <v>INV 1578848</v>
      </c>
    </row>
    <row r="713" spans="1:8" x14ac:dyDescent="0.25">
      <c r="E713" t="str">
        <f>"1578850"</f>
        <v>1578850</v>
      </c>
      <c r="F713" t="str">
        <f>"JANITORIAL SUPPLIES"</f>
        <v>JANITORIAL SUPPLIES</v>
      </c>
      <c r="G713" s="2">
        <v>1108.24</v>
      </c>
      <c r="H713" t="str">
        <f>"GP89480"</f>
        <v>GP89480</v>
      </c>
    </row>
    <row r="714" spans="1:8" x14ac:dyDescent="0.25">
      <c r="E714" t="str">
        <f>""</f>
        <v/>
      </c>
      <c r="F714" t="str">
        <f>""</f>
        <v/>
      </c>
      <c r="H714" t="str">
        <f>"GP19375"</f>
        <v>GP19375</v>
      </c>
    </row>
    <row r="715" spans="1:8" x14ac:dyDescent="0.25">
      <c r="E715" t="str">
        <f>""</f>
        <v/>
      </c>
      <c r="F715" t="str">
        <f>""</f>
        <v/>
      </c>
      <c r="H715" t="str">
        <f>"GP42714"</f>
        <v>GP42714</v>
      </c>
    </row>
    <row r="716" spans="1:8" x14ac:dyDescent="0.25">
      <c r="E716" t="str">
        <f>""</f>
        <v/>
      </c>
      <c r="F716" t="str">
        <f>""</f>
        <v/>
      </c>
      <c r="H716" t="str">
        <f>"GP42334"</f>
        <v>GP42334</v>
      </c>
    </row>
    <row r="717" spans="1:8" x14ac:dyDescent="0.25">
      <c r="E717" t="str">
        <f>""</f>
        <v/>
      </c>
      <c r="F717" t="str">
        <f>""</f>
        <v/>
      </c>
      <c r="H717" t="str">
        <f>"GP12798"</f>
        <v>GP12798</v>
      </c>
    </row>
    <row r="718" spans="1:8" x14ac:dyDescent="0.25">
      <c r="E718" t="str">
        <f>""</f>
        <v/>
      </c>
      <c r="F718" t="str">
        <f>""</f>
        <v/>
      </c>
      <c r="H718" t="str">
        <f>"GP20389"</f>
        <v>GP20389</v>
      </c>
    </row>
    <row r="719" spans="1:8" x14ac:dyDescent="0.25">
      <c r="E719" t="str">
        <f>"1582372"</f>
        <v>1582372</v>
      </c>
      <c r="F719" t="str">
        <f>"INV 1582372"</f>
        <v>INV 1582372</v>
      </c>
      <c r="G719" s="2">
        <v>996.13</v>
      </c>
      <c r="H719" t="str">
        <f>"INV 1582372"</f>
        <v>INV 1582372</v>
      </c>
    </row>
    <row r="720" spans="1:8" x14ac:dyDescent="0.25">
      <c r="A720" t="s">
        <v>222</v>
      </c>
      <c r="B720">
        <v>79489</v>
      </c>
      <c r="C720" s="3">
        <v>225</v>
      </c>
      <c r="D720" s="1">
        <v>43417</v>
      </c>
      <c r="E720" t="str">
        <f>"12853"</f>
        <v>12853</v>
      </c>
      <c r="F720" t="str">
        <f>"SERVICE"</f>
        <v>SERVICE</v>
      </c>
      <c r="G720" s="2">
        <v>225</v>
      </c>
      <c r="H720" t="str">
        <f>"SERVICE"</f>
        <v>SERVICE</v>
      </c>
    </row>
    <row r="721" spans="1:9" x14ac:dyDescent="0.25">
      <c r="A721" t="s">
        <v>222</v>
      </c>
      <c r="B721">
        <v>79699</v>
      </c>
      <c r="C721" s="3">
        <v>300</v>
      </c>
      <c r="D721" s="1">
        <v>43430</v>
      </c>
      <c r="E721" t="str">
        <f>"12774"</f>
        <v>12774</v>
      </c>
      <c r="F721" t="str">
        <f>"SERVICE"</f>
        <v>SERVICE</v>
      </c>
      <c r="G721" s="2">
        <v>225</v>
      </c>
      <c r="H721" t="str">
        <f>"SERVICE"</f>
        <v>SERVICE</v>
      </c>
    </row>
    <row r="722" spans="1:9" x14ac:dyDescent="0.25">
      <c r="E722" t="str">
        <f>"12839"</f>
        <v>12839</v>
      </c>
      <c r="F722" t="str">
        <f>"SERVICE"</f>
        <v>SERVICE</v>
      </c>
      <c r="G722" s="2">
        <v>75</v>
      </c>
      <c r="H722" t="str">
        <f>"SERVICE"</f>
        <v>SERVICE</v>
      </c>
    </row>
    <row r="723" spans="1:9" x14ac:dyDescent="0.25">
      <c r="A723" t="s">
        <v>223</v>
      </c>
      <c r="B723">
        <v>79700</v>
      </c>
      <c r="C723" s="3">
        <v>210.95</v>
      </c>
      <c r="D723" s="1">
        <v>43430</v>
      </c>
      <c r="E723" t="str">
        <f>"61713"</f>
        <v>61713</v>
      </c>
      <c r="F723" t="str">
        <f>"INV 61713"</f>
        <v>INV 61713</v>
      </c>
      <c r="G723" s="2">
        <v>210.95</v>
      </c>
      <c r="H723" t="str">
        <f>"INV 61713"</f>
        <v>INV 61713</v>
      </c>
    </row>
    <row r="724" spans="1:9" x14ac:dyDescent="0.25">
      <c r="A724" t="s">
        <v>224</v>
      </c>
      <c r="B724">
        <v>79490</v>
      </c>
      <c r="C724" s="3">
        <v>314.8</v>
      </c>
      <c r="D724" s="1">
        <v>43417</v>
      </c>
      <c r="E724" t="str">
        <f>"23922"</f>
        <v>23922</v>
      </c>
      <c r="F724" t="str">
        <f>"TICKET#113360/RIP RAP/PCT#3"</f>
        <v>TICKET#113360/RIP RAP/PCT#3</v>
      </c>
      <c r="G724" s="2">
        <v>314.8</v>
      </c>
      <c r="H724" t="str">
        <f>"TICKET#113360/RIP RAP/PCT#3"</f>
        <v>TICKET#113360/RIP RAP/PCT#3</v>
      </c>
    </row>
    <row r="725" spans="1:9" x14ac:dyDescent="0.25">
      <c r="A725" t="s">
        <v>225</v>
      </c>
      <c r="B725">
        <v>79491</v>
      </c>
      <c r="C725" s="3">
        <v>85</v>
      </c>
      <c r="D725" s="1">
        <v>43417</v>
      </c>
      <c r="E725" t="str">
        <f>"12777"</f>
        <v>12777</v>
      </c>
      <c r="F725" t="str">
        <f>"SERVICE"</f>
        <v>SERVICE</v>
      </c>
      <c r="G725" s="2">
        <v>85</v>
      </c>
      <c r="H725" t="str">
        <f>"SERVICE"</f>
        <v>SERVICE</v>
      </c>
    </row>
    <row r="726" spans="1:9" x14ac:dyDescent="0.25">
      <c r="A726" t="s">
        <v>226</v>
      </c>
      <c r="B726">
        <v>79492</v>
      </c>
      <c r="C726" s="3">
        <v>291.2</v>
      </c>
      <c r="D726" s="1">
        <v>43417</v>
      </c>
      <c r="E726" t="str">
        <f>"042305"</f>
        <v>042305</v>
      </c>
      <c r="F726" t="str">
        <f>"LABELS/RIBBON/FREIGHT"</f>
        <v>LABELS/RIBBON/FREIGHT</v>
      </c>
      <c r="G726" s="2">
        <v>201.2</v>
      </c>
      <c r="H726" t="str">
        <f>"LABELS/RIBBON/FREIGHT"</f>
        <v>LABELS/RIBBON/FREIGHT</v>
      </c>
    </row>
    <row r="727" spans="1:9" x14ac:dyDescent="0.25">
      <c r="E727" t="str">
        <f>"42482"</f>
        <v>42482</v>
      </c>
      <c r="F727" t="str">
        <f>"RIBBON/FREIGHT"</f>
        <v>RIBBON/FREIGHT</v>
      </c>
      <c r="G727" s="2">
        <v>90</v>
      </c>
      <c r="H727" t="str">
        <f>"RIBBON/FREIGHT"</f>
        <v>RIBBON/FREIGHT</v>
      </c>
    </row>
    <row r="728" spans="1:9" x14ac:dyDescent="0.25">
      <c r="A728" t="s">
        <v>227</v>
      </c>
      <c r="B728">
        <v>79493</v>
      </c>
      <c r="C728" s="3">
        <v>525.78</v>
      </c>
      <c r="D728" s="1">
        <v>43417</v>
      </c>
      <c r="E728" t="str">
        <f>"201811064852"</f>
        <v>201811064852</v>
      </c>
      <c r="F728" t="str">
        <f>"ACCT#68930/ANIMAL SERVICES"</f>
        <v>ACCT#68930/ANIMAL SERVICES</v>
      </c>
      <c r="G728" s="2">
        <v>192.81</v>
      </c>
      <c r="H728" t="str">
        <f>"ACCT#68930/ANIMAL SERVICES"</f>
        <v>ACCT#68930/ANIMAL SERVICES</v>
      </c>
    </row>
    <row r="729" spans="1:9" x14ac:dyDescent="0.25">
      <c r="E729" t="str">
        <f>"PG32482"</f>
        <v>PG32482</v>
      </c>
      <c r="F729" t="str">
        <f>"ACCT#68930-000/ANIMAL SERVICES"</f>
        <v>ACCT#68930-000/ANIMAL SERVICES</v>
      </c>
      <c r="G729" s="2">
        <v>153.68</v>
      </c>
      <c r="H729" t="str">
        <f>"ACCT#68930-000/ANIMAL SERVICES"</f>
        <v>ACCT#68930-000/ANIMAL SERVICES</v>
      </c>
    </row>
    <row r="730" spans="1:9" x14ac:dyDescent="0.25">
      <c r="E730" t="str">
        <f>"PH41995"</f>
        <v>PH41995</v>
      </c>
      <c r="F730" t="str">
        <f>"ACCT#68930-000/ANIMAL SVCS"</f>
        <v>ACCT#68930-000/ANIMAL SVCS</v>
      </c>
      <c r="G730" s="2">
        <v>179.29</v>
      </c>
      <c r="H730" t="str">
        <f>"ACCT#68930-000/ANIMAL SVCS"</f>
        <v>ACCT#68930-000/ANIMAL SVCS</v>
      </c>
    </row>
    <row r="731" spans="1:9" x14ac:dyDescent="0.25">
      <c r="A731" t="s">
        <v>228</v>
      </c>
      <c r="B731">
        <v>79701</v>
      </c>
      <c r="C731" s="3">
        <v>100</v>
      </c>
      <c r="D731" s="1">
        <v>43430</v>
      </c>
      <c r="E731" t="s">
        <v>229</v>
      </c>
      <c r="F731" t="s">
        <v>230</v>
      </c>
      <c r="G731" s="2" t="str">
        <f>"RESTITUTION-M. FELTS"</f>
        <v>RESTITUTION-M. FELTS</v>
      </c>
      <c r="H731" t="str">
        <f>"210-0000"</f>
        <v>210-0000</v>
      </c>
      <c r="I731" t="str">
        <f>""</f>
        <v/>
      </c>
    </row>
    <row r="732" spans="1:9" x14ac:dyDescent="0.25">
      <c r="A732" t="s">
        <v>231</v>
      </c>
      <c r="B732">
        <v>79494</v>
      </c>
      <c r="C732" s="3">
        <v>286.14</v>
      </c>
      <c r="D732" s="1">
        <v>43417</v>
      </c>
      <c r="E732" t="str">
        <f>"S101809619.001"</f>
        <v>S101809619.001</v>
      </c>
      <c r="F732" t="str">
        <f>"INV S101809619.001"</f>
        <v>INV S101809619.001</v>
      </c>
      <c r="G732" s="2">
        <v>286.14</v>
      </c>
      <c r="H732" t="str">
        <f>"INV S101809619.001"</f>
        <v>INV S101809619.001</v>
      </c>
    </row>
    <row r="733" spans="1:9" x14ac:dyDescent="0.25">
      <c r="A733" t="s">
        <v>232</v>
      </c>
      <c r="B733">
        <v>79702</v>
      </c>
      <c r="C733" s="3">
        <v>281.76</v>
      </c>
      <c r="D733" s="1">
        <v>43430</v>
      </c>
      <c r="E733" t="str">
        <f>"201811155159"</f>
        <v>201811155159</v>
      </c>
      <c r="F733" t="str">
        <f>"MILEAGE REIMBURSEMENT"</f>
        <v>MILEAGE REIMBURSEMENT</v>
      </c>
      <c r="G733" s="2">
        <v>122.08</v>
      </c>
      <c r="H733" t="str">
        <f>"MILEAGE REIMBURSEMENT"</f>
        <v>MILEAGE REIMBURSEMENT</v>
      </c>
    </row>
    <row r="734" spans="1:9" x14ac:dyDescent="0.25">
      <c r="E734" t="str">
        <f>"201811155160"</f>
        <v>201811155160</v>
      </c>
      <c r="F734" t="str">
        <f>"MILEAGE REIMBURSEMENT"</f>
        <v>MILEAGE REIMBURSEMENT</v>
      </c>
      <c r="G734" s="2">
        <v>159.68</v>
      </c>
      <c r="H734" t="str">
        <f>"MILEAGE REIMBURSEMENT"</f>
        <v>MILEAGE REIMBURSEMENT</v>
      </c>
    </row>
    <row r="735" spans="1:9" x14ac:dyDescent="0.25">
      <c r="A735" t="s">
        <v>233</v>
      </c>
      <c r="B735">
        <v>79495</v>
      </c>
      <c r="C735" s="3">
        <v>347.92</v>
      </c>
      <c r="D735" s="1">
        <v>43417</v>
      </c>
      <c r="E735" t="str">
        <f>"201811074944"</f>
        <v>201811074944</v>
      </c>
      <c r="F735" t="str">
        <f>"LODGING"</f>
        <v>LODGING</v>
      </c>
      <c r="G735" s="2">
        <v>347.92</v>
      </c>
      <c r="H735" t="str">
        <f>"LODGING"</f>
        <v>LODGING</v>
      </c>
    </row>
    <row r="736" spans="1:9" x14ac:dyDescent="0.25">
      <c r="A736" t="s">
        <v>234</v>
      </c>
      <c r="B736">
        <v>79703</v>
      </c>
      <c r="C736" s="3">
        <v>150</v>
      </c>
      <c r="D736" s="1">
        <v>43430</v>
      </c>
      <c r="E736" t="str">
        <f>"12684"</f>
        <v>12684</v>
      </c>
      <c r="F736" t="str">
        <f>"SERVICE"</f>
        <v>SERVICE</v>
      </c>
      <c r="G736" s="2">
        <v>150</v>
      </c>
      <c r="H736" t="str">
        <f>"SERVICE"</f>
        <v>SERVICE</v>
      </c>
    </row>
    <row r="737" spans="1:8" x14ac:dyDescent="0.25">
      <c r="A737" t="s">
        <v>235</v>
      </c>
      <c r="B737">
        <v>999999</v>
      </c>
      <c r="C737" s="3">
        <v>650</v>
      </c>
      <c r="D737" s="1">
        <v>43431</v>
      </c>
      <c r="E737" t="str">
        <f>"201811165253"</f>
        <v>201811165253</v>
      </c>
      <c r="F737" t="str">
        <f>"BASCOM L HODGES JR"</f>
        <v>BASCOM L HODGES JR</v>
      </c>
      <c r="G737" s="2">
        <v>650</v>
      </c>
      <c r="H737" t="str">
        <f>""</f>
        <v/>
      </c>
    </row>
    <row r="738" spans="1:8" x14ac:dyDescent="0.25">
      <c r="A738" t="s">
        <v>236</v>
      </c>
      <c r="B738">
        <v>79496</v>
      </c>
      <c r="C738" s="3">
        <v>2875</v>
      </c>
      <c r="D738" s="1">
        <v>43417</v>
      </c>
      <c r="E738" t="str">
        <f>"201810234623"</f>
        <v>201810234623</v>
      </c>
      <c r="F738" t="str">
        <f>"423-3004"</f>
        <v>423-3004</v>
      </c>
      <c r="G738" s="2">
        <v>100</v>
      </c>
      <c r="H738" t="str">
        <f>"423-3004"</f>
        <v>423-3004</v>
      </c>
    </row>
    <row r="739" spans="1:8" x14ac:dyDescent="0.25">
      <c r="E739" t="str">
        <f>"201810304710"</f>
        <v>201810304710</v>
      </c>
      <c r="F739" t="str">
        <f>"55 979"</f>
        <v>55 979</v>
      </c>
      <c r="G739" s="2">
        <v>250</v>
      </c>
      <c r="H739" t="str">
        <f>"55 979"</f>
        <v>55 979</v>
      </c>
    </row>
    <row r="740" spans="1:8" x14ac:dyDescent="0.25">
      <c r="E740" t="str">
        <f>"201810304711"</f>
        <v>201810304711</v>
      </c>
      <c r="F740" t="str">
        <f>"56 360"</f>
        <v>56 360</v>
      </c>
      <c r="G740" s="2">
        <v>250</v>
      </c>
      <c r="H740" t="str">
        <f>"56 360"</f>
        <v>56 360</v>
      </c>
    </row>
    <row r="741" spans="1:8" x14ac:dyDescent="0.25">
      <c r="E741" t="str">
        <f>"201810304712"</f>
        <v>201810304712</v>
      </c>
      <c r="F741" t="str">
        <f>"56 251"</f>
        <v>56 251</v>
      </c>
      <c r="G741" s="2">
        <v>250</v>
      </c>
      <c r="H741" t="str">
        <f>"56 251"</f>
        <v>56 251</v>
      </c>
    </row>
    <row r="742" spans="1:8" x14ac:dyDescent="0.25">
      <c r="E742" t="str">
        <f>"201810304713"</f>
        <v>201810304713</v>
      </c>
      <c r="F742" t="str">
        <f>"55 663"</f>
        <v>55 663</v>
      </c>
      <c r="G742" s="2">
        <v>250</v>
      </c>
      <c r="H742" t="str">
        <f>"55 663"</f>
        <v>55 663</v>
      </c>
    </row>
    <row r="743" spans="1:8" x14ac:dyDescent="0.25">
      <c r="E743" t="str">
        <f>"201810304714"</f>
        <v>201810304714</v>
      </c>
      <c r="F743" t="str">
        <f>"55 492"</f>
        <v>55 492</v>
      </c>
      <c r="G743" s="2">
        <v>250</v>
      </c>
      <c r="H743" t="str">
        <f>"55 492"</f>
        <v>55 492</v>
      </c>
    </row>
    <row r="744" spans="1:8" x14ac:dyDescent="0.25">
      <c r="E744" t="str">
        <f>"201810304723"</f>
        <v>201810304723</v>
      </c>
      <c r="F744" t="str">
        <f>"18-19190"</f>
        <v>18-19190</v>
      </c>
      <c r="G744" s="2">
        <v>100</v>
      </c>
      <c r="H744" t="str">
        <f>"18-19190"</f>
        <v>18-19190</v>
      </c>
    </row>
    <row r="745" spans="1:8" x14ac:dyDescent="0.25">
      <c r="E745" t="str">
        <f>"201810304724"</f>
        <v>201810304724</v>
      </c>
      <c r="F745" t="str">
        <f>"18-19299"</f>
        <v>18-19299</v>
      </c>
      <c r="G745" s="2">
        <v>175</v>
      </c>
      <c r="H745" t="str">
        <f>"18-19299"</f>
        <v>18-19299</v>
      </c>
    </row>
    <row r="746" spans="1:8" x14ac:dyDescent="0.25">
      <c r="E746" t="str">
        <f>"201810304725"</f>
        <v>201810304725</v>
      </c>
      <c r="F746" t="str">
        <f>"18-18995"</f>
        <v>18-18995</v>
      </c>
      <c r="G746" s="2">
        <v>175</v>
      </c>
      <c r="H746" t="str">
        <f>"18-18995"</f>
        <v>18-18995</v>
      </c>
    </row>
    <row r="747" spans="1:8" x14ac:dyDescent="0.25">
      <c r="E747" t="str">
        <f>"201810304726"</f>
        <v>201810304726</v>
      </c>
      <c r="F747" t="str">
        <f>"16-17833"</f>
        <v>16-17833</v>
      </c>
      <c r="G747" s="2">
        <v>100</v>
      </c>
      <c r="H747" t="str">
        <f>"16-17833"</f>
        <v>16-17833</v>
      </c>
    </row>
    <row r="748" spans="1:8" x14ac:dyDescent="0.25">
      <c r="E748" t="str">
        <f>"201811064889"</f>
        <v>201811064889</v>
      </c>
      <c r="F748" t="str">
        <f>"06-10487"</f>
        <v>06-10487</v>
      </c>
      <c r="G748" s="2">
        <v>100</v>
      </c>
      <c r="H748" t="str">
        <f>"06-10487"</f>
        <v>06-10487</v>
      </c>
    </row>
    <row r="749" spans="1:8" x14ac:dyDescent="0.25">
      <c r="E749" t="str">
        <f>"201811064890"</f>
        <v>201811064890</v>
      </c>
      <c r="F749" t="str">
        <f>"10-13687"</f>
        <v>10-13687</v>
      </c>
      <c r="G749" s="2">
        <v>100</v>
      </c>
      <c r="H749" t="str">
        <f>"10-13687"</f>
        <v>10-13687</v>
      </c>
    </row>
    <row r="750" spans="1:8" x14ac:dyDescent="0.25">
      <c r="E750" t="str">
        <f>"201811064891"</f>
        <v>201811064891</v>
      </c>
      <c r="F750" t="str">
        <f>"08-12714"</f>
        <v>08-12714</v>
      </c>
      <c r="G750" s="2">
        <v>100</v>
      </c>
      <c r="H750" t="str">
        <f>"08-12714"</f>
        <v>08-12714</v>
      </c>
    </row>
    <row r="751" spans="1:8" x14ac:dyDescent="0.25">
      <c r="E751" t="str">
        <f>"201811064892"</f>
        <v>201811064892</v>
      </c>
      <c r="F751" t="str">
        <f>"09-13482"</f>
        <v>09-13482</v>
      </c>
      <c r="G751" s="2">
        <v>100</v>
      </c>
      <c r="H751" t="str">
        <f>"09-13482"</f>
        <v>09-13482</v>
      </c>
    </row>
    <row r="752" spans="1:8" x14ac:dyDescent="0.25">
      <c r="E752" t="str">
        <f>"201811064904"</f>
        <v>201811064904</v>
      </c>
      <c r="F752" t="str">
        <f>"17-18637"</f>
        <v>17-18637</v>
      </c>
      <c r="G752" s="2">
        <v>200</v>
      </c>
      <c r="H752" t="str">
        <f>"17-18637"</f>
        <v>17-18637</v>
      </c>
    </row>
    <row r="753" spans="1:8" x14ac:dyDescent="0.25">
      <c r="E753" t="str">
        <f>"201811064924"</f>
        <v>201811064924</v>
      </c>
      <c r="F753" t="str">
        <f>"55718  55719"</f>
        <v>55718  55719</v>
      </c>
      <c r="G753" s="2">
        <v>375</v>
      </c>
      <c r="H753" t="str">
        <f>"55718  55719"</f>
        <v>55718  55719</v>
      </c>
    </row>
    <row r="754" spans="1:8" x14ac:dyDescent="0.25">
      <c r="A754" t="s">
        <v>236</v>
      </c>
      <c r="B754">
        <v>79704</v>
      </c>
      <c r="C754" s="3">
        <v>625</v>
      </c>
      <c r="D754" s="1">
        <v>43430</v>
      </c>
      <c r="E754" t="str">
        <f>"201811145092"</f>
        <v>201811145092</v>
      </c>
      <c r="F754" t="str">
        <f>"18-19011"</f>
        <v>18-19011</v>
      </c>
      <c r="G754" s="2">
        <v>175</v>
      </c>
      <c r="H754" t="str">
        <f>"18-19011"</f>
        <v>18-19011</v>
      </c>
    </row>
    <row r="755" spans="1:8" x14ac:dyDescent="0.25">
      <c r="E755" t="str">
        <f>"201811145093"</f>
        <v>201811145093</v>
      </c>
      <c r="F755" t="str">
        <f>"18-19044"</f>
        <v>18-19044</v>
      </c>
      <c r="G755" s="2">
        <v>175</v>
      </c>
      <c r="H755" t="str">
        <f>"18-19044"</f>
        <v>18-19044</v>
      </c>
    </row>
    <row r="756" spans="1:8" x14ac:dyDescent="0.25">
      <c r="E756" t="str">
        <f>"201811145094"</f>
        <v>201811145094</v>
      </c>
      <c r="F756" t="str">
        <f>"18-19336"</f>
        <v>18-19336</v>
      </c>
      <c r="G756" s="2">
        <v>175</v>
      </c>
      <c r="H756" t="str">
        <f>"18-19336"</f>
        <v>18-19336</v>
      </c>
    </row>
    <row r="757" spans="1:8" x14ac:dyDescent="0.25">
      <c r="E757" t="str">
        <f>"201811145121"</f>
        <v>201811145121</v>
      </c>
      <c r="F757" t="str">
        <f>"423-4575"</f>
        <v>423-4575</v>
      </c>
      <c r="G757" s="2">
        <v>100</v>
      </c>
      <c r="H757" t="str">
        <f>"423-4575"</f>
        <v>423-4575</v>
      </c>
    </row>
    <row r="758" spans="1:8" x14ac:dyDescent="0.25">
      <c r="A758" t="s">
        <v>237</v>
      </c>
      <c r="B758">
        <v>79497</v>
      </c>
      <c r="C758" s="3">
        <v>3994.95</v>
      </c>
      <c r="D758" s="1">
        <v>43417</v>
      </c>
      <c r="E758" t="str">
        <f>"PIKP0079715"</f>
        <v>PIKP0079715</v>
      </c>
      <c r="F758" t="str">
        <f>"CUST#0129050/PCT#1"</f>
        <v>CUST#0129050/PCT#1</v>
      </c>
      <c r="G758" s="2">
        <v>12.19</v>
      </c>
      <c r="H758" t="str">
        <f>"CUST#0129050/PCT#1"</f>
        <v>CUST#0129050/PCT#1</v>
      </c>
    </row>
    <row r="759" spans="1:8" x14ac:dyDescent="0.25">
      <c r="E759" t="str">
        <f>"PIMP0289278"</f>
        <v>PIMP0289278</v>
      </c>
      <c r="F759" t="str">
        <f>"CUST#0129200/PCT#4"</f>
        <v>CUST#0129200/PCT#4</v>
      </c>
      <c r="G759" s="2">
        <v>1458.96</v>
      </c>
      <c r="H759" t="str">
        <f>"CUST#0129200/PCT#4"</f>
        <v>CUST#0129200/PCT#4</v>
      </c>
    </row>
    <row r="760" spans="1:8" x14ac:dyDescent="0.25">
      <c r="E760" t="str">
        <f>"PIMP0289866"</f>
        <v>PIMP0289866</v>
      </c>
      <c r="F760" t="str">
        <f>"CUST#0129050/PCT#1"</f>
        <v>CUST#0129050/PCT#1</v>
      </c>
      <c r="G760" s="2">
        <v>2523.8000000000002</v>
      </c>
      <c r="H760" t="str">
        <f>"CUST#0129050/PCT#1"</f>
        <v>CUST#0129050/PCT#1</v>
      </c>
    </row>
    <row r="761" spans="1:8" x14ac:dyDescent="0.25">
      <c r="A761" t="s">
        <v>237</v>
      </c>
      <c r="B761">
        <v>79705</v>
      </c>
      <c r="C761" s="3">
        <v>518.61</v>
      </c>
      <c r="D761" s="1">
        <v>43430</v>
      </c>
      <c r="E761" t="str">
        <f>"PIKP0079898"</f>
        <v>PIKP0079898</v>
      </c>
      <c r="F761" t="str">
        <f>"PARTS / P1"</f>
        <v>PARTS / P1</v>
      </c>
      <c r="G761" s="2">
        <v>152.84</v>
      </c>
      <c r="H761" t="str">
        <f>"PARTS / P1"</f>
        <v>PARTS / P1</v>
      </c>
    </row>
    <row r="762" spans="1:8" x14ac:dyDescent="0.25">
      <c r="E762" t="str">
        <f>"RIMP20872010"</f>
        <v>RIMP20872010</v>
      </c>
      <c r="F762" t="str">
        <f>"CUST#0129100/EQUIP RENTAL/P2"</f>
        <v>CUST#0129100/EQUIP RENTAL/P2</v>
      </c>
      <c r="G762" s="2">
        <v>365.77</v>
      </c>
      <c r="H762" t="str">
        <f>"CUST#0129100/EQUIP RENTAL/P2"</f>
        <v>CUST#0129100/EQUIP RENTAL/P2</v>
      </c>
    </row>
    <row r="763" spans="1:8" x14ac:dyDescent="0.25">
      <c r="A763" t="s">
        <v>238</v>
      </c>
      <c r="B763">
        <v>79498</v>
      </c>
      <c r="C763" s="3">
        <v>3284.02</v>
      </c>
      <c r="D763" s="1">
        <v>43417</v>
      </c>
      <c r="E763" t="str">
        <f>"201811064846"</f>
        <v>201811064846</v>
      </c>
      <c r="F763" t="str">
        <f>"Acct# 3780"</f>
        <v>Acct# 3780</v>
      </c>
      <c r="G763" s="2">
        <v>2774.41</v>
      </c>
      <c r="H763" t="str">
        <f>"inv# 1564897"</f>
        <v>inv# 1564897</v>
      </c>
    </row>
    <row r="764" spans="1:8" x14ac:dyDescent="0.25">
      <c r="E764" t="str">
        <f>""</f>
        <v/>
      </c>
      <c r="F764" t="str">
        <f>""</f>
        <v/>
      </c>
      <c r="H764" t="str">
        <f>"inv# 2445274"</f>
        <v>inv# 2445274</v>
      </c>
    </row>
    <row r="765" spans="1:8" x14ac:dyDescent="0.25">
      <c r="E765" t="str">
        <f>""</f>
        <v/>
      </c>
      <c r="F765" t="str">
        <f>""</f>
        <v/>
      </c>
      <c r="H765" t="str">
        <f>"inv# 2834197"</f>
        <v>inv# 2834197</v>
      </c>
    </row>
    <row r="766" spans="1:8" x14ac:dyDescent="0.25">
      <c r="E766" t="str">
        <f>""</f>
        <v/>
      </c>
      <c r="F766" t="str">
        <f>""</f>
        <v/>
      </c>
      <c r="H766" t="str">
        <f>"inv# 2904660"</f>
        <v>inv# 2904660</v>
      </c>
    </row>
    <row r="767" spans="1:8" x14ac:dyDescent="0.25">
      <c r="E767" t="str">
        <f>""</f>
        <v/>
      </c>
      <c r="F767" t="str">
        <f>""</f>
        <v/>
      </c>
      <c r="H767" t="str">
        <f>"inv# 6024666"</f>
        <v>inv# 6024666</v>
      </c>
    </row>
    <row r="768" spans="1:8" x14ac:dyDescent="0.25">
      <c r="E768" t="str">
        <f>""</f>
        <v/>
      </c>
      <c r="F768" t="str">
        <f>""</f>
        <v/>
      </c>
      <c r="H768" t="str">
        <f>"inv# 3024912"</f>
        <v>inv# 3024912</v>
      </c>
    </row>
    <row r="769" spans="5:8" x14ac:dyDescent="0.25">
      <c r="E769" t="str">
        <f>""</f>
        <v/>
      </c>
      <c r="F769" t="str">
        <f>""</f>
        <v/>
      </c>
      <c r="H769" t="str">
        <f>"inv# 9026486"</f>
        <v>inv# 9026486</v>
      </c>
    </row>
    <row r="770" spans="5:8" x14ac:dyDescent="0.25">
      <c r="E770" t="str">
        <f>""</f>
        <v/>
      </c>
      <c r="F770" t="str">
        <f>""</f>
        <v/>
      </c>
      <c r="H770" t="str">
        <f>"inv# 26332"</f>
        <v>inv# 26332</v>
      </c>
    </row>
    <row r="771" spans="5:8" x14ac:dyDescent="0.25">
      <c r="E771" t="str">
        <f>""</f>
        <v/>
      </c>
      <c r="F771" t="str">
        <f>""</f>
        <v/>
      </c>
      <c r="H771" t="str">
        <f>"inv# 1024073"</f>
        <v>inv# 1024073</v>
      </c>
    </row>
    <row r="772" spans="5:8" x14ac:dyDescent="0.25">
      <c r="E772" t="str">
        <f>""</f>
        <v/>
      </c>
      <c r="F772" t="str">
        <f>""</f>
        <v/>
      </c>
      <c r="H772" t="str">
        <f>"inv# 1561037"</f>
        <v>inv# 1561037</v>
      </c>
    </row>
    <row r="773" spans="5:8" x14ac:dyDescent="0.25">
      <c r="E773" t="str">
        <f>""</f>
        <v/>
      </c>
      <c r="F773" t="str">
        <f>""</f>
        <v/>
      </c>
      <c r="H773" t="str">
        <f>"inv# 4023663"</f>
        <v>inv# 4023663</v>
      </c>
    </row>
    <row r="774" spans="5:8" x14ac:dyDescent="0.25">
      <c r="E774" t="str">
        <f>""</f>
        <v/>
      </c>
      <c r="F774" t="str">
        <f>""</f>
        <v/>
      </c>
      <c r="H774" t="str">
        <f>"inv# 7590281"</f>
        <v>inv# 7590281</v>
      </c>
    </row>
    <row r="775" spans="5:8" x14ac:dyDescent="0.25">
      <c r="E775" t="str">
        <f>""</f>
        <v/>
      </c>
      <c r="F775" t="str">
        <f>""</f>
        <v/>
      </c>
      <c r="H775" t="str">
        <f>"inv# 6560028"</f>
        <v>inv# 6560028</v>
      </c>
    </row>
    <row r="776" spans="5:8" x14ac:dyDescent="0.25">
      <c r="E776" t="str">
        <f>""</f>
        <v/>
      </c>
      <c r="F776" t="str">
        <f>""</f>
        <v/>
      </c>
      <c r="H776" t="str">
        <f>"inv# 5104055"</f>
        <v>inv# 5104055</v>
      </c>
    </row>
    <row r="777" spans="5:8" x14ac:dyDescent="0.25">
      <c r="E777" t="str">
        <f>""</f>
        <v/>
      </c>
      <c r="F777" t="str">
        <f>""</f>
        <v/>
      </c>
      <c r="H777" t="str">
        <f>"inv# 6590646"</f>
        <v>inv# 6590646</v>
      </c>
    </row>
    <row r="778" spans="5:8" x14ac:dyDescent="0.25">
      <c r="E778" t="str">
        <f>""</f>
        <v/>
      </c>
      <c r="F778" t="str">
        <f>""</f>
        <v/>
      </c>
      <c r="H778" t="str">
        <f>"inv# 972651"</f>
        <v>inv# 972651</v>
      </c>
    </row>
    <row r="779" spans="5:8" x14ac:dyDescent="0.25">
      <c r="E779" t="str">
        <f>""</f>
        <v/>
      </c>
      <c r="F779" t="str">
        <f>""</f>
        <v/>
      </c>
      <c r="H779" t="str">
        <f>"inv# 6151870"</f>
        <v>inv# 6151870</v>
      </c>
    </row>
    <row r="780" spans="5:8" x14ac:dyDescent="0.25">
      <c r="E780" t="str">
        <f>""</f>
        <v/>
      </c>
      <c r="F780" t="str">
        <f>""</f>
        <v/>
      </c>
      <c r="H780" t="str">
        <f>"inv# 3024911"</f>
        <v>inv# 3024911</v>
      </c>
    </row>
    <row r="781" spans="5:8" x14ac:dyDescent="0.25">
      <c r="E781" t="str">
        <f>""</f>
        <v/>
      </c>
      <c r="F781" t="str">
        <f>""</f>
        <v/>
      </c>
      <c r="H781" t="str">
        <f>"inv# 2023959"</f>
        <v>inv# 2023959</v>
      </c>
    </row>
    <row r="782" spans="5:8" x14ac:dyDescent="0.25">
      <c r="E782" t="str">
        <f>""</f>
        <v/>
      </c>
      <c r="F782" t="str">
        <f>""</f>
        <v/>
      </c>
      <c r="H782" t="str">
        <f>"inv# 1083183"</f>
        <v>inv# 1083183</v>
      </c>
    </row>
    <row r="783" spans="5:8" x14ac:dyDescent="0.25">
      <c r="E783" t="str">
        <f>""</f>
        <v/>
      </c>
      <c r="F783" t="str">
        <f>""</f>
        <v/>
      </c>
      <c r="H783" t="str">
        <f>"inv# 6090070"</f>
        <v>inv# 6090070</v>
      </c>
    </row>
    <row r="784" spans="5:8" x14ac:dyDescent="0.25">
      <c r="E784" t="str">
        <f>""</f>
        <v/>
      </c>
      <c r="F784" t="str">
        <f>""</f>
        <v/>
      </c>
      <c r="H784" t="str">
        <f>"inv# 8025470"</f>
        <v>inv# 8025470</v>
      </c>
    </row>
    <row r="785" spans="1:8" x14ac:dyDescent="0.25">
      <c r="E785" t="str">
        <f>""</f>
        <v/>
      </c>
      <c r="F785" t="str">
        <f>""</f>
        <v/>
      </c>
      <c r="H785" t="str">
        <f>"inv# 1026250"</f>
        <v>inv# 1026250</v>
      </c>
    </row>
    <row r="786" spans="1:8" x14ac:dyDescent="0.25">
      <c r="E786" t="str">
        <f>""</f>
        <v/>
      </c>
      <c r="F786" t="str">
        <f>""</f>
        <v/>
      </c>
      <c r="H786" t="str">
        <f>"inv# 3012559"</f>
        <v>inv# 3012559</v>
      </c>
    </row>
    <row r="787" spans="1:8" x14ac:dyDescent="0.25">
      <c r="E787" t="str">
        <f>""</f>
        <v/>
      </c>
      <c r="F787" t="str">
        <f>""</f>
        <v/>
      </c>
      <c r="H787" t="str">
        <f>"inv# 4023645"</f>
        <v>inv# 4023645</v>
      </c>
    </row>
    <row r="788" spans="1:8" x14ac:dyDescent="0.25">
      <c r="E788" t="str">
        <f>""</f>
        <v/>
      </c>
      <c r="F788" t="str">
        <f>""</f>
        <v/>
      </c>
      <c r="H788" t="str">
        <f>"inv# 3564750"</f>
        <v>inv# 3564750</v>
      </c>
    </row>
    <row r="789" spans="1:8" x14ac:dyDescent="0.25">
      <c r="E789" t="str">
        <f>""</f>
        <v/>
      </c>
      <c r="F789" t="str">
        <f>""</f>
        <v/>
      </c>
      <c r="H789" t="str">
        <f>"inv# 2012620"</f>
        <v>inv# 2012620</v>
      </c>
    </row>
    <row r="790" spans="1:8" x14ac:dyDescent="0.25">
      <c r="E790" t="str">
        <f>""</f>
        <v/>
      </c>
      <c r="F790" t="str">
        <f>""</f>
        <v/>
      </c>
      <c r="H790" t="str">
        <f>"inv# 6012992"</f>
        <v>inv# 6012992</v>
      </c>
    </row>
    <row r="791" spans="1:8" x14ac:dyDescent="0.25">
      <c r="E791" t="str">
        <f>""</f>
        <v/>
      </c>
      <c r="F791" t="str">
        <f>""</f>
        <v/>
      </c>
      <c r="H791" t="str">
        <f>"inv# 13508"</f>
        <v>inv# 13508</v>
      </c>
    </row>
    <row r="792" spans="1:8" x14ac:dyDescent="0.25">
      <c r="E792" t="str">
        <f>""</f>
        <v/>
      </c>
      <c r="F792" t="str">
        <f>""</f>
        <v/>
      </c>
      <c r="H792" t="str">
        <f>"inv# 8560488"</f>
        <v>inv# 8560488</v>
      </c>
    </row>
    <row r="793" spans="1:8" x14ac:dyDescent="0.25">
      <c r="E793" t="str">
        <f>""</f>
        <v/>
      </c>
      <c r="F793" t="str">
        <f>""</f>
        <v/>
      </c>
      <c r="H793" t="str">
        <f>"inv# 3026063"</f>
        <v>inv# 3026063</v>
      </c>
    </row>
    <row r="794" spans="1:8" x14ac:dyDescent="0.25">
      <c r="E794" t="str">
        <f>""</f>
        <v/>
      </c>
      <c r="F794" t="str">
        <f>""</f>
        <v/>
      </c>
      <c r="H794" t="str">
        <f>"inv# 1014023"</f>
        <v>inv# 1014023</v>
      </c>
    </row>
    <row r="795" spans="1:8" x14ac:dyDescent="0.25">
      <c r="E795" t="str">
        <f>"4012522 4023659 40"</f>
        <v>4012522 4023659 40</v>
      </c>
      <c r="F795" t="str">
        <f>"Acct#3780"</f>
        <v>Acct#3780</v>
      </c>
      <c r="G795" s="2">
        <v>162.13</v>
      </c>
      <c r="H795" t="str">
        <f>"Inv# 4012522"</f>
        <v>Inv# 4012522</v>
      </c>
    </row>
    <row r="796" spans="1:8" x14ac:dyDescent="0.25">
      <c r="E796" t="str">
        <f>""</f>
        <v/>
      </c>
      <c r="F796" t="str">
        <f>""</f>
        <v/>
      </c>
      <c r="H796" t="str">
        <f>"Inv# 4023659"</f>
        <v>Inv# 4023659</v>
      </c>
    </row>
    <row r="797" spans="1:8" x14ac:dyDescent="0.25">
      <c r="E797" t="str">
        <f>""</f>
        <v/>
      </c>
      <c r="F797" t="str">
        <f>""</f>
        <v/>
      </c>
      <c r="H797" t="str">
        <f>"Inv# 4023664"</f>
        <v>Inv# 4023664</v>
      </c>
    </row>
    <row r="798" spans="1:8" x14ac:dyDescent="0.25">
      <c r="E798" t="str">
        <f>"7270939 7441358"</f>
        <v>7270939 7441358</v>
      </c>
      <c r="F798" t="str">
        <f>"Acct# 3780"</f>
        <v>Acct# 3780</v>
      </c>
      <c r="G798" s="2">
        <v>347.48</v>
      </c>
      <c r="H798" t="str">
        <f>"Inv# 7270939"</f>
        <v>Inv# 7270939</v>
      </c>
    </row>
    <row r="799" spans="1:8" x14ac:dyDescent="0.25">
      <c r="E799" t="str">
        <f>""</f>
        <v/>
      </c>
      <c r="F799" t="str">
        <f>""</f>
        <v/>
      </c>
      <c r="H799" t="str">
        <f>"Inv# 7441358"</f>
        <v>Inv# 7441358</v>
      </c>
    </row>
    <row r="800" spans="1:8" x14ac:dyDescent="0.25">
      <c r="A800" t="s">
        <v>239</v>
      </c>
      <c r="B800">
        <v>999999</v>
      </c>
      <c r="C800" s="3">
        <v>590.4</v>
      </c>
      <c r="D800" s="1">
        <v>43431</v>
      </c>
      <c r="E800" t="str">
        <f>"91957"</f>
        <v>91957</v>
      </c>
      <c r="F800" t="str">
        <f>"SERVICE / P1"</f>
        <v>SERVICE / P1</v>
      </c>
      <c r="G800" s="2">
        <v>590.4</v>
      </c>
      <c r="H800" t="str">
        <f>"SERVICE / P1"</f>
        <v>SERVICE / P1</v>
      </c>
    </row>
    <row r="801" spans="1:8" x14ac:dyDescent="0.25">
      <c r="A801" t="s">
        <v>240</v>
      </c>
      <c r="B801">
        <v>79380</v>
      </c>
      <c r="C801" s="3">
        <v>1784.95</v>
      </c>
      <c r="D801" s="1">
        <v>43411</v>
      </c>
      <c r="E801" t="str">
        <f>"S1811020001-00026"</f>
        <v>S1811020001-00026</v>
      </c>
      <c r="F801" t="str">
        <f>"ACCT#100402264 / 11022018"</f>
        <v>ACCT#100402264 / 11022018</v>
      </c>
      <c r="G801" s="2">
        <v>1784.95</v>
      </c>
      <c r="H801" t="str">
        <f>"ACCT#100402264 / 11022018"</f>
        <v>ACCT#100402264 / 11022018</v>
      </c>
    </row>
    <row r="802" spans="1:8" x14ac:dyDescent="0.25">
      <c r="E802" t="str">
        <f>""</f>
        <v/>
      </c>
      <c r="F802" t="str">
        <f>""</f>
        <v/>
      </c>
      <c r="H802" t="str">
        <f>"ACCT#100402264 / 11022018"</f>
        <v>ACCT#100402264 / 11022018</v>
      </c>
    </row>
    <row r="803" spans="1:8" x14ac:dyDescent="0.25">
      <c r="E803" t="str">
        <f>""</f>
        <v/>
      </c>
      <c r="F803" t="str">
        <f>""</f>
        <v/>
      </c>
      <c r="H803" t="str">
        <f>"ACCT#100402264 / 11022018"</f>
        <v>ACCT#100402264 / 11022018</v>
      </c>
    </row>
    <row r="804" spans="1:8" x14ac:dyDescent="0.25">
      <c r="A804" t="s">
        <v>241</v>
      </c>
      <c r="B804">
        <v>999999</v>
      </c>
      <c r="C804" s="3">
        <v>338.8</v>
      </c>
      <c r="D804" s="1">
        <v>43418</v>
      </c>
      <c r="E804" t="str">
        <f>"W2267200"</f>
        <v>W2267200</v>
      </c>
      <c r="F804" t="str">
        <f>"INV W2267200"</f>
        <v>INV W2267200</v>
      </c>
      <c r="G804" s="2">
        <v>338.8</v>
      </c>
      <c r="H804" t="str">
        <f>"INV W2267200"</f>
        <v>INV W2267200</v>
      </c>
    </row>
    <row r="805" spans="1:8" x14ac:dyDescent="0.25">
      <c r="A805" t="s">
        <v>242</v>
      </c>
      <c r="B805">
        <v>79499</v>
      </c>
      <c r="C805" s="3">
        <v>219.84</v>
      </c>
      <c r="D805" s="1">
        <v>43417</v>
      </c>
      <c r="E805" t="str">
        <f>"1530939"</f>
        <v>1530939</v>
      </c>
      <c r="F805" t="str">
        <f>"INV 1530939"</f>
        <v>INV 1530939</v>
      </c>
      <c r="G805" s="2">
        <v>219.84</v>
      </c>
      <c r="H805" t="str">
        <f>"INV 1530939"</f>
        <v>INV 1530939</v>
      </c>
    </row>
    <row r="806" spans="1:8" x14ac:dyDescent="0.25">
      <c r="A806" t="s">
        <v>243</v>
      </c>
      <c r="B806">
        <v>79706</v>
      </c>
      <c r="C806" s="3">
        <v>4266.37</v>
      </c>
      <c r="D806" s="1">
        <v>43430</v>
      </c>
      <c r="E806" t="str">
        <f>"1844089"</f>
        <v>1844089</v>
      </c>
      <c r="F806" t="str">
        <f>"Inv# 1844089"</f>
        <v>Inv# 1844089</v>
      </c>
      <c r="G806" s="2">
        <v>2163.3200000000002</v>
      </c>
      <c r="H806" t="str">
        <f>"Rhodium"</f>
        <v>Rhodium</v>
      </c>
    </row>
    <row r="807" spans="1:8" x14ac:dyDescent="0.25">
      <c r="E807" t="str">
        <f>""</f>
        <v/>
      </c>
      <c r="F807" t="str">
        <f>""</f>
        <v/>
      </c>
      <c r="H807" t="str">
        <f>"Finance Charge-Augus"</f>
        <v>Finance Charge-Augus</v>
      </c>
    </row>
    <row r="808" spans="1:8" x14ac:dyDescent="0.25">
      <c r="E808" t="str">
        <f>""</f>
        <v/>
      </c>
      <c r="F808" t="str">
        <f>""</f>
        <v/>
      </c>
      <c r="H808" t="str">
        <f>"Finance Charge- Sept"</f>
        <v>Finance Charge- Sept</v>
      </c>
    </row>
    <row r="809" spans="1:8" x14ac:dyDescent="0.25">
      <c r="E809" t="str">
        <f>"1844089-Oct"</f>
        <v>1844089-Oct</v>
      </c>
      <c r="F809" t="str">
        <f>"Inv# 1844089"</f>
        <v>Inv# 1844089</v>
      </c>
      <c r="G809" s="2">
        <v>2103.0500000000002</v>
      </c>
      <c r="H809" t="str">
        <f>"Fiance Charge-Oct"</f>
        <v>Fiance Charge-Oct</v>
      </c>
    </row>
    <row r="810" spans="1:8" x14ac:dyDescent="0.25">
      <c r="E810" t="str">
        <f>""</f>
        <v/>
      </c>
      <c r="F810" t="str">
        <f>""</f>
        <v/>
      </c>
      <c r="H810" t="str">
        <f>"Rhodium Annual"</f>
        <v>Rhodium Annual</v>
      </c>
    </row>
    <row r="811" spans="1:8" x14ac:dyDescent="0.25">
      <c r="A811" t="s">
        <v>244</v>
      </c>
      <c r="B811">
        <v>999999</v>
      </c>
      <c r="C811" s="3">
        <v>2430</v>
      </c>
      <c r="D811" s="1">
        <v>43418</v>
      </c>
      <c r="E811" t="str">
        <f>"66815"</f>
        <v>66815</v>
      </c>
      <c r="F811" t="str">
        <f>"PROF SVCS DECEMBER 2018"</f>
        <v>PROF SVCS DECEMBER 2018</v>
      </c>
      <c r="G811" s="2">
        <v>2430</v>
      </c>
      <c r="H811" t="str">
        <f>"PROF SVCS DECEMBER 2018"</f>
        <v>PROF SVCS DECEMBER 2018</v>
      </c>
    </row>
    <row r="812" spans="1:8" x14ac:dyDescent="0.25">
      <c r="E812" t="str">
        <f>""</f>
        <v/>
      </c>
      <c r="F812" t="str">
        <f>""</f>
        <v/>
      </c>
      <c r="H812" t="str">
        <f>"PROF SVCS DECEMBER 2018"</f>
        <v>PROF SVCS DECEMBER 2018</v>
      </c>
    </row>
    <row r="813" spans="1:8" x14ac:dyDescent="0.25">
      <c r="A813" t="s">
        <v>245</v>
      </c>
      <c r="B813">
        <v>79500</v>
      </c>
      <c r="C813" s="3">
        <v>109</v>
      </c>
      <c r="D813" s="1">
        <v>43417</v>
      </c>
      <c r="E813" t="str">
        <f>"39812-S8H4G1"</f>
        <v>39812-S8H4G1</v>
      </c>
      <c r="F813" t="str">
        <f>"MEMBERSHIP FEE"</f>
        <v>MEMBERSHIP FEE</v>
      </c>
      <c r="G813" s="2">
        <v>109</v>
      </c>
      <c r="H813" t="str">
        <f>"MEMBERSHIP FEE"</f>
        <v>MEMBERSHIP FEE</v>
      </c>
    </row>
    <row r="814" spans="1:8" x14ac:dyDescent="0.25">
      <c r="A814" t="s">
        <v>246</v>
      </c>
      <c r="B814">
        <v>79501</v>
      </c>
      <c r="C814" s="3">
        <v>68.760000000000005</v>
      </c>
      <c r="D814" s="1">
        <v>43417</v>
      </c>
      <c r="E814" t="str">
        <f>"AGUL367"</f>
        <v>AGUL367</v>
      </c>
      <c r="F814" t="str">
        <f>"CUST:AX773/BASTROP CNTY CLERK"</f>
        <v>CUST:AX773/BASTROP CNTY CLERK</v>
      </c>
      <c r="G814" s="2">
        <v>68.760000000000005</v>
      </c>
      <c r="H814" t="str">
        <f>"CUST:AX773/BASTROP CNTY CLERK"</f>
        <v>CUST:AX773/BASTROP CNTY CLERK</v>
      </c>
    </row>
    <row r="815" spans="1:8" x14ac:dyDescent="0.25">
      <c r="A815" t="s">
        <v>247</v>
      </c>
      <c r="B815">
        <v>79502</v>
      </c>
      <c r="C815" s="3">
        <v>375</v>
      </c>
      <c r="D815" s="1">
        <v>43417</v>
      </c>
      <c r="E815" t="str">
        <f>"201811074942"</f>
        <v>201811074942</v>
      </c>
      <c r="F815" t="str">
        <f>"TRAINING"</f>
        <v>TRAINING</v>
      </c>
      <c r="G815" s="2">
        <v>375</v>
      </c>
      <c r="H815" t="str">
        <f>"TRAINING"</f>
        <v>TRAINING</v>
      </c>
    </row>
    <row r="816" spans="1:8" x14ac:dyDescent="0.25">
      <c r="A816" t="s">
        <v>248</v>
      </c>
      <c r="B816">
        <v>79707</v>
      </c>
      <c r="C816" s="3">
        <v>247.7</v>
      </c>
      <c r="D816" s="1">
        <v>43430</v>
      </c>
      <c r="E816" t="str">
        <f>"201811165265"</f>
        <v>201811165265</v>
      </c>
      <c r="F816" t="str">
        <f>"REIMBURSE HOTEL"</f>
        <v>REIMBURSE HOTEL</v>
      </c>
      <c r="G816" s="2">
        <v>247.7</v>
      </c>
      <c r="H816" t="str">
        <f>"REIMBURSE HOTEL"</f>
        <v>REIMBURSE HOTEL</v>
      </c>
    </row>
    <row r="817" spans="1:9" x14ac:dyDescent="0.25">
      <c r="A817" t="s">
        <v>249</v>
      </c>
      <c r="B817">
        <v>79503</v>
      </c>
      <c r="C817" s="3">
        <v>500</v>
      </c>
      <c r="D817" s="1">
        <v>43417</v>
      </c>
      <c r="E817" t="str">
        <f>"201811064917"</f>
        <v>201811064917</v>
      </c>
      <c r="F817" t="str">
        <f>"56 317"</f>
        <v>56 317</v>
      </c>
      <c r="G817" s="2">
        <v>250</v>
      </c>
      <c r="H817" t="str">
        <f>"56 317"</f>
        <v>56 317</v>
      </c>
    </row>
    <row r="818" spans="1:9" x14ac:dyDescent="0.25">
      <c r="E818" t="str">
        <f>"201811064918"</f>
        <v>201811064918</v>
      </c>
      <c r="F818" t="str">
        <f>"56 180"</f>
        <v>56 180</v>
      </c>
      <c r="G818" s="2">
        <v>250</v>
      </c>
      <c r="H818" t="str">
        <f>"56 180"</f>
        <v>56 180</v>
      </c>
    </row>
    <row r="819" spans="1:9" x14ac:dyDescent="0.25">
      <c r="A819" t="s">
        <v>250</v>
      </c>
      <c r="B819">
        <v>79708</v>
      </c>
      <c r="C819" s="3">
        <v>7</v>
      </c>
      <c r="D819" s="1">
        <v>43430</v>
      </c>
      <c r="E819" t="str">
        <f>"60383"</f>
        <v>60383</v>
      </c>
      <c r="F819" t="str">
        <f>"INSPECTION 2011 FORD PK/PCT#4"</f>
        <v>INSPECTION 2011 FORD PK/PCT#4</v>
      </c>
      <c r="G819" s="2">
        <v>7</v>
      </c>
      <c r="H819" t="str">
        <f>"INSPECTION 2011 FORD PK/PCT#4"</f>
        <v>INSPECTION 2011 FORD PK/PCT#4</v>
      </c>
    </row>
    <row r="820" spans="1:9" x14ac:dyDescent="0.25">
      <c r="A820" t="s">
        <v>251</v>
      </c>
      <c r="B820">
        <v>999999</v>
      </c>
      <c r="C820" s="3">
        <v>1300</v>
      </c>
      <c r="D820" s="1">
        <v>43418</v>
      </c>
      <c r="E820" t="s">
        <v>229</v>
      </c>
      <c r="F820" t="s">
        <v>252</v>
      </c>
      <c r="G820" s="2" t="str">
        <f>"AD LITEM FEE"</f>
        <v>AD LITEM FEE</v>
      </c>
      <c r="H820" t="str">
        <f>"995-4110"</f>
        <v>995-4110</v>
      </c>
      <c r="I820" t="str">
        <f>""</f>
        <v/>
      </c>
    </row>
    <row r="821" spans="1:9" x14ac:dyDescent="0.25">
      <c r="E821" t="str">
        <f>"201810304722"</f>
        <v>201810304722</v>
      </c>
      <c r="F821" t="str">
        <f>"55 803"</f>
        <v>55 803</v>
      </c>
      <c r="G821" s="2">
        <v>250</v>
      </c>
      <c r="H821" t="str">
        <f>"55 803"</f>
        <v>55 803</v>
      </c>
    </row>
    <row r="822" spans="1:9" x14ac:dyDescent="0.25">
      <c r="E822" t="str">
        <f>"201810304729"</f>
        <v>201810304729</v>
      </c>
      <c r="F822" t="str">
        <f>"18-19190"</f>
        <v>18-19190</v>
      </c>
      <c r="G822" s="2">
        <v>100</v>
      </c>
      <c r="H822" t="str">
        <f>"18-19190"</f>
        <v>18-19190</v>
      </c>
    </row>
    <row r="823" spans="1:9" x14ac:dyDescent="0.25">
      <c r="E823" t="str">
        <f>"201810304734"</f>
        <v>201810304734</v>
      </c>
      <c r="F823" t="str">
        <f>"18-18992"</f>
        <v>18-18992</v>
      </c>
      <c r="G823" s="2">
        <v>100</v>
      </c>
      <c r="H823" t="str">
        <f>"18-18992"</f>
        <v>18-18992</v>
      </c>
    </row>
    <row r="824" spans="1:9" x14ac:dyDescent="0.25">
      <c r="E824" t="str">
        <f>"201811064925"</f>
        <v>201811064925</v>
      </c>
      <c r="F824" t="str">
        <f>"CO20181013 TRN925-350-8523 LEA"</f>
        <v>CO20181013 TRN925-350-8523 LEA</v>
      </c>
      <c r="G824" s="2">
        <v>250</v>
      </c>
      <c r="H824" t="str">
        <f>"CO20181013 TRN925-350-8523 LEA"</f>
        <v>CO20181013 TRN925-350-8523 LEA</v>
      </c>
    </row>
    <row r="825" spans="1:9" x14ac:dyDescent="0.25">
      <c r="E825" t="str">
        <f>"201811064928"</f>
        <v>201811064928</v>
      </c>
      <c r="F825" t="str">
        <f>"56 407 56 408 56 409"</f>
        <v>56 407 56 408 56 409</v>
      </c>
      <c r="G825" s="2">
        <v>500</v>
      </c>
      <c r="H825" t="str">
        <f>"56 407 56 408 56 409"</f>
        <v>56 407 56 408 56 409</v>
      </c>
    </row>
    <row r="826" spans="1:9" x14ac:dyDescent="0.25">
      <c r="A826" t="s">
        <v>251</v>
      </c>
      <c r="B826">
        <v>999999</v>
      </c>
      <c r="C826" s="3">
        <v>2196.5300000000002</v>
      </c>
      <c r="D826" s="1">
        <v>43431</v>
      </c>
      <c r="E826" t="s">
        <v>88</v>
      </c>
      <c r="F826" t="s">
        <v>253</v>
      </c>
      <c r="G826" s="2" t="str">
        <f>"AD LITEM FEE"</f>
        <v>AD LITEM FEE</v>
      </c>
      <c r="H826" t="str">
        <f>"995-4110"</f>
        <v>995-4110</v>
      </c>
      <c r="I826" t="str">
        <f>""</f>
        <v/>
      </c>
    </row>
    <row r="827" spans="1:9" x14ac:dyDescent="0.25">
      <c r="E827" t="str">
        <f>"11620"</f>
        <v>11620</v>
      </c>
      <c r="F827" t="str">
        <f>"AD LITEM FEE"</f>
        <v>AD LITEM FEE</v>
      </c>
      <c r="G827" s="2">
        <v>150</v>
      </c>
      <c r="H827" t="str">
        <f>"AD LITEM FEE"</f>
        <v>AD LITEM FEE</v>
      </c>
    </row>
    <row r="828" spans="1:9" x14ac:dyDescent="0.25">
      <c r="E828" t="str">
        <f>"11689"</f>
        <v>11689</v>
      </c>
      <c r="F828" t="str">
        <f>"AD LITEM FEE"</f>
        <v>AD LITEM FEE</v>
      </c>
      <c r="G828" s="2">
        <v>150</v>
      </c>
      <c r="H828" t="str">
        <f>"AD LITEM FEE"</f>
        <v>AD LITEM FEE</v>
      </c>
    </row>
    <row r="829" spans="1:9" x14ac:dyDescent="0.25">
      <c r="E829" t="str">
        <f>"11871"</f>
        <v>11871</v>
      </c>
      <c r="F829" t="str">
        <f>"AD LITEM FEE"</f>
        <v>AD LITEM FEE</v>
      </c>
      <c r="G829" s="2">
        <v>150</v>
      </c>
      <c r="H829" t="str">
        <f>"AD LITEM FEE"</f>
        <v>AD LITEM FEE</v>
      </c>
    </row>
    <row r="830" spans="1:9" x14ac:dyDescent="0.25">
      <c r="E830" t="str">
        <f>"12684"</f>
        <v>12684</v>
      </c>
      <c r="F830" t="str">
        <f>"AD LITEM"</f>
        <v>AD LITEM</v>
      </c>
      <c r="G830" s="2">
        <v>150</v>
      </c>
      <c r="H830" t="str">
        <f>"AD LITEM"</f>
        <v>AD LITEM</v>
      </c>
    </row>
    <row r="831" spans="1:9" x14ac:dyDescent="0.25">
      <c r="E831" t="str">
        <f>"12745"</f>
        <v>12745</v>
      </c>
      <c r="F831" t="str">
        <f>"AD LITEM FEE"</f>
        <v>AD LITEM FEE</v>
      </c>
      <c r="G831" s="2">
        <v>150</v>
      </c>
      <c r="H831" t="str">
        <f>"AD LITEM FEE"</f>
        <v>AD LITEM FEE</v>
      </c>
    </row>
    <row r="832" spans="1:9" x14ac:dyDescent="0.25">
      <c r="E832" t="str">
        <f>"12754"</f>
        <v>12754</v>
      </c>
      <c r="F832" t="str">
        <f>"AD LITEM FEE"</f>
        <v>AD LITEM FEE</v>
      </c>
      <c r="G832" s="2">
        <v>150</v>
      </c>
      <c r="H832" t="str">
        <f>"AD LITEM FEE"</f>
        <v>AD LITEM FEE</v>
      </c>
    </row>
    <row r="833" spans="1:8" x14ac:dyDescent="0.25">
      <c r="E833" t="str">
        <f>"201811145096"</f>
        <v>201811145096</v>
      </c>
      <c r="F833" t="str">
        <f>"CH-20181026 TRN925350970819001"</f>
        <v>CH-20181026 TRN925350970819001</v>
      </c>
      <c r="G833" s="2">
        <v>250</v>
      </c>
      <c r="H833" t="str">
        <f>"CH-20181026 TRN925350970819001"</f>
        <v>CH-20181026 TRN925350970819001</v>
      </c>
    </row>
    <row r="834" spans="1:8" x14ac:dyDescent="0.25">
      <c r="E834" t="str">
        <f>"201811145105"</f>
        <v>201811145105</v>
      </c>
      <c r="F834" t="str">
        <f>"18-18908"</f>
        <v>18-18908</v>
      </c>
      <c r="G834" s="2">
        <v>100</v>
      </c>
      <c r="H834" t="str">
        <f>"18-18908"</f>
        <v>18-18908</v>
      </c>
    </row>
    <row r="835" spans="1:8" x14ac:dyDescent="0.25">
      <c r="E835" t="str">
        <f>"201811145106"</f>
        <v>201811145106</v>
      </c>
      <c r="F835" t="str">
        <f>"17-18786"</f>
        <v>17-18786</v>
      </c>
      <c r="G835" s="2">
        <v>100</v>
      </c>
      <c r="H835" t="str">
        <f>"17-18786"</f>
        <v>17-18786</v>
      </c>
    </row>
    <row r="836" spans="1:8" x14ac:dyDescent="0.25">
      <c r="E836" t="str">
        <f>"201811145107"</f>
        <v>201811145107</v>
      </c>
      <c r="F836" t="str">
        <f>"18-19016"</f>
        <v>18-19016</v>
      </c>
      <c r="G836" s="2">
        <v>100</v>
      </c>
      <c r="H836" t="str">
        <f>"18-19016"</f>
        <v>18-19016</v>
      </c>
    </row>
    <row r="837" spans="1:8" x14ac:dyDescent="0.25">
      <c r="E837" t="str">
        <f>"201811145108"</f>
        <v>201811145108</v>
      </c>
      <c r="F837" t="str">
        <f>"17-18754"</f>
        <v>17-18754</v>
      </c>
      <c r="G837" s="2">
        <v>100</v>
      </c>
      <c r="H837" t="str">
        <f>"17-18754"</f>
        <v>17-18754</v>
      </c>
    </row>
    <row r="838" spans="1:8" x14ac:dyDescent="0.25">
      <c r="E838" t="str">
        <f>"201811145110"</f>
        <v>201811145110</v>
      </c>
      <c r="F838" t="str">
        <f>"18-19023"</f>
        <v>18-19023</v>
      </c>
      <c r="G838" s="2">
        <v>100</v>
      </c>
      <c r="H838" t="str">
        <f>"18-19023"</f>
        <v>18-19023</v>
      </c>
    </row>
    <row r="839" spans="1:8" x14ac:dyDescent="0.25">
      <c r="E839" t="str">
        <f>"201811145123"</f>
        <v>201811145123</v>
      </c>
      <c r="F839" t="str">
        <f>"423-5164"</f>
        <v>423-5164</v>
      </c>
      <c r="G839" s="2">
        <v>172.5</v>
      </c>
      <c r="H839" t="str">
        <f>"423-5164"</f>
        <v>423-5164</v>
      </c>
    </row>
    <row r="840" spans="1:8" x14ac:dyDescent="0.25">
      <c r="E840" t="str">
        <f>"201811155204"</f>
        <v>201811155204</v>
      </c>
      <c r="F840" t="str">
        <f>"55 278"</f>
        <v>55 278</v>
      </c>
      <c r="G840" s="2">
        <v>250</v>
      </c>
      <c r="H840" t="str">
        <f>"55 278"</f>
        <v>55 278</v>
      </c>
    </row>
    <row r="841" spans="1:8" x14ac:dyDescent="0.25">
      <c r="A841" t="s">
        <v>254</v>
      </c>
      <c r="B841">
        <v>79504</v>
      </c>
      <c r="C841" s="3">
        <v>375</v>
      </c>
      <c r="D841" s="1">
        <v>43417</v>
      </c>
      <c r="E841" t="str">
        <f>"1080"</f>
        <v>1080</v>
      </c>
      <c r="F841" t="str">
        <f>"INV 1080"</f>
        <v>INV 1080</v>
      </c>
      <c r="G841" s="2">
        <v>225</v>
      </c>
      <c r="H841" t="str">
        <f>"INV 1080"</f>
        <v>INV 1080</v>
      </c>
    </row>
    <row r="842" spans="1:8" x14ac:dyDescent="0.25">
      <c r="E842" t="str">
        <f>"1081"</f>
        <v>1081</v>
      </c>
      <c r="F842" t="str">
        <f>"INV 1081"</f>
        <v>INV 1081</v>
      </c>
      <c r="G842" s="2">
        <v>150</v>
      </c>
      <c r="H842" t="str">
        <f>"INV 1081"</f>
        <v>INV 1081</v>
      </c>
    </row>
    <row r="843" spans="1:8" x14ac:dyDescent="0.25">
      <c r="A843" t="s">
        <v>254</v>
      </c>
      <c r="B843">
        <v>79709</v>
      </c>
      <c r="C843" s="3">
        <v>495</v>
      </c>
      <c r="D843" s="1">
        <v>43430</v>
      </c>
      <c r="E843" t="str">
        <f>"1086"</f>
        <v>1086</v>
      </c>
      <c r="F843" t="str">
        <f>"INV 1086"</f>
        <v>INV 1086</v>
      </c>
      <c r="G843" s="2">
        <v>140</v>
      </c>
      <c r="H843" t="str">
        <f>"INV 1086"</f>
        <v>INV 1086</v>
      </c>
    </row>
    <row r="844" spans="1:8" x14ac:dyDescent="0.25">
      <c r="E844" t="str">
        <f>"1088"</f>
        <v>1088</v>
      </c>
      <c r="F844" t="str">
        <f>"INV 1088"</f>
        <v>INV 1088</v>
      </c>
      <c r="G844" s="2">
        <v>140</v>
      </c>
      <c r="H844" t="str">
        <f>"INV 1088"</f>
        <v>INV 1088</v>
      </c>
    </row>
    <row r="845" spans="1:8" x14ac:dyDescent="0.25">
      <c r="E845" t="str">
        <f>"1089"</f>
        <v>1089</v>
      </c>
      <c r="F845" t="str">
        <f>"INV 1089"</f>
        <v>INV 1089</v>
      </c>
      <c r="G845" s="2">
        <v>215</v>
      </c>
      <c r="H845" t="str">
        <f>"INV 1089"</f>
        <v>INV 1089</v>
      </c>
    </row>
    <row r="846" spans="1:8" x14ac:dyDescent="0.25">
      <c r="A846" t="s">
        <v>255</v>
      </c>
      <c r="B846">
        <v>79505</v>
      </c>
      <c r="C846" s="3">
        <v>268.81</v>
      </c>
      <c r="D846" s="1">
        <v>43417</v>
      </c>
      <c r="E846" t="str">
        <f>"P73119  P73120"</f>
        <v>P73119  P73120</v>
      </c>
      <c r="F846" t="str">
        <f>"ACCT#8850283308/PCT#3"</f>
        <v>ACCT#8850283308/PCT#3</v>
      </c>
      <c r="G846" s="2">
        <v>215.94</v>
      </c>
      <c r="H846" t="str">
        <f>"ACCT#8850283308/PCT#3"</f>
        <v>ACCT#8850283308/PCT#3</v>
      </c>
    </row>
    <row r="847" spans="1:8" x14ac:dyDescent="0.25">
      <c r="E847" t="str">
        <f>"P73902"</f>
        <v>P73902</v>
      </c>
      <c r="F847" t="str">
        <f>"ACCT#8850283308/PCT#1"</f>
        <v>ACCT#8850283308/PCT#1</v>
      </c>
      <c r="G847" s="2">
        <v>52.87</v>
      </c>
      <c r="H847" t="str">
        <f>"ACCT#8850283308/PCT#1"</f>
        <v>ACCT#8850283308/PCT#1</v>
      </c>
    </row>
    <row r="848" spans="1:8" x14ac:dyDescent="0.25">
      <c r="A848" t="s">
        <v>256</v>
      </c>
      <c r="B848">
        <v>79710</v>
      </c>
      <c r="C848" s="3">
        <v>277.42</v>
      </c>
      <c r="D848" s="1">
        <v>43430</v>
      </c>
      <c r="E848" t="str">
        <f>"201811155164"</f>
        <v>201811155164</v>
      </c>
      <c r="F848" t="str">
        <f>"MILEAGE REIMBURSEMENT"</f>
        <v>MILEAGE REIMBURSEMENT</v>
      </c>
      <c r="G848" s="2">
        <v>218.01</v>
      </c>
      <c r="H848" t="str">
        <f>"MILEAGE REIMBURSEMENT"</f>
        <v>MILEAGE REIMBURSEMENT</v>
      </c>
    </row>
    <row r="849" spans="1:8" x14ac:dyDescent="0.25">
      <c r="E849" t="str">
        <f>"201811155165"</f>
        <v>201811155165</v>
      </c>
      <c r="F849" t="str">
        <f>"MILEAGE REIMBURSEMENT"</f>
        <v>MILEAGE REIMBURSEMENT</v>
      </c>
      <c r="G849" s="2">
        <v>59.41</v>
      </c>
      <c r="H849" t="str">
        <f>"MILEAGE REIMBURSEMENT"</f>
        <v>MILEAGE REIMBURSEMENT</v>
      </c>
    </row>
    <row r="850" spans="1:8" x14ac:dyDescent="0.25">
      <c r="A850" t="s">
        <v>257</v>
      </c>
      <c r="B850">
        <v>999999</v>
      </c>
      <c r="C850" s="3">
        <v>2000</v>
      </c>
      <c r="D850" s="1">
        <v>43418</v>
      </c>
      <c r="E850" t="str">
        <f>"201810234632"</f>
        <v>201810234632</v>
      </c>
      <c r="F850" t="str">
        <f>"423-2898"</f>
        <v>423-2898</v>
      </c>
      <c r="G850" s="2">
        <v>175</v>
      </c>
      <c r="H850" t="str">
        <f>"423-2898"</f>
        <v>423-2898</v>
      </c>
    </row>
    <row r="851" spans="1:8" x14ac:dyDescent="0.25">
      <c r="E851" t="str">
        <f>"201810304720"</f>
        <v>201810304720</v>
      </c>
      <c r="F851" t="str">
        <f>"20160504"</f>
        <v>20160504</v>
      </c>
      <c r="G851" s="2">
        <v>250</v>
      </c>
      <c r="H851" t="str">
        <f>"20160504"</f>
        <v>20160504</v>
      </c>
    </row>
    <row r="852" spans="1:8" x14ac:dyDescent="0.25">
      <c r="E852" t="str">
        <f>"201810304750"</f>
        <v>201810304750</v>
      </c>
      <c r="F852" t="str">
        <f>"16646"</f>
        <v>16646</v>
      </c>
      <c r="G852" s="2">
        <v>400</v>
      </c>
      <c r="H852" t="str">
        <f>"16646"</f>
        <v>16646</v>
      </c>
    </row>
    <row r="853" spans="1:8" x14ac:dyDescent="0.25">
      <c r="E853" t="str">
        <f>"201811014778"</f>
        <v>201811014778</v>
      </c>
      <c r="F853" t="str">
        <f>"16114"</f>
        <v>16114</v>
      </c>
      <c r="G853" s="2">
        <v>400</v>
      </c>
      <c r="H853" t="str">
        <f>"16114"</f>
        <v>16114</v>
      </c>
    </row>
    <row r="854" spans="1:8" x14ac:dyDescent="0.25">
      <c r="E854" t="str">
        <f>"201811014779"</f>
        <v>201811014779</v>
      </c>
      <c r="F854" t="str">
        <f>"16133"</f>
        <v>16133</v>
      </c>
      <c r="G854" s="2">
        <v>400</v>
      </c>
      <c r="H854" t="str">
        <f>"16133"</f>
        <v>16133</v>
      </c>
    </row>
    <row r="855" spans="1:8" x14ac:dyDescent="0.25">
      <c r="E855" t="str">
        <f>"201811064921"</f>
        <v>201811064921</v>
      </c>
      <c r="F855" t="str">
        <f>"55801  307052017E"</f>
        <v>55801  307052017E</v>
      </c>
      <c r="G855" s="2">
        <v>375</v>
      </c>
      <c r="H855" t="str">
        <f>"55801  307052017E"</f>
        <v>55801  307052017E</v>
      </c>
    </row>
    <row r="856" spans="1:8" x14ac:dyDescent="0.25">
      <c r="A856" t="s">
        <v>257</v>
      </c>
      <c r="B856">
        <v>999999</v>
      </c>
      <c r="C856" s="3">
        <v>1150</v>
      </c>
      <c r="D856" s="1">
        <v>43431</v>
      </c>
      <c r="E856" t="str">
        <f>"201811145104"</f>
        <v>201811145104</v>
      </c>
      <c r="F856" t="str">
        <f>"18-19344"</f>
        <v>18-19344</v>
      </c>
      <c r="G856" s="2">
        <v>100</v>
      </c>
      <c r="H856" t="str">
        <f>"18-19344"</f>
        <v>18-19344</v>
      </c>
    </row>
    <row r="857" spans="1:8" x14ac:dyDescent="0.25">
      <c r="E857" t="str">
        <f>"201811145109"</f>
        <v>201811145109</v>
      </c>
      <c r="F857" t="str">
        <f>"18-19345"</f>
        <v>18-19345</v>
      </c>
      <c r="G857" s="2">
        <v>100</v>
      </c>
      <c r="H857" t="str">
        <f>"18-19345"</f>
        <v>18-19345</v>
      </c>
    </row>
    <row r="858" spans="1:8" x14ac:dyDescent="0.25">
      <c r="E858" t="str">
        <f>"201811155177"</f>
        <v>201811155177</v>
      </c>
      <c r="F858" t="str">
        <f>"423-6143"</f>
        <v>423-6143</v>
      </c>
      <c r="G858" s="2">
        <v>100</v>
      </c>
      <c r="H858" t="str">
        <f>"423-6143"</f>
        <v>423-6143</v>
      </c>
    </row>
    <row r="859" spans="1:8" x14ac:dyDescent="0.25">
      <c r="E859" t="str">
        <f>"201811155178"</f>
        <v>201811155178</v>
      </c>
      <c r="F859" t="str">
        <f>"982-335"</f>
        <v>982-335</v>
      </c>
      <c r="G859" s="2">
        <v>100</v>
      </c>
      <c r="H859" t="str">
        <f>"982-335"</f>
        <v>982-335</v>
      </c>
    </row>
    <row r="860" spans="1:8" x14ac:dyDescent="0.25">
      <c r="E860" t="str">
        <f>"201811155197"</f>
        <v>201811155197</v>
      </c>
      <c r="F860" t="str">
        <f>"56399"</f>
        <v>56399</v>
      </c>
      <c r="G860" s="2">
        <v>250</v>
      </c>
      <c r="H860" t="str">
        <f>"56399"</f>
        <v>56399</v>
      </c>
    </row>
    <row r="861" spans="1:8" x14ac:dyDescent="0.25">
      <c r="E861" t="str">
        <f>"201811155198"</f>
        <v>201811155198</v>
      </c>
      <c r="F861" t="str">
        <f>"56300"</f>
        <v>56300</v>
      </c>
      <c r="G861" s="2">
        <v>250</v>
      </c>
      <c r="H861" t="str">
        <f>"56300"</f>
        <v>56300</v>
      </c>
    </row>
    <row r="862" spans="1:8" x14ac:dyDescent="0.25">
      <c r="E862" t="str">
        <f>"201811155203"</f>
        <v>201811155203</v>
      </c>
      <c r="F862" t="str">
        <f>"201606486"</f>
        <v>201606486</v>
      </c>
      <c r="G862" s="2">
        <v>250</v>
      </c>
      <c r="H862" t="str">
        <f>"201606486"</f>
        <v>201606486</v>
      </c>
    </row>
    <row r="863" spans="1:8" x14ac:dyDescent="0.25">
      <c r="A863" t="s">
        <v>258</v>
      </c>
      <c r="B863">
        <v>79506</v>
      </c>
      <c r="C863" s="3">
        <v>134.63999999999999</v>
      </c>
      <c r="D863" s="1">
        <v>43417</v>
      </c>
      <c r="E863" t="str">
        <f>"1594"</f>
        <v>1594</v>
      </c>
      <c r="F863" t="str">
        <f>"CHERRY BOMB SOAP/PCT#2"</f>
        <v>CHERRY BOMB SOAP/PCT#2</v>
      </c>
      <c r="G863" s="2">
        <v>134.63999999999999</v>
      </c>
      <c r="H863" t="str">
        <f>"CHERRY BOMB SOAP/PCT#2"</f>
        <v>CHERRY BOMB SOAP/PCT#2</v>
      </c>
    </row>
    <row r="864" spans="1:8" x14ac:dyDescent="0.25">
      <c r="A864" t="s">
        <v>259</v>
      </c>
      <c r="B864">
        <v>79711</v>
      </c>
      <c r="C864" s="3">
        <v>1500</v>
      </c>
      <c r="D864" s="1">
        <v>43430</v>
      </c>
      <c r="E864" t="str">
        <f>"110518"</f>
        <v>110518</v>
      </c>
      <c r="F864" t="str">
        <f>"PAMPHLET/PRINTING"</f>
        <v>PAMPHLET/PRINTING</v>
      </c>
      <c r="G864" s="2">
        <v>1500</v>
      </c>
      <c r="H864" t="str">
        <f>"PAMPHLET/PRINTING"</f>
        <v>PAMPHLET/PRINTING</v>
      </c>
    </row>
    <row r="865" spans="1:9" x14ac:dyDescent="0.25">
      <c r="A865" t="s">
        <v>260</v>
      </c>
      <c r="B865">
        <v>79507</v>
      </c>
      <c r="C865" s="3">
        <v>47.94</v>
      </c>
      <c r="D865" s="1">
        <v>43417</v>
      </c>
      <c r="E865" t="str">
        <f>"152000000143915"</f>
        <v>152000000143915</v>
      </c>
      <c r="F865" t="str">
        <f>"ACCT#1520-BA2437/DIST JUDGE"</f>
        <v>ACCT#1520-BA2437/DIST JUDGE</v>
      </c>
      <c r="G865" s="2">
        <v>47.94</v>
      </c>
      <c r="H865" t="str">
        <f>"ACCT#1520-BA2437/DIST JUDGE"</f>
        <v>ACCT#1520-BA2437/DIST JUDGE</v>
      </c>
    </row>
    <row r="866" spans="1:9" x14ac:dyDescent="0.25">
      <c r="A866" t="s">
        <v>261</v>
      </c>
      <c r="B866">
        <v>79508</v>
      </c>
      <c r="C866" s="3">
        <v>618.95000000000005</v>
      </c>
      <c r="D866" s="1">
        <v>43417</v>
      </c>
      <c r="E866" t="str">
        <f>"5877966"</f>
        <v>5877966</v>
      </c>
      <c r="F866" t="str">
        <f>"2018 DODGE RAM REPAIRS/PCT#3"</f>
        <v>2018 DODGE RAM REPAIRS/PCT#3</v>
      </c>
      <c r="G866" s="2">
        <v>618.95000000000005</v>
      </c>
      <c r="H866" t="str">
        <f>"2018 DODGE RAM REPAIRS/PCT#3"</f>
        <v>2018 DODGE RAM REPAIRS/PCT#3</v>
      </c>
    </row>
    <row r="867" spans="1:9" x14ac:dyDescent="0.25">
      <c r="A867" t="s">
        <v>262</v>
      </c>
      <c r="B867">
        <v>79712</v>
      </c>
      <c r="C867" s="3">
        <v>155</v>
      </c>
      <c r="D867" s="1">
        <v>43430</v>
      </c>
      <c r="E867" t="s">
        <v>263</v>
      </c>
      <c r="F867" t="s">
        <v>264</v>
      </c>
      <c r="G867" s="2" t="str">
        <f>"RESTITUTION-C. FERRIS"</f>
        <v>RESTITUTION-C. FERRIS</v>
      </c>
      <c r="H867" t="str">
        <f>"210-0000"</f>
        <v>210-0000</v>
      </c>
      <c r="I867" t="str">
        <f>""</f>
        <v/>
      </c>
    </row>
    <row r="868" spans="1:9" x14ac:dyDescent="0.25">
      <c r="E868" t="s">
        <v>263</v>
      </c>
      <c r="F868" t="s">
        <v>265</v>
      </c>
      <c r="G868" s="2" t="str">
        <f>"RESTITUTION-C. FERRIS"</f>
        <v>RESTITUTION-C. FERRIS</v>
      </c>
      <c r="H868" t="str">
        <f>"210-0000"</f>
        <v>210-0000</v>
      </c>
      <c r="I868" t="str">
        <f>""</f>
        <v/>
      </c>
    </row>
    <row r="869" spans="1:9" x14ac:dyDescent="0.25">
      <c r="A869" t="s">
        <v>266</v>
      </c>
      <c r="B869">
        <v>79509</v>
      </c>
      <c r="C869" s="3">
        <v>325</v>
      </c>
      <c r="D869" s="1">
        <v>43417</v>
      </c>
      <c r="E869" t="str">
        <f>"228880"</f>
        <v>228880</v>
      </c>
      <c r="F869" t="str">
        <f>"TRASH PICK UP/MOW/PCT#1"</f>
        <v>TRASH PICK UP/MOW/PCT#1</v>
      </c>
      <c r="G869" s="2">
        <v>325</v>
      </c>
      <c r="H869" t="str">
        <f>"TRASH PICK UP/MOW/PCT#1"</f>
        <v>TRASH PICK UP/MOW/PCT#1</v>
      </c>
    </row>
    <row r="870" spans="1:9" x14ac:dyDescent="0.25">
      <c r="A870" t="s">
        <v>267</v>
      </c>
      <c r="B870">
        <v>999999</v>
      </c>
      <c r="C870" s="3">
        <v>2617</v>
      </c>
      <c r="D870" s="1">
        <v>43418</v>
      </c>
      <c r="E870" t="str">
        <f>"128"</f>
        <v>128</v>
      </c>
      <c r="F870" t="str">
        <f>"TOWER RENT"</f>
        <v>TOWER RENT</v>
      </c>
      <c r="G870" s="2">
        <v>2617</v>
      </c>
      <c r="H870" t="str">
        <f>"TOWER RENT"</f>
        <v>TOWER RENT</v>
      </c>
    </row>
    <row r="871" spans="1:9" x14ac:dyDescent="0.25">
      <c r="A871" t="s">
        <v>268</v>
      </c>
      <c r="B871">
        <v>79510</v>
      </c>
      <c r="C871" s="3">
        <v>1348</v>
      </c>
      <c r="D871" s="1">
        <v>43417</v>
      </c>
      <c r="E871" t="str">
        <f>"19514"</f>
        <v>19514</v>
      </c>
      <c r="F871" t="str">
        <f>"INV 19514"</f>
        <v>INV 19514</v>
      </c>
      <c r="G871" s="2">
        <v>1348</v>
      </c>
      <c r="H871" t="str">
        <f>"INV 19514"</f>
        <v>INV 19514</v>
      </c>
    </row>
    <row r="872" spans="1:9" x14ac:dyDescent="0.25">
      <c r="A872" t="s">
        <v>269</v>
      </c>
      <c r="B872">
        <v>79511</v>
      </c>
      <c r="C872" s="3">
        <v>209.44</v>
      </c>
      <c r="D872" s="1">
        <v>43417</v>
      </c>
      <c r="E872" t="str">
        <f>"253294"</f>
        <v>253294</v>
      </c>
      <c r="F872" t="str">
        <f>"ACCT#BASCO3/CAB GLASS/SEAL/P3"</f>
        <v>ACCT#BASCO3/CAB GLASS/SEAL/P3</v>
      </c>
      <c r="G872" s="2">
        <v>209.44</v>
      </c>
      <c r="H872" t="str">
        <f>"ACCT#BASCO3/CAB GLASS/SEAL/P3"</f>
        <v>ACCT#BASCO3/CAB GLASS/SEAL/P3</v>
      </c>
    </row>
    <row r="873" spans="1:9" x14ac:dyDescent="0.25">
      <c r="A873" t="s">
        <v>270</v>
      </c>
      <c r="B873">
        <v>999999</v>
      </c>
      <c r="C873" s="3">
        <v>273</v>
      </c>
      <c r="D873" s="1">
        <v>43418</v>
      </c>
      <c r="E873" t="str">
        <f>"201810254656"</f>
        <v>201810254656</v>
      </c>
      <c r="F873" t="str">
        <f>"REIMBURSE FOOD/LODGING"</f>
        <v>REIMBURSE FOOD/LODGING</v>
      </c>
      <c r="G873" s="2">
        <v>273</v>
      </c>
      <c r="H873" t="str">
        <f>"REIMBURSE FOOD/LODGING"</f>
        <v>REIMBURSE FOOD/LODGING</v>
      </c>
    </row>
    <row r="874" spans="1:9" x14ac:dyDescent="0.25">
      <c r="A874" t="s">
        <v>271</v>
      </c>
      <c r="B874">
        <v>79512</v>
      </c>
      <c r="C874" s="3">
        <v>50543.63</v>
      </c>
      <c r="D874" s="1">
        <v>43417</v>
      </c>
      <c r="E874" t="str">
        <f>"D00923"</f>
        <v>D00923</v>
      </c>
      <c r="F874" t="str">
        <f>"M5-111HDC Tractor"</f>
        <v>M5-111HDC Tractor</v>
      </c>
      <c r="G874" s="2">
        <v>50543.63</v>
      </c>
      <c r="H874" t="str">
        <f>"payment"</f>
        <v>payment</v>
      </c>
    </row>
    <row r="875" spans="1:9" x14ac:dyDescent="0.25">
      <c r="A875" t="s">
        <v>272</v>
      </c>
      <c r="B875">
        <v>79713</v>
      </c>
      <c r="C875" s="3">
        <v>278.75</v>
      </c>
      <c r="D875" s="1">
        <v>43430</v>
      </c>
      <c r="E875" t="str">
        <f>"41169"</f>
        <v>41169</v>
      </c>
      <c r="F875" t="str">
        <f>"MO #41169 / UNIT 6492"</f>
        <v>MO #41169 / UNIT 6492</v>
      </c>
      <c r="G875" s="2">
        <v>278.75</v>
      </c>
      <c r="H875" t="str">
        <f>"MO #41169 / UNIT 6492"</f>
        <v>MO #41169 / UNIT 6492</v>
      </c>
    </row>
    <row r="876" spans="1:9" x14ac:dyDescent="0.25">
      <c r="A876" t="s">
        <v>273</v>
      </c>
      <c r="B876">
        <v>79513</v>
      </c>
      <c r="C876" s="3">
        <v>763.67</v>
      </c>
      <c r="D876" s="1">
        <v>43417</v>
      </c>
      <c r="E876" t="str">
        <f>"201811074931"</f>
        <v>201811074931</v>
      </c>
      <c r="F876" t="str">
        <f>"ACCT#1650/PCT#1"</f>
        <v>ACCT#1650/PCT#1</v>
      </c>
      <c r="G876" s="2">
        <v>513.69000000000005</v>
      </c>
      <c r="H876" t="str">
        <f>"ACCT#1650/PCT#1"</f>
        <v>ACCT#1650/PCT#1</v>
      </c>
    </row>
    <row r="877" spans="1:9" x14ac:dyDescent="0.25">
      <c r="E877" t="str">
        <f>"201811074933"</f>
        <v>201811074933</v>
      </c>
      <c r="F877" t="str">
        <f>"ACCT#1750/PCT#3"</f>
        <v>ACCT#1750/PCT#3</v>
      </c>
      <c r="G877" s="2">
        <v>68.959999999999994</v>
      </c>
      <c r="H877" t="str">
        <f>"ACCT#1750/PCT#3"</f>
        <v>ACCT#1750/PCT#3</v>
      </c>
    </row>
    <row r="878" spans="1:9" x14ac:dyDescent="0.25">
      <c r="E878" t="str">
        <f>"201811074935"</f>
        <v>201811074935</v>
      </c>
      <c r="F878" t="str">
        <f>"ACCT#1800/PCT#4"</f>
        <v>ACCT#1800/PCT#4</v>
      </c>
      <c r="G878" s="2">
        <v>181.02</v>
      </c>
      <c r="H878" t="str">
        <f>"ACCT#1800/PCT#4"</f>
        <v>ACCT#1800/PCT#4</v>
      </c>
    </row>
    <row r="879" spans="1:9" x14ac:dyDescent="0.25">
      <c r="A879" t="s">
        <v>274</v>
      </c>
      <c r="B879">
        <v>79514</v>
      </c>
      <c r="C879" s="3">
        <v>2944.02</v>
      </c>
      <c r="D879" s="1">
        <v>43417</v>
      </c>
      <c r="E879" t="str">
        <f>"10178665 10249069+"</f>
        <v>10178665 10249069+</v>
      </c>
      <c r="F879" t="str">
        <f>"INV 10178665"</f>
        <v>INV 10178665</v>
      </c>
      <c r="G879" s="2">
        <v>2944.02</v>
      </c>
      <c r="H879" t="str">
        <f>"INV 10178665"</f>
        <v>INV 10178665</v>
      </c>
    </row>
    <row r="880" spans="1:9" x14ac:dyDescent="0.25">
      <c r="E880" t="str">
        <f>""</f>
        <v/>
      </c>
      <c r="F880" t="str">
        <f>""</f>
        <v/>
      </c>
      <c r="H880" t="str">
        <f>"INV 10249069"</f>
        <v>INV 10249069</v>
      </c>
    </row>
    <row r="881" spans="1:8" x14ac:dyDescent="0.25">
      <c r="E881" t="str">
        <f>""</f>
        <v/>
      </c>
      <c r="F881" t="str">
        <f>""</f>
        <v/>
      </c>
      <c r="H881" t="str">
        <f>"INV 10318896"</f>
        <v>INV 10318896</v>
      </c>
    </row>
    <row r="882" spans="1:8" x14ac:dyDescent="0.25">
      <c r="A882" t="s">
        <v>274</v>
      </c>
      <c r="B882">
        <v>79714</v>
      </c>
      <c r="C882" s="3">
        <v>927.44</v>
      </c>
      <c r="D882" s="1">
        <v>43430</v>
      </c>
      <c r="E882" t="str">
        <f>"11079877"</f>
        <v>11079877</v>
      </c>
      <c r="F882" t="str">
        <f>"INV 11079877"</f>
        <v>INV 11079877</v>
      </c>
      <c r="G882" s="2">
        <v>927.44</v>
      </c>
      <c r="H882" t="str">
        <f>"INV 11079877"</f>
        <v>INV 11079877</v>
      </c>
    </row>
    <row r="883" spans="1:8" x14ac:dyDescent="0.25">
      <c r="E883" t="str">
        <f>""</f>
        <v/>
      </c>
      <c r="F883" t="str">
        <f>""</f>
        <v/>
      </c>
      <c r="H883" t="str">
        <f>""</f>
        <v/>
      </c>
    </row>
    <row r="884" spans="1:8" x14ac:dyDescent="0.25">
      <c r="A884" t="s">
        <v>275</v>
      </c>
      <c r="B884">
        <v>79515</v>
      </c>
      <c r="C884" s="3">
        <v>11604</v>
      </c>
      <c r="D884" s="1">
        <v>43417</v>
      </c>
      <c r="E884" t="str">
        <f>"294542"</f>
        <v>294542</v>
      </c>
      <c r="F884" t="str">
        <f>"CUST#BASCOU/ENV FEE/PCT#1"</f>
        <v>CUST#BASCOU/ENV FEE/PCT#1</v>
      </c>
      <c r="G884" s="2">
        <v>11604</v>
      </c>
      <c r="H884" t="str">
        <f>"CUST#BASCOU/ENV FEE/PCT#1"</f>
        <v>CUST#BASCOU/ENV FEE/PCT#1</v>
      </c>
    </row>
    <row r="885" spans="1:8" x14ac:dyDescent="0.25">
      <c r="A885" t="s">
        <v>276</v>
      </c>
      <c r="B885">
        <v>79715</v>
      </c>
      <c r="C885" s="3">
        <v>59.98</v>
      </c>
      <c r="D885" s="1">
        <v>43430</v>
      </c>
      <c r="E885" t="str">
        <f>"201811155145"</f>
        <v>201811155145</v>
      </c>
      <c r="F885" t="str">
        <f>"REIMBURSE-SPACE HEATER"</f>
        <v>REIMBURSE-SPACE HEATER</v>
      </c>
      <c r="G885" s="2">
        <v>59.98</v>
      </c>
      <c r="H885" t="str">
        <f>"REIMBURSE-SPACE HEATER"</f>
        <v>REIMBURSE-SPACE HEATER</v>
      </c>
    </row>
    <row r="886" spans="1:8" x14ac:dyDescent="0.25">
      <c r="A886" t="s">
        <v>277</v>
      </c>
      <c r="B886">
        <v>999999</v>
      </c>
      <c r="C886" s="3">
        <v>345.49</v>
      </c>
      <c r="D886" s="1">
        <v>43431</v>
      </c>
      <c r="E886" t="str">
        <f>"201811155162"</f>
        <v>201811155162</v>
      </c>
      <c r="F886" t="str">
        <f>"REIMBURSE-HOTEL/PARKING/MEAL"</f>
        <v>REIMBURSE-HOTEL/PARKING/MEAL</v>
      </c>
      <c r="G886" s="2">
        <v>345.49</v>
      </c>
      <c r="H886" t="str">
        <f>"REIMBURSE-HOTEL/PARKING/MEAL"</f>
        <v>REIMBURSE-HOTEL/PARKING/MEAL</v>
      </c>
    </row>
    <row r="887" spans="1:8" x14ac:dyDescent="0.25">
      <c r="A887" t="s">
        <v>278</v>
      </c>
      <c r="B887">
        <v>999999</v>
      </c>
      <c r="C887" s="3">
        <v>1330</v>
      </c>
      <c r="D887" s="1">
        <v>43431</v>
      </c>
      <c r="E887" t="str">
        <f>"201811155191"</f>
        <v>201811155191</v>
      </c>
      <c r="F887" t="str">
        <f>"18-18996"</f>
        <v>18-18996</v>
      </c>
      <c r="G887" s="2">
        <v>1330</v>
      </c>
      <c r="H887" t="str">
        <f>"18-18996"</f>
        <v>18-18996</v>
      </c>
    </row>
    <row r="888" spans="1:8" x14ac:dyDescent="0.25">
      <c r="A888" t="s">
        <v>279</v>
      </c>
      <c r="B888">
        <v>79379</v>
      </c>
      <c r="C888" s="3">
        <v>50.25</v>
      </c>
      <c r="D888" s="1">
        <v>43405</v>
      </c>
      <c r="E888" t="str">
        <f>"201811014763"</f>
        <v>201811014763</v>
      </c>
      <c r="F888" t="str">
        <f>"ACCT#1-09-00072-02 1/102518"</f>
        <v>ACCT#1-09-00072-02 1/102518</v>
      </c>
      <c r="G888" s="2">
        <v>50.25</v>
      </c>
      <c r="H888" t="str">
        <f>"ACCT#1-09-00072-02 1/102518"</f>
        <v>ACCT#1-09-00072-02 1/102518</v>
      </c>
    </row>
    <row r="889" spans="1:8" x14ac:dyDescent="0.25">
      <c r="A889" t="s">
        <v>280</v>
      </c>
      <c r="B889">
        <v>79516</v>
      </c>
      <c r="C889" s="3">
        <v>78.83</v>
      </c>
      <c r="D889" s="1">
        <v>43417</v>
      </c>
      <c r="E889" t="str">
        <f>"0555352765"</f>
        <v>0555352765</v>
      </c>
      <c r="F889" t="str">
        <f>"CUST#C20632/ORD#27561800"</f>
        <v>CUST#C20632/ORD#27561800</v>
      </c>
      <c r="G889" s="2">
        <v>78.83</v>
      </c>
      <c r="H889" t="str">
        <f>"CUST#C20632/ORD#27561800"</f>
        <v>CUST#C20632/ORD#27561800</v>
      </c>
    </row>
    <row r="890" spans="1:8" x14ac:dyDescent="0.25">
      <c r="A890" t="s">
        <v>280</v>
      </c>
      <c r="B890">
        <v>79716</v>
      </c>
      <c r="C890" s="3">
        <v>2028.48</v>
      </c>
      <c r="D890" s="1">
        <v>43430</v>
      </c>
      <c r="E890" t="str">
        <f>"0555573658"</f>
        <v>0555573658</v>
      </c>
      <c r="F890" t="str">
        <f>"INV 0555573658"</f>
        <v>INV 0555573658</v>
      </c>
      <c r="G890" s="2">
        <v>2028.48</v>
      </c>
      <c r="H890" t="str">
        <f>"INV 0555573658"</f>
        <v>INV 0555573658</v>
      </c>
    </row>
    <row r="891" spans="1:8" x14ac:dyDescent="0.25">
      <c r="A891" t="s">
        <v>281</v>
      </c>
      <c r="B891">
        <v>79517</v>
      </c>
      <c r="C891" s="3">
        <v>265.57</v>
      </c>
      <c r="D891" s="1">
        <v>43417</v>
      </c>
      <c r="E891" t="str">
        <f>"201811064860"</f>
        <v>201811064860</v>
      </c>
      <c r="F891" t="str">
        <f>"REIMBURSE-UNIFORM JEANS"</f>
        <v>REIMBURSE-UNIFORM JEANS</v>
      </c>
      <c r="G891" s="2">
        <v>265.57</v>
      </c>
      <c r="H891" t="str">
        <f>"REIMBURSE-UNIFORM JEANS"</f>
        <v>REIMBURSE-UNIFORM JEANS</v>
      </c>
    </row>
    <row r="892" spans="1:8" x14ac:dyDescent="0.25">
      <c r="A892" t="s">
        <v>282</v>
      </c>
      <c r="B892">
        <v>79518</v>
      </c>
      <c r="C892" s="3">
        <v>1021.75</v>
      </c>
      <c r="D892" s="1">
        <v>43417</v>
      </c>
      <c r="E892" t="str">
        <f>"1211621-20181031"</f>
        <v>1211621-20181031</v>
      </c>
      <c r="F892" t="str">
        <f>"BILLING ID:1211621/HEALTH SVCS"</f>
        <v>BILLING ID:1211621/HEALTH SVCS</v>
      </c>
      <c r="G892" s="2">
        <v>589.75</v>
      </c>
      <c r="H892" t="str">
        <f>"BILLING ID:1211621/HEALTH SVCS"</f>
        <v>BILLING ID:1211621/HEALTH SVCS</v>
      </c>
    </row>
    <row r="893" spans="1:8" x14ac:dyDescent="0.25">
      <c r="E893" t="str">
        <f>"1394645-20181031"</f>
        <v>1394645-20181031</v>
      </c>
      <c r="F893" t="str">
        <f>"BILLING ID:1394645/COUNTY CLRK"</f>
        <v>BILLING ID:1394645/COUNTY CLRK</v>
      </c>
      <c r="G893" s="2">
        <v>139</v>
      </c>
      <c r="H893" t="str">
        <f>"BILLING ID:1394645/COUNTY CLRK"</f>
        <v>BILLING ID:1394645/COUNTY CLRK</v>
      </c>
    </row>
    <row r="894" spans="1:8" x14ac:dyDescent="0.25">
      <c r="E894" t="str">
        <f>"1420944-20181031"</f>
        <v>1420944-20181031</v>
      </c>
      <c r="F894" t="str">
        <f>"BILLING ID:1420944/SHERIFF"</f>
        <v>BILLING ID:1420944/SHERIFF</v>
      </c>
      <c r="G894" s="2">
        <v>293</v>
      </c>
      <c r="H894" t="str">
        <f>"BILLING ID:1420944/SHERIFF"</f>
        <v>BILLING ID:1420944/SHERIFF</v>
      </c>
    </row>
    <row r="895" spans="1:8" x14ac:dyDescent="0.25">
      <c r="A895" t="s">
        <v>282</v>
      </c>
      <c r="B895">
        <v>79717</v>
      </c>
      <c r="C895" s="3">
        <v>145.6</v>
      </c>
      <c r="D895" s="1">
        <v>43430</v>
      </c>
      <c r="E895" t="str">
        <f>"1361725-20181031"</f>
        <v>1361725-20181031</v>
      </c>
      <c r="F895" t="str">
        <f>"BILLING ID:1361725/INDIGENT HL"</f>
        <v>BILLING ID:1361725/INDIGENT HL</v>
      </c>
      <c r="G895" s="2">
        <v>95.6</v>
      </c>
      <c r="H895" t="str">
        <f>"BILLING ID:1361725/INDIGENT HL"</f>
        <v>BILLING ID:1361725/INDIGENT HL</v>
      </c>
    </row>
    <row r="896" spans="1:8" x14ac:dyDescent="0.25">
      <c r="E896" t="str">
        <f>"1489870"</f>
        <v>1489870</v>
      </c>
      <c r="F896" t="str">
        <f>"BILLING ID:1489870/DISTRICT CL"</f>
        <v>BILLING ID:1489870/DISTRICT CL</v>
      </c>
      <c r="G896" s="2">
        <v>50</v>
      </c>
      <c r="H896" t="str">
        <f>"BILLING ID:1489870/DISTRICT CL"</f>
        <v>BILLING ID:1489870/DISTRICT CL</v>
      </c>
    </row>
    <row r="897" spans="1:8" x14ac:dyDescent="0.25">
      <c r="A897" t="s">
        <v>283</v>
      </c>
      <c r="B897">
        <v>999999</v>
      </c>
      <c r="C897" s="3">
        <v>789</v>
      </c>
      <c r="D897" s="1">
        <v>43418</v>
      </c>
      <c r="E897" t="str">
        <f>"40140"</f>
        <v>40140</v>
      </c>
      <c r="F897" t="str">
        <f>"INV 40140"</f>
        <v>INV 40140</v>
      </c>
      <c r="G897" s="2">
        <v>789</v>
      </c>
      <c r="H897" t="str">
        <f>"INV 40140"</f>
        <v>INV 40140</v>
      </c>
    </row>
    <row r="898" spans="1:8" x14ac:dyDescent="0.25">
      <c r="A898" t="s">
        <v>284</v>
      </c>
      <c r="B898">
        <v>79519</v>
      </c>
      <c r="C898" s="3">
        <v>1146.4100000000001</v>
      </c>
      <c r="D898" s="1">
        <v>43417</v>
      </c>
      <c r="E898" t="str">
        <f>"1460896"</f>
        <v>1460896</v>
      </c>
      <c r="F898" t="str">
        <f>"ACCT#15717/TIRE SVCS"</f>
        <v>ACCT#15717/TIRE SVCS</v>
      </c>
      <c r="G898" s="2">
        <v>1146.4100000000001</v>
      </c>
      <c r="H898" t="str">
        <f>"ACCT#15717/TIRE SVCS"</f>
        <v>ACCT#15717/TIRE SVCS</v>
      </c>
    </row>
    <row r="899" spans="1:8" x14ac:dyDescent="0.25">
      <c r="A899" t="s">
        <v>285</v>
      </c>
      <c r="B899">
        <v>999999</v>
      </c>
      <c r="C899" s="3">
        <v>168.72</v>
      </c>
      <c r="D899" s="1">
        <v>43418</v>
      </c>
      <c r="E899" t="str">
        <f>"201810234636"</f>
        <v>201810234636</v>
      </c>
      <c r="F899" t="str">
        <f>"TITLE TRANSFER-2018 FD/SHERIFF"</f>
        <v>TITLE TRANSFER-2018 FD/SHERIFF</v>
      </c>
      <c r="G899" s="2">
        <v>16.75</v>
      </c>
      <c r="H899" t="str">
        <f>"TITLE TRANSFER-2018 FD/SHERIFF"</f>
        <v>TITLE TRANSFER-2018 FD/SHERIFF</v>
      </c>
    </row>
    <row r="900" spans="1:8" x14ac:dyDescent="0.25">
      <c r="E900" t="str">
        <f>"201810234638"</f>
        <v>201810234638</v>
      </c>
      <c r="F900" t="str">
        <f>"VEHICLE REG-1999 BIGT/PCT#4"</f>
        <v>VEHICLE REG-1999 BIGT/PCT#4</v>
      </c>
      <c r="G900" s="2">
        <v>22</v>
      </c>
      <c r="H900" t="str">
        <f>"VEHICLE REG-1999 BIGT/PCT#4"</f>
        <v>VEHICLE REG-1999 BIGT/PCT#4</v>
      </c>
    </row>
    <row r="901" spans="1:8" x14ac:dyDescent="0.25">
      <c r="E901" t="str">
        <f>"201811054828"</f>
        <v>201811054828</v>
      </c>
      <c r="F901" t="str">
        <f>"TITLE TRANSFER-ANIMAL CONTROL"</f>
        <v>TITLE TRANSFER-ANIMAL CONTROL</v>
      </c>
      <c r="G901" s="2">
        <v>7.5</v>
      </c>
      <c r="H901" t="str">
        <f>"TITLE TRANSFER-ANIMAL CONTROL"</f>
        <v>TITLE TRANSFER-ANIMAL CONTROL</v>
      </c>
    </row>
    <row r="902" spans="1:8" x14ac:dyDescent="0.25">
      <c r="E902" t="str">
        <f>"201811054829"</f>
        <v>201811054829</v>
      </c>
      <c r="F902" t="str">
        <f>"TITLE TRANSFER-DEVELOPMENT SVC"</f>
        <v>TITLE TRANSFER-DEVELOPMENT SVC</v>
      </c>
      <c r="G902" s="2">
        <v>16.75</v>
      </c>
      <c r="H902" t="str">
        <f>"TITLE TRANSFER-DEVELOPMENT SVC"</f>
        <v>TITLE TRANSFER-DEVELOPMENT SVC</v>
      </c>
    </row>
    <row r="903" spans="1:8" x14ac:dyDescent="0.25">
      <c r="E903" t="str">
        <f>"201811064863"</f>
        <v>201811064863</v>
      </c>
      <c r="F903" t="str">
        <f>"R466320/SUPPLEMENTAL STMT"</f>
        <v>R466320/SUPPLEMENTAL STMT</v>
      </c>
      <c r="G903" s="2">
        <v>83.22</v>
      </c>
      <c r="H903" t="str">
        <f>"R466320/SUPPLEMENTAL STMT"</f>
        <v>R466320/SUPPLEMENTAL STMT</v>
      </c>
    </row>
    <row r="904" spans="1:8" x14ac:dyDescent="0.25">
      <c r="E904" t="str">
        <f>"201811074936"</f>
        <v>201811074936</v>
      </c>
      <c r="F904" t="str">
        <f>"VEHICLE REGISTRATIONS-SHERIFF"</f>
        <v>VEHICLE REGISTRATIONS-SHERIFF</v>
      </c>
      <c r="G904" s="2">
        <v>15</v>
      </c>
      <c r="H904" t="str">
        <f>"VEHICLE REGISTRATIONS-SHERIFF"</f>
        <v>VEHICLE REGISTRATIONS-SHERIFF</v>
      </c>
    </row>
    <row r="905" spans="1:8" x14ac:dyDescent="0.25">
      <c r="E905" t="str">
        <f>"201811075009"</f>
        <v>201811075009</v>
      </c>
      <c r="F905" t="str">
        <f>"VEHICLE REGISTRATION-PURCHASIN"</f>
        <v>VEHICLE REGISTRATION-PURCHASIN</v>
      </c>
      <c r="G905" s="2">
        <v>7.5</v>
      </c>
      <c r="H905" t="str">
        <f>"VEHICLE REGISTRATION-PURCHASIN"</f>
        <v>VEHICLE REGISTRATION-PURCHASIN</v>
      </c>
    </row>
    <row r="906" spans="1:8" x14ac:dyDescent="0.25">
      <c r="A906" t="s">
        <v>285</v>
      </c>
      <c r="B906">
        <v>999999</v>
      </c>
      <c r="C906" s="3">
        <v>7.5</v>
      </c>
      <c r="D906" s="1">
        <v>43431</v>
      </c>
      <c r="E906" t="str">
        <f>"201811155188"</f>
        <v>201811155188</v>
      </c>
      <c r="F906" t="str">
        <f>"REGISTRATION 2011 FORD/PCT#4"</f>
        <v>REGISTRATION 2011 FORD/PCT#4</v>
      </c>
      <c r="G906" s="2">
        <v>7.5</v>
      </c>
      <c r="H906" t="str">
        <f>"REGISTRATION 2011 FORD/PCT#4"</f>
        <v>REGISTRATION 2011 FORD/PCT#4</v>
      </c>
    </row>
    <row r="907" spans="1:8" x14ac:dyDescent="0.25">
      <c r="A907" t="s">
        <v>286</v>
      </c>
      <c r="B907">
        <v>79520</v>
      </c>
      <c r="C907" s="3">
        <v>1598.03</v>
      </c>
      <c r="D907" s="1">
        <v>43417</v>
      </c>
      <c r="E907" t="str">
        <f>"SVC0102896"</f>
        <v>SVC0102896</v>
      </c>
      <c r="F907" t="str">
        <f>"INV SVC0102896"</f>
        <v>INV SVC0102896</v>
      </c>
      <c r="G907" s="2">
        <v>1598.03</v>
      </c>
      <c r="H907" t="str">
        <f>"INV SVC0102896"</f>
        <v>INV SVC0102896</v>
      </c>
    </row>
    <row r="908" spans="1:8" x14ac:dyDescent="0.25">
      <c r="A908" t="s">
        <v>287</v>
      </c>
      <c r="B908">
        <v>79521</v>
      </c>
      <c r="C908" s="3">
        <v>31.78</v>
      </c>
      <c r="D908" s="1">
        <v>43417</v>
      </c>
      <c r="E908" t="str">
        <f>"201811074956"</f>
        <v>201811074956</v>
      </c>
      <c r="F908" t="str">
        <f>"REIMBURSEMENT"</f>
        <v>REIMBURSEMENT</v>
      </c>
      <c r="G908" s="2">
        <v>31.78</v>
      </c>
      <c r="H908" t="str">
        <f>"REIMBURSEMENT"</f>
        <v>REIMBURSEMENT</v>
      </c>
    </row>
    <row r="909" spans="1:8" x14ac:dyDescent="0.25">
      <c r="A909" t="s">
        <v>288</v>
      </c>
      <c r="B909">
        <v>79718</v>
      </c>
      <c r="C909" s="3">
        <v>750</v>
      </c>
      <c r="D909" s="1">
        <v>43430</v>
      </c>
      <c r="E909" t="str">
        <f>"201811155200"</f>
        <v>201811155200</v>
      </c>
      <c r="F909" t="str">
        <f>"56 035"</f>
        <v>56 035</v>
      </c>
      <c r="G909" s="2">
        <v>250</v>
      </c>
      <c r="H909" t="str">
        <f>"56 035"</f>
        <v>56 035</v>
      </c>
    </row>
    <row r="910" spans="1:8" x14ac:dyDescent="0.25">
      <c r="E910" t="str">
        <f>"201811155201"</f>
        <v>201811155201</v>
      </c>
      <c r="F910" t="str">
        <f>"56 250"</f>
        <v>56 250</v>
      </c>
      <c r="G910" s="2">
        <v>250</v>
      </c>
      <c r="H910" t="str">
        <f>"56 250"</f>
        <v>56 250</v>
      </c>
    </row>
    <row r="911" spans="1:8" x14ac:dyDescent="0.25">
      <c r="E911" t="str">
        <f>"201811155202"</f>
        <v>201811155202</v>
      </c>
      <c r="F911" t="str">
        <f>"56 196"</f>
        <v>56 196</v>
      </c>
      <c r="G911" s="2">
        <v>250</v>
      </c>
      <c r="H911" t="str">
        <f>"56 196"</f>
        <v>56 196</v>
      </c>
    </row>
    <row r="912" spans="1:8" x14ac:dyDescent="0.25">
      <c r="A912" t="s">
        <v>289</v>
      </c>
      <c r="B912">
        <v>79522</v>
      </c>
      <c r="C912" s="3">
        <v>683.6</v>
      </c>
      <c r="D912" s="1">
        <v>43417</v>
      </c>
      <c r="E912" t="str">
        <f>"201810254660"</f>
        <v>201810254660</v>
      </c>
      <c r="F912" t="str">
        <f>"REIMBURSE MEALS/LODGING"</f>
        <v>REIMBURSE MEALS/LODGING</v>
      </c>
      <c r="G912" s="2">
        <v>683.6</v>
      </c>
      <c r="H912" t="str">
        <f>"REIMBURSE MEALS/LODGING"</f>
        <v>REIMBURSE MEALS/LODGING</v>
      </c>
    </row>
    <row r="913" spans="1:8" x14ac:dyDescent="0.25">
      <c r="A913" t="s">
        <v>289</v>
      </c>
      <c r="B913">
        <v>79719</v>
      </c>
      <c r="C913" s="3">
        <v>199.08</v>
      </c>
      <c r="D913" s="1">
        <v>43430</v>
      </c>
      <c r="E913" t="str">
        <f>"201811155163"</f>
        <v>201811155163</v>
      </c>
      <c r="F913" t="str">
        <f>"REIMBURSE-HOTEL/PARKING/MEALS"</f>
        <v>REIMBURSE-HOTEL/PARKING/MEALS</v>
      </c>
      <c r="G913" s="2">
        <v>199.08</v>
      </c>
      <c r="H913" t="str">
        <f>"REIMBURSE-HOTEL/PARKING/MEALS"</f>
        <v>REIMBURSE-HOTEL/PARKING/MEALS</v>
      </c>
    </row>
    <row r="914" spans="1:8" x14ac:dyDescent="0.25">
      <c r="A914" t="s">
        <v>290</v>
      </c>
      <c r="B914">
        <v>999999</v>
      </c>
      <c r="C914" s="3">
        <v>16765</v>
      </c>
      <c r="D914" s="1">
        <v>43418</v>
      </c>
      <c r="E914" t="str">
        <f>"97495595"</f>
        <v>97495595</v>
      </c>
      <c r="F914" t="str">
        <f>"PROFESSIONAL SERVICES-SEPT 30"</f>
        <v>PROFESSIONAL SERVICES-SEPT 30</v>
      </c>
      <c r="G914" s="2">
        <v>16765</v>
      </c>
      <c r="H914" t="str">
        <f>"PROFESSIONAL SERVICES-SEPT 30"</f>
        <v>PROFESSIONAL SERVICES-SEPT 30</v>
      </c>
    </row>
    <row r="915" spans="1:8" x14ac:dyDescent="0.25">
      <c r="A915" t="s">
        <v>291</v>
      </c>
      <c r="B915">
        <v>999999</v>
      </c>
      <c r="C915" s="3">
        <v>99083.42</v>
      </c>
      <c r="D915" s="1">
        <v>43418</v>
      </c>
      <c r="E915" t="str">
        <f>"201811064930"</f>
        <v>201811064930</v>
      </c>
      <c r="F915" t="str">
        <f>"GRANT REIMBURSEMENT"</f>
        <v>GRANT REIMBURSEMENT</v>
      </c>
      <c r="G915" s="2">
        <v>99083.42</v>
      </c>
      <c r="H915" t="str">
        <f>"GRANT REIMBURSEMENT"</f>
        <v>GRANT REIMBURSEMENT</v>
      </c>
    </row>
    <row r="916" spans="1:8" x14ac:dyDescent="0.25">
      <c r="A916" t="s">
        <v>292</v>
      </c>
      <c r="B916">
        <v>999999</v>
      </c>
      <c r="C916" s="3">
        <v>240.98</v>
      </c>
      <c r="D916" s="1">
        <v>43418</v>
      </c>
      <c r="E916" t="str">
        <f>"LS-2016EXP-BCSO"</f>
        <v>LS-2016EXP-BCSO</v>
      </c>
      <c r="F916" t="str">
        <f>"INV LS-2016EXP-BCSO/3804"</f>
        <v>INV LS-2016EXP-BCSO/3804</v>
      </c>
      <c r="G916" s="2">
        <v>240.98</v>
      </c>
      <c r="H916" t="str">
        <f>"INV LS-2016EXP-BCSO"</f>
        <v>INV LS-2016EXP-BCSO</v>
      </c>
    </row>
    <row r="917" spans="1:8" x14ac:dyDescent="0.25">
      <c r="A917" t="s">
        <v>293</v>
      </c>
      <c r="B917">
        <v>79523</v>
      </c>
      <c r="C917" s="3">
        <v>105.4</v>
      </c>
      <c r="D917" s="1">
        <v>43417</v>
      </c>
      <c r="E917" t="str">
        <f>"201811074980"</f>
        <v>201811074980</v>
      </c>
      <c r="F917" t="str">
        <f>"INDIGENT HEALTH"</f>
        <v>INDIGENT HEALTH</v>
      </c>
      <c r="G917" s="2">
        <v>105.4</v>
      </c>
      <c r="H917" t="str">
        <f>"INDIGENT HEALTH"</f>
        <v>INDIGENT HEALTH</v>
      </c>
    </row>
    <row r="918" spans="1:8" x14ac:dyDescent="0.25">
      <c r="A918" t="s">
        <v>293</v>
      </c>
      <c r="B918">
        <v>79720</v>
      </c>
      <c r="C918" s="3">
        <v>321.63</v>
      </c>
      <c r="D918" s="1">
        <v>43430</v>
      </c>
      <c r="E918" t="str">
        <f>"201811155234"</f>
        <v>201811155234</v>
      </c>
      <c r="F918" t="str">
        <f>"INDIGENT HEALTH"</f>
        <v>INDIGENT HEALTH</v>
      </c>
      <c r="G918" s="2">
        <v>162.38999999999999</v>
      </c>
      <c r="H918" t="str">
        <f>"INDIGENT HEALTH"</f>
        <v>INDIGENT HEALTH</v>
      </c>
    </row>
    <row r="919" spans="1:8" x14ac:dyDescent="0.25">
      <c r="E919" t="str">
        <f>"201811155235"</f>
        <v>201811155235</v>
      </c>
      <c r="F919" t="str">
        <f>"INDIGENT HEALTH"</f>
        <v>INDIGENT HEALTH</v>
      </c>
      <c r="G919" s="2">
        <v>159.24</v>
      </c>
      <c r="H919" t="str">
        <f>"INDIGENT HEALTH"</f>
        <v>INDIGENT HEALTH</v>
      </c>
    </row>
    <row r="920" spans="1:8" x14ac:dyDescent="0.25">
      <c r="A920" t="s">
        <v>294</v>
      </c>
      <c r="B920">
        <v>79721</v>
      </c>
      <c r="C920" s="3">
        <v>31982.400000000001</v>
      </c>
      <c r="D920" s="1">
        <v>43430</v>
      </c>
      <c r="E920" t="str">
        <f>"095324"</f>
        <v>095324</v>
      </c>
      <c r="F920" t="str">
        <f>"Inv# 095324"</f>
        <v>Inv# 095324</v>
      </c>
      <c r="G920" s="2">
        <v>31982.400000000001</v>
      </c>
      <c r="H920" t="str">
        <f>"UL GLass"</f>
        <v>UL GLass</v>
      </c>
    </row>
    <row r="921" spans="1:8" x14ac:dyDescent="0.25">
      <c r="E921" t="str">
        <f>""</f>
        <v/>
      </c>
      <c r="F921" t="str">
        <f>""</f>
        <v/>
      </c>
      <c r="H921" t="str">
        <f>"Metal"</f>
        <v>Metal</v>
      </c>
    </row>
    <row r="922" spans="1:8" x14ac:dyDescent="0.25">
      <c r="E922" t="str">
        <f>""</f>
        <v/>
      </c>
      <c r="F922" t="str">
        <f>""</f>
        <v/>
      </c>
      <c r="H922" t="str">
        <f>"Dow 795"</f>
        <v>Dow 795</v>
      </c>
    </row>
    <row r="923" spans="1:8" x14ac:dyDescent="0.25">
      <c r="A923" t="s">
        <v>295</v>
      </c>
      <c r="B923">
        <v>999999</v>
      </c>
      <c r="C923" s="3">
        <v>715</v>
      </c>
      <c r="D923" s="1">
        <v>43418</v>
      </c>
      <c r="E923" t="str">
        <f>"201811064869"</f>
        <v>201811064869</v>
      </c>
      <c r="F923" t="str">
        <f>"TRASH REMOVAL 10/22-10/31/P4"</f>
        <v>TRASH REMOVAL 10/22-10/31/P4</v>
      </c>
      <c r="G923" s="2">
        <v>364</v>
      </c>
      <c r="H923" t="str">
        <f>"TRASH REMOVAL 10/22-10/31/P4"</f>
        <v>TRASH REMOVAL 10/22-10/31/P4</v>
      </c>
    </row>
    <row r="924" spans="1:8" x14ac:dyDescent="0.25">
      <c r="E924" t="str">
        <f>"201811064870"</f>
        <v>201811064870</v>
      </c>
      <c r="F924" t="str">
        <f>"TRASH REMOVAL 11/1-11/9/P4"</f>
        <v>TRASH REMOVAL 11/1-11/9/P4</v>
      </c>
      <c r="G924" s="2">
        <v>351</v>
      </c>
      <c r="H924" t="str">
        <f>"TRASH REMOVAL 11/1-11/9/P4"</f>
        <v>TRASH REMOVAL 11/1-11/9/P4</v>
      </c>
    </row>
    <row r="925" spans="1:8" x14ac:dyDescent="0.25">
      <c r="A925" t="s">
        <v>295</v>
      </c>
      <c r="B925">
        <v>999999</v>
      </c>
      <c r="C925" s="3">
        <v>656.5</v>
      </c>
      <c r="D925" s="1">
        <v>43431</v>
      </c>
      <c r="E925" t="str">
        <f>"201811195273"</f>
        <v>201811195273</v>
      </c>
      <c r="F925" t="str">
        <f>"TRASH REMOVAL 11/12-11/23/P4"</f>
        <v>TRASH REMOVAL 11/12-11/23/P4</v>
      </c>
      <c r="G925" s="2">
        <v>656.5</v>
      </c>
      <c r="H925" t="str">
        <f>"TRASH REMOVAL 11/12-11/23/P4"</f>
        <v>TRASH REMOVAL 11/12-11/23/P4</v>
      </c>
    </row>
    <row r="926" spans="1:8" x14ac:dyDescent="0.25">
      <c r="A926" t="s">
        <v>296</v>
      </c>
      <c r="B926">
        <v>79722</v>
      </c>
      <c r="C926" s="3">
        <v>623.59</v>
      </c>
      <c r="D926" s="1">
        <v>43430</v>
      </c>
      <c r="E926" t="str">
        <f>"998971 901844 9016"</f>
        <v>998971 901844 9016</v>
      </c>
      <c r="F926" t="str">
        <f>"Acct# 9906938692"</f>
        <v>Acct# 9906938692</v>
      </c>
      <c r="G926" s="2">
        <v>623.59</v>
      </c>
      <c r="H926" t="str">
        <f>"Inv# 998971"</f>
        <v>Inv# 998971</v>
      </c>
    </row>
    <row r="927" spans="1:8" x14ac:dyDescent="0.25">
      <c r="E927" t="str">
        <f>""</f>
        <v/>
      </c>
      <c r="F927" t="str">
        <f>""</f>
        <v/>
      </c>
      <c r="H927" t="str">
        <f>"Inv# 901844"</f>
        <v>Inv# 901844</v>
      </c>
    </row>
    <row r="928" spans="1:8" x14ac:dyDescent="0.25">
      <c r="E928" t="str">
        <f>""</f>
        <v/>
      </c>
      <c r="F928" t="str">
        <f>""</f>
        <v/>
      </c>
      <c r="H928" t="str">
        <f>"Inv# 901610"</f>
        <v>Inv# 901610</v>
      </c>
    </row>
    <row r="929" spans="1:8" x14ac:dyDescent="0.25">
      <c r="A929" t="s">
        <v>297</v>
      </c>
      <c r="B929">
        <v>79524</v>
      </c>
      <c r="C929" s="3">
        <v>250.18</v>
      </c>
      <c r="D929" s="1">
        <v>43417</v>
      </c>
      <c r="E929" t="str">
        <f>"201810304698"</f>
        <v>201810304698</v>
      </c>
      <c r="F929" t="str">
        <f>"REIMBURSE TRAVEL EXPENSES"</f>
        <v>REIMBURSE TRAVEL EXPENSES</v>
      </c>
      <c r="G929" s="2">
        <v>250.18</v>
      </c>
      <c r="H929" t="str">
        <f>"REIMBURSE TRAVEL EXPENSES"</f>
        <v>REIMBURSE TRAVEL EXPENSES</v>
      </c>
    </row>
    <row r="930" spans="1:8" x14ac:dyDescent="0.25">
      <c r="A930" t="s">
        <v>298</v>
      </c>
      <c r="B930">
        <v>999999</v>
      </c>
      <c r="C930" s="3">
        <v>1146</v>
      </c>
      <c r="D930" s="1">
        <v>43418</v>
      </c>
      <c r="E930" t="str">
        <f>"350725  350571"</f>
        <v>350725  350571</v>
      </c>
      <c r="F930" t="str">
        <f>"INV 350725 / 350571"</f>
        <v>INV 350725 / 350571</v>
      </c>
      <c r="G930" s="2">
        <v>1146</v>
      </c>
      <c r="H930" t="str">
        <f>"INV 350725"</f>
        <v>INV 350725</v>
      </c>
    </row>
    <row r="931" spans="1:8" x14ac:dyDescent="0.25">
      <c r="E931" t="str">
        <f>""</f>
        <v/>
      </c>
      <c r="F931" t="str">
        <f>""</f>
        <v/>
      </c>
      <c r="H931" t="str">
        <f>"INV 350571"</f>
        <v>INV 350571</v>
      </c>
    </row>
    <row r="932" spans="1:8" x14ac:dyDescent="0.25">
      <c r="A932" t="s">
        <v>299</v>
      </c>
      <c r="B932">
        <v>79525</v>
      </c>
      <c r="C932" s="3">
        <v>639.38</v>
      </c>
      <c r="D932" s="1">
        <v>43417</v>
      </c>
      <c r="E932" t="str">
        <f>"201810234624"</f>
        <v>201810234624</v>
      </c>
      <c r="F932" t="str">
        <f>"CRIMINAL COURT 10/15/2018"</f>
        <v>CRIMINAL COURT 10/15/2018</v>
      </c>
      <c r="G932" s="2">
        <v>394.69</v>
      </c>
      <c r="H932" t="str">
        <f>"CRIMINAL COURT 10/15/2018"</f>
        <v>CRIMINAL COURT 10/15/2018</v>
      </c>
    </row>
    <row r="933" spans="1:8" x14ac:dyDescent="0.25">
      <c r="E933" t="str">
        <f>"201810234625"</f>
        <v>201810234625</v>
      </c>
      <c r="F933" t="str">
        <f>"CRIMINAL COURT 10/10/2018"</f>
        <v>CRIMINAL COURT 10/10/2018</v>
      </c>
      <c r="G933" s="2">
        <v>244.69</v>
      </c>
      <c r="H933" t="str">
        <f>"CRIMINAL COURT 10/10/2018"</f>
        <v>CRIMINAL COURT 10/10/2018</v>
      </c>
    </row>
    <row r="934" spans="1:8" x14ac:dyDescent="0.25">
      <c r="A934" t="s">
        <v>300</v>
      </c>
      <c r="B934">
        <v>79526</v>
      </c>
      <c r="C934" s="3">
        <v>251.1</v>
      </c>
      <c r="D934" s="1">
        <v>43417</v>
      </c>
      <c r="E934" t="str">
        <f>"201811074955"</f>
        <v>201811074955</v>
      </c>
      <c r="F934" t="str">
        <f>"MARK WHITE"</f>
        <v>MARK WHITE</v>
      </c>
      <c r="G934" s="2">
        <v>251.1</v>
      </c>
      <c r="H934" t="str">
        <f>""</f>
        <v/>
      </c>
    </row>
    <row r="935" spans="1:8" x14ac:dyDescent="0.25">
      <c r="A935" t="s">
        <v>301</v>
      </c>
      <c r="B935">
        <v>79527</v>
      </c>
      <c r="C935" s="3">
        <v>178.44</v>
      </c>
      <c r="D935" s="1">
        <v>43417</v>
      </c>
      <c r="E935" t="str">
        <f>"INV001748092"</f>
        <v>INV001748092</v>
      </c>
      <c r="F935" t="str">
        <f>"INV001748092"</f>
        <v>INV001748092</v>
      </c>
      <c r="G935" s="2">
        <v>178.44</v>
      </c>
      <c r="H935" t="str">
        <f>"INV001748092"</f>
        <v>INV001748092</v>
      </c>
    </row>
    <row r="936" spans="1:8" x14ac:dyDescent="0.25">
      <c r="A936" t="s">
        <v>302</v>
      </c>
      <c r="B936">
        <v>999999</v>
      </c>
      <c r="C936" s="3">
        <v>1575</v>
      </c>
      <c r="D936" s="1">
        <v>43418</v>
      </c>
      <c r="E936" t="str">
        <f>"201810304699"</f>
        <v>201810304699</v>
      </c>
      <c r="F936" t="str">
        <f>"18-18966"</f>
        <v>18-18966</v>
      </c>
      <c r="G936" s="2">
        <v>475</v>
      </c>
      <c r="H936" t="str">
        <f>"18-18966"</f>
        <v>18-18966</v>
      </c>
    </row>
    <row r="937" spans="1:8" x14ac:dyDescent="0.25">
      <c r="E937" t="str">
        <f>"201810304700"</f>
        <v>201810304700</v>
      </c>
      <c r="F937" t="str">
        <f>"56 301"</f>
        <v>56 301</v>
      </c>
      <c r="G937" s="2">
        <v>250</v>
      </c>
      <c r="H937" t="str">
        <f>"56 301"</f>
        <v>56 301</v>
      </c>
    </row>
    <row r="938" spans="1:8" x14ac:dyDescent="0.25">
      <c r="E938" t="str">
        <f>"201810304721"</f>
        <v>201810304721</v>
      </c>
      <c r="F938" t="str">
        <f>"56 160"</f>
        <v>56 160</v>
      </c>
      <c r="G938" s="2">
        <v>250</v>
      </c>
      <c r="H938" t="str">
        <f>"56 160"</f>
        <v>56 160</v>
      </c>
    </row>
    <row r="939" spans="1:8" x14ac:dyDescent="0.25">
      <c r="E939" t="str">
        <f>"201810304733"</f>
        <v>201810304733</v>
      </c>
      <c r="F939" t="str">
        <f>"18-18995"</f>
        <v>18-18995</v>
      </c>
      <c r="G939" s="2">
        <v>100</v>
      </c>
      <c r="H939" t="str">
        <f>"18-18995"</f>
        <v>18-18995</v>
      </c>
    </row>
    <row r="940" spans="1:8" x14ac:dyDescent="0.25">
      <c r="E940" t="str">
        <f>"201811024818"</f>
        <v>201811024818</v>
      </c>
      <c r="F940" t="str">
        <f>"56 265"</f>
        <v>56 265</v>
      </c>
      <c r="G940" s="2">
        <v>250</v>
      </c>
      <c r="H940" t="str">
        <f>"56 265"</f>
        <v>56 265</v>
      </c>
    </row>
    <row r="941" spans="1:8" x14ac:dyDescent="0.25">
      <c r="E941" t="str">
        <f>"201811024819"</f>
        <v>201811024819</v>
      </c>
      <c r="F941" t="str">
        <f>"55 912"</f>
        <v>55 912</v>
      </c>
      <c r="G941" s="2">
        <v>250</v>
      </c>
      <c r="H941" t="str">
        <f>"55 912"</f>
        <v>55 912</v>
      </c>
    </row>
    <row r="942" spans="1:8" x14ac:dyDescent="0.25">
      <c r="A942" t="s">
        <v>302</v>
      </c>
      <c r="B942">
        <v>999999</v>
      </c>
      <c r="C942" s="3">
        <v>1512.5</v>
      </c>
      <c r="D942" s="1">
        <v>43431</v>
      </c>
      <c r="E942" t="str">
        <f>"201811145080"</f>
        <v>201811145080</v>
      </c>
      <c r="F942" t="str">
        <f>"18-19023"</f>
        <v>18-19023</v>
      </c>
      <c r="G942" s="2">
        <v>100</v>
      </c>
      <c r="H942" t="str">
        <f>"18-19023"</f>
        <v>18-19023</v>
      </c>
    </row>
    <row r="943" spans="1:8" x14ac:dyDescent="0.25">
      <c r="E943" t="str">
        <f>"201811145081"</f>
        <v>201811145081</v>
      </c>
      <c r="F943" t="str">
        <f>"18-18877"</f>
        <v>18-18877</v>
      </c>
      <c r="G943" s="2">
        <v>100</v>
      </c>
      <c r="H943" t="str">
        <f>"18-18877"</f>
        <v>18-18877</v>
      </c>
    </row>
    <row r="944" spans="1:8" x14ac:dyDescent="0.25">
      <c r="E944" t="str">
        <f>"201811145086"</f>
        <v>201811145086</v>
      </c>
      <c r="F944" t="str">
        <f>"18-19016"</f>
        <v>18-19016</v>
      </c>
      <c r="G944" s="2">
        <v>100</v>
      </c>
      <c r="H944" t="str">
        <f>"18-19016"</f>
        <v>18-19016</v>
      </c>
    </row>
    <row r="945" spans="1:8" x14ac:dyDescent="0.25">
      <c r="E945" t="str">
        <f>"201811145095"</f>
        <v>201811145095</v>
      </c>
      <c r="F945" t="str">
        <f>"18-19237"</f>
        <v>18-19237</v>
      </c>
      <c r="G945" s="2">
        <v>100</v>
      </c>
      <c r="H945" t="str">
        <f>"18-19237"</f>
        <v>18-19237</v>
      </c>
    </row>
    <row r="946" spans="1:8" x14ac:dyDescent="0.25">
      <c r="E946" t="str">
        <f>"201811155218"</f>
        <v>201811155218</v>
      </c>
      <c r="F946" t="str">
        <f>"17-18738"</f>
        <v>17-18738</v>
      </c>
      <c r="G946" s="2">
        <v>100</v>
      </c>
      <c r="H946" t="str">
        <f>"17-18738"</f>
        <v>17-18738</v>
      </c>
    </row>
    <row r="947" spans="1:8" x14ac:dyDescent="0.25">
      <c r="E947" t="str">
        <f>"201811155220"</f>
        <v>201811155220</v>
      </c>
      <c r="F947" t="str">
        <f>"17-18625"</f>
        <v>17-18625</v>
      </c>
      <c r="G947" s="2">
        <v>187.5</v>
      </c>
      <c r="H947" t="str">
        <f>"17-18625"</f>
        <v>17-18625</v>
      </c>
    </row>
    <row r="948" spans="1:8" x14ac:dyDescent="0.25">
      <c r="E948" t="str">
        <f>"201811155221"</f>
        <v>201811155221</v>
      </c>
      <c r="F948" t="str">
        <f>"18-18885"</f>
        <v>18-18885</v>
      </c>
      <c r="G948" s="2">
        <v>300</v>
      </c>
      <c r="H948" t="str">
        <f>"18-18885"</f>
        <v>18-18885</v>
      </c>
    </row>
    <row r="949" spans="1:8" x14ac:dyDescent="0.25">
      <c r="E949" t="str">
        <f>"201811155222"</f>
        <v>201811155222</v>
      </c>
      <c r="F949" t="str">
        <f>"18-18966"</f>
        <v>18-18966</v>
      </c>
      <c r="G949" s="2">
        <v>131.25</v>
      </c>
      <c r="H949" t="str">
        <f>"18-18966"</f>
        <v>18-18966</v>
      </c>
    </row>
    <row r="950" spans="1:8" x14ac:dyDescent="0.25">
      <c r="E950" t="str">
        <f>"201811155223"</f>
        <v>201811155223</v>
      </c>
      <c r="F950" t="str">
        <f>"18-19288"</f>
        <v>18-19288</v>
      </c>
      <c r="G950" s="2">
        <v>187.5</v>
      </c>
      <c r="H950" t="str">
        <f>"18-19288"</f>
        <v>18-19288</v>
      </c>
    </row>
    <row r="951" spans="1:8" x14ac:dyDescent="0.25">
      <c r="E951" t="str">
        <f>"201811155224"</f>
        <v>201811155224</v>
      </c>
      <c r="F951" t="str">
        <f>"18-19093"</f>
        <v>18-19093</v>
      </c>
      <c r="G951" s="2">
        <v>206.25</v>
      </c>
      <c r="H951" t="str">
        <f>"18-19093"</f>
        <v>18-19093</v>
      </c>
    </row>
    <row r="952" spans="1:8" x14ac:dyDescent="0.25">
      <c r="A952" t="s">
        <v>303</v>
      </c>
      <c r="B952">
        <v>79528</v>
      </c>
      <c r="C952" s="3">
        <v>215.22</v>
      </c>
      <c r="D952" s="1">
        <v>43417</v>
      </c>
      <c r="E952" t="str">
        <f>"18535157 18574505"</f>
        <v>18535157 18574505</v>
      </c>
      <c r="F952" t="str">
        <f>"CUST#S9547/PCT#1"</f>
        <v>CUST#S9547/PCT#1</v>
      </c>
      <c r="G952" s="2">
        <v>163</v>
      </c>
      <c r="H952" t="str">
        <f>"CUST#S9547/PCT#1"</f>
        <v>CUST#S9547/PCT#1</v>
      </c>
    </row>
    <row r="953" spans="1:8" x14ac:dyDescent="0.25">
      <c r="E953" t="str">
        <f>"18566317"</f>
        <v>18566317</v>
      </c>
      <c r="F953" t="str">
        <f>"INV 18566317"</f>
        <v>INV 18566317</v>
      </c>
      <c r="G953" s="2">
        <v>52.22</v>
      </c>
      <c r="H953" t="str">
        <f>"INV 18566317"</f>
        <v>INV 18566317</v>
      </c>
    </row>
    <row r="954" spans="1:8" x14ac:dyDescent="0.25">
      <c r="A954" t="s">
        <v>303</v>
      </c>
      <c r="B954">
        <v>79723</v>
      </c>
      <c r="C954" s="3">
        <v>61.96</v>
      </c>
      <c r="D954" s="1">
        <v>43430</v>
      </c>
      <c r="E954" t="str">
        <f>"18566158"</f>
        <v>18566158</v>
      </c>
      <c r="F954" t="str">
        <f>"CUST# 41472 - 10/31/18 - P1"</f>
        <v>CUST# 41472 - 10/31/18 - P1</v>
      </c>
      <c r="G954" s="2">
        <v>22.23</v>
      </c>
      <c r="H954" t="str">
        <f>"CUST# 41472 - 10/31/18 - P1"</f>
        <v>CUST# 41472 - 10/31/18 - P1</v>
      </c>
    </row>
    <row r="955" spans="1:8" x14ac:dyDescent="0.25">
      <c r="E955" t="str">
        <f>"18566253"</f>
        <v>18566253</v>
      </c>
      <c r="F955" t="str">
        <f>"CUST#45057/PCT#4"</f>
        <v>CUST#45057/PCT#4</v>
      </c>
      <c r="G955" s="2">
        <v>39.729999999999997</v>
      </c>
      <c r="H955" t="str">
        <f>"CUST#45057/PCT#4"</f>
        <v>CUST#45057/PCT#4</v>
      </c>
    </row>
    <row r="956" spans="1:8" x14ac:dyDescent="0.25">
      <c r="A956" t="s">
        <v>304</v>
      </c>
      <c r="B956">
        <v>79529</v>
      </c>
      <c r="C956" s="3">
        <v>25</v>
      </c>
      <c r="D956" s="1">
        <v>43417</v>
      </c>
      <c r="E956" t="str">
        <f>"201811074957"</f>
        <v>201811074957</v>
      </c>
      <c r="F956" t="str">
        <f>"MAURICE C. COOK"</f>
        <v>MAURICE C. COOK</v>
      </c>
      <c r="G956" s="2">
        <v>25</v>
      </c>
      <c r="H956" t="str">
        <f>""</f>
        <v/>
      </c>
    </row>
    <row r="957" spans="1:8" x14ac:dyDescent="0.25">
      <c r="A957" t="s">
        <v>304</v>
      </c>
      <c r="B957">
        <v>79724</v>
      </c>
      <c r="C957" s="3">
        <v>246.35</v>
      </c>
      <c r="D957" s="1">
        <v>43430</v>
      </c>
      <c r="E957" t="str">
        <f>"201811155248"</f>
        <v>201811155248</v>
      </c>
      <c r="F957" t="str">
        <f>"PIER DIEM &amp; LODGING"</f>
        <v>PIER DIEM &amp; LODGING</v>
      </c>
      <c r="G957" s="2">
        <v>246.35</v>
      </c>
      <c r="H957" t="str">
        <f>"LODGING"</f>
        <v>LODGING</v>
      </c>
    </row>
    <row r="958" spans="1:8" x14ac:dyDescent="0.25">
      <c r="E958" t="str">
        <f>""</f>
        <v/>
      </c>
      <c r="F958" t="str">
        <f>""</f>
        <v/>
      </c>
      <c r="H958" t="str">
        <f>"PIER DIEM"</f>
        <v>PIER DIEM</v>
      </c>
    </row>
    <row r="959" spans="1:8" x14ac:dyDescent="0.25">
      <c r="A959" t="s">
        <v>305</v>
      </c>
      <c r="B959">
        <v>79725</v>
      </c>
      <c r="C959" s="3">
        <v>150</v>
      </c>
      <c r="D959" s="1">
        <v>43430</v>
      </c>
      <c r="E959" t="str">
        <f>"12839"</f>
        <v>12839</v>
      </c>
      <c r="F959" t="str">
        <f>"SERVICE"</f>
        <v>SERVICE</v>
      </c>
      <c r="G959" s="2">
        <v>150</v>
      </c>
      <c r="H959" t="str">
        <f>"SERVICE"</f>
        <v>SERVICE</v>
      </c>
    </row>
    <row r="960" spans="1:8" x14ac:dyDescent="0.25">
      <c r="A960" t="s">
        <v>306</v>
      </c>
      <c r="B960">
        <v>999999</v>
      </c>
      <c r="C960" s="3">
        <v>53.18</v>
      </c>
      <c r="D960" s="1">
        <v>43418</v>
      </c>
      <c r="E960" t="str">
        <f>"663124"</f>
        <v>663124</v>
      </c>
      <c r="F960" t="str">
        <f>"ACCT#900-98011130-001"</f>
        <v>ACCT#900-98011130-001</v>
      </c>
      <c r="G960" s="2">
        <v>27.28</v>
      </c>
      <c r="H960" t="str">
        <f>"ACCT#900-98011130-001"</f>
        <v>ACCT#900-98011130-001</v>
      </c>
    </row>
    <row r="961" spans="1:9" x14ac:dyDescent="0.25">
      <c r="E961" t="str">
        <f>"663510"</f>
        <v>663510</v>
      </c>
      <c r="F961" t="str">
        <f>"ACCT#900-98011130/PCT#3"</f>
        <v>ACCT#900-98011130/PCT#3</v>
      </c>
      <c r="G961" s="2">
        <v>25.9</v>
      </c>
      <c r="H961" t="str">
        <f>"ACCT#900-98011130/PCT#3"</f>
        <v>ACCT#900-98011130/PCT#3</v>
      </c>
    </row>
    <row r="962" spans="1:9" x14ac:dyDescent="0.25">
      <c r="A962" t="s">
        <v>307</v>
      </c>
      <c r="B962">
        <v>79530</v>
      </c>
      <c r="C962" s="3">
        <v>22233.46</v>
      </c>
      <c r="D962" s="1">
        <v>43417</v>
      </c>
      <c r="E962" t="str">
        <f>"11264"</f>
        <v>11264</v>
      </c>
      <c r="F962" t="str">
        <f>"ABST FEE-$150 + SERVICE-$65"</f>
        <v>ABST FEE-$150 + SERVICE-$65</v>
      </c>
      <c r="G962" s="2">
        <v>215</v>
      </c>
      <c r="H962" t="str">
        <f>"ABST FEE-$150 + SERVICE-$65"</f>
        <v>ABST FEE-$150 + SERVICE-$65</v>
      </c>
    </row>
    <row r="963" spans="1:9" x14ac:dyDescent="0.25">
      <c r="E963" t="str">
        <f>"11314  09/19/18"</f>
        <v>11314  09/19/18</v>
      </c>
      <c r="F963" t="str">
        <f>"SERVICE"</f>
        <v>SERVICE</v>
      </c>
      <c r="G963" s="2">
        <v>55</v>
      </c>
      <c r="H963" t="str">
        <f>"SERVICE"</f>
        <v>SERVICE</v>
      </c>
    </row>
    <row r="964" spans="1:9" x14ac:dyDescent="0.25">
      <c r="E964" t="str">
        <f>"12777"</f>
        <v>12777</v>
      </c>
      <c r="F964" t="str">
        <f>"ABST FEE"</f>
        <v>ABST FEE</v>
      </c>
      <c r="G964" s="2">
        <v>225</v>
      </c>
      <c r="H964" t="str">
        <f>"ABST FEE"</f>
        <v>ABST FEE</v>
      </c>
    </row>
    <row r="965" spans="1:9" x14ac:dyDescent="0.25">
      <c r="E965" t="str">
        <f>"12853"</f>
        <v>12853</v>
      </c>
      <c r="F965" t="str">
        <f>"ABST FEE"</f>
        <v>ABST FEE</v>
      </c>
      <c r="G965" s="2">
        <v>225</v>
      </c>
      <c r="H965" t="str">
        <f>"ABST FEE"</f>
        <v>ABST FEE</v>
      </c>
    </row>
    <row r="966" spans="1:9" x14ac:dyDescent="0.25">
      <c r="E966" t="str">
        <f>"201811054827"</f>
        <v>201811054827</v>
      </c>
      <c r="F966" t="str">
        <f>"DELIQUENT TAX COLLECT-OCT2018"</f>
        <v>DELIQUENT TAX COLLECT-OCT2018</v>
      </c>
      <c r="G966" s="2">
        <v>21413.46</v>
      </c>
      <c r="H966" t="str">
        <f>"DELIQUENT TAX COLLECT-OCT2018"</f>
        <v>DELIQUENT TAX COLLECT-OCT2018</v>
      </c>
    </row>
    <row r="967" spans="1:9" x14ac:dyDescent="0.25">
      <c r="E967" t="str">
        <f>"8206"</f>
        <v>8206</v>
      </c>
      <c r="F967" t="str">
        <f>"ABST FEE"</f>
        <v>ABST FEE</v>
      </c>
      <c r="G967" s="2">
        <v>100</v>
      </c>
      <c r="H967" t="str">
        <f>"ABST FEE"</f>
        <v>ABST FEE</v>
      </c>
    </row>
    <row r="968" spans="1:9" x14ac:dyDescent="0.25">
      <c r="A968" t="s">
        <v>307</v>
      </c>
      <c r="B968">
        <v>79726</v>
      </c>
      <c r="C968" s="3">
        <v>3567.45</v>
      </c>
      <c r="D968" s="1">
        <v>43430</v>
      </c>
      <c r="E968" t="str">
        <f>"10575"</f>
        <v>10575</v>
      </c>
      <c r="F968" t="str">
        <f>"PRINTER FEE"</f>
        <v>PRINTER FEE</v>
      </c>
      <c r="G968" s="2">
        <v>424.03</v>
      </c>
      <c r="H968" t="str">
        <f>"PRINTER FEE"</f>
        <v>PRINTER FEE</v>
      </c>
    </row>
    <row r="969" spans="1:9" x14ac:dyDescent="0.25">
      <c r="E969" t="s">
        <v>88</v>
      </c>
      <c r="F969" t="s">
        <v>89</v>
      </c>
      <c r="G969" s="2" t="str">
        <f>"ABST FEE"</f>
        <v>ABST FEE</v>
      </c>
      <c r="H969" t="str">
        <f>"995-4110"</f>
        <v>995-4110</v>
      </c>
      <c r="I969" t="str">
        <f>""</f>
        <v/>
      </c>
    </row>
    <row r="970" spans="1:9" x14ac:dyDescent="0.25">
      <c r="E970" t="str">
        <f>"12057"</f>
        <v>12057</v>
      </c>
      <c r="F970" t="str">
        <f>"PRINTER FEE"</f>
        <v>PRINTER FEE</v>
      </c>
      <c r="G970" s="2">
        <v>124.03</v>
      </c>
      <c r="H970" t="str">
        <f>"PRINTER FEE"</f>
        <v>PRINTER FEE</v>
      </c>
    </row>
    <row r="971" spans="1:9" x14ac:dyDescent="0.25">
      <c r="E971" t="str">
        <f>"12127"</f>
        <v>12127</v>
      </c>
      <c r="F971" t="str">
        <f t="shared" ref="F971:F977" si="13">"ABST FEE"</f>
        <v>ABST FEE</v>
      </c>
      <c r="G971" s="2">
        <v>71.03</v>
      </c>
      <c r="H971" t="str">
        <f t="shared" ref="H971:H977" si="14">"ABST FEE"</f>
        <v>ABST FEE</v>
      </c>
    </row>
    <row r="972" spans="1:9" x14ac:dyDescent="0.25">
      <c r="E972" t="str">
        <f>"12490"</f>
        <v>12490</v>
      </c>
      <c r="F972" t="str">
        <f t="shared" si="13"/>
        <v>ABST FEE</v>
      </c>
      <c r="G972" s="2">
        <v>175</v>
      </c>
      <c r="H972" t="str">
        <f t="shared" si="14"/>
        <v>ABST FEE</v>
      </c>
    </row>
    <row r="973" spans="1:9" x14ac:dyDescent="0.25">
      <c r="E973" t="str">
        <f>"12684"</f>
        <v>12684</v>
      </c>
      <c r="F973" t="str">
        <f t="shared" si="13"/>
        <v>ABST FEE</v>
      </c>
      <c r="G973" s="2">
        <v>225</v>
      </c>
      <c r="H973" t="str">
        <f t="shared" si="14"/>
        <v>ABST FEE</v>
      </c>
    </row>
    <row r="974" spans="1:9" x14ac:dyDescent="0.25">
      <c r="E974" t="str">
        <f>"12722"</f>
        <v>12722</v>
      </c>
      <c r="F974" t="str">
        <f t="shared" si="13"/>
        <v>ABST FEE</v>
      </c>
      <c r="G974" s="2">
        <v>225</v>
      </c>
      <c r="H974" t="str">
        <f t="shared" si="14"/>
        <v>ABST FEE</v>
      </c>
    </row>
    <row r="975" spans="1:9" x14ac:dyDescent="0.25">
      <c r="E975" t="str">
        <f>"12745"</f>
        <v>12745</v>
      </c>
      <c r="F975" t="str">
        <f t="shared" si="13"/>
        <v>ABST FEE</v>
      </c>
      <c r="G975" s="2">
        <v>225</v>
      </c>
      <c r="H975" t="str">
        <f t="shared" si="14"/>
        <v>ABST FEE</v>
      </c>
    </row>
    <row r="976" spans="1:9" x14ac:dyDescent="0.25">
      <c r="E976" t="str">
        <f>"12754"</f>
        <v>12754</v>
      </c>
      <c r="F976" t="str">
        <f t="shared" si="13"/>
        <v>ABST FEE</v>
      </c>
      <c r="G976" s="2">
        <v>225</v>
      </c>
      <c r="H976" t="str">
        <f t="shared" si="14"/>
        <v>ABST FEE</v>
      </c>
    </row>
    <row r="977" spans="1:8" x14ac:dyDescent="0.25">
      <c r="E977" t="str">
        <f>"12767"</f>
        <v>12767</v>
      </c>
      <c r="F977" t="str">
        <f t="shared" si="13"/>
        <v>ABST FEE</v>
      </c>
      <c r="G977" s="2">
        <v>225</v>
      </c>
      <c r="H977" t="str">
        <f t="shared" si="14"/>
        <v>ABST FEE</v>
      </c>
    </row>
    <row r="978" spans="1:8" x14ac:dyDescent="0.25">
      <c r="E978" t="str">
        <f>"12774"</f>
        <v>12774</v>
      </c>
      <c r="F978" t="str">
        <f>"ABST FEE-$225   SERVICE-$55"</f>
        <v>ABST FEE-$225   SERVICE-$55</v>
      </c>
      <c r="G978" s="2">
        <v>280</v>
      </c>
      <c r="H978" t="str">
        <f>"ABST FEE-$225   SERVICE-$55"</f>
        <v>ABST FEE-$225   SERVICE-$55</v>
      </c>
    </row>
    <row r="979" spans="1:8" x14ac:dyDescent="0.25">
      <c r="E979" t="str">
        <f>"12816"</f>
        <v>12816</v>
      </c>
      <c r="F979" t="str">
        <f>"ABST FEE"</f>
        <v>ABST FEE</v>
      </c>
      <c r="G979" s="2">
        <v>225</v>
      </c>
      <c r="H979" t="str">
        <f>"ABST FEE"</f>
        <v>ABST FEE</v>
      </c>
    </row>
    <row r="980" spans="1:8" x14ac:dyDescent="0.25">
      <c r="E980" t="str">
        <f>"12821"</f>
        <v>12821</v>
      </c>
      <c r="F980" t="str">
        <f>"ABST FEE"</f>
        <v>ABST FEE</v>
      </c>
      <c r="G980" s="2">
        <v>225</v>
      </c>
      <c r="H980" t="str">
        <f>"ABST FEE"</f>
        <v>ABST FEE</v>
      </c>
    </row>
    <row r="981" spans="1:8" x14ac:dyDescent="0.25">
      <c r="E981" t="str">
        <f>"12839"</f>
        <v>12839</v>
      </c>
      <c r="F981" t="str">
        <f>"ABST FEE"</f>
        <v>ABST FEE</v>
      </c>
      <c r="G981" s="2">
        <v>225</v>
      </c>
      <c r="H981" t="str">
        <f>"ABST FEE"</f>
        <v>ABST FEE</v>
      </c>
    </row>
    <row r="982" spans="1:8" x14ac:dyDescent="0.25">
      <c r="E982" t="str">
        <f>"12992"</f>
        <v>12992</v>
      </c>
      <c r="F982" t="str">
        <f>"ABST FEE"</f>
        <v>ABST FEE</v>
      </c>
      <c r="G982" s="2">
        <v>225</v>
      </c>
      <c r="H982" t="str">
        <f>"ABST FEE"</f>
        <v>ABST FEE</v>
      </c>
    </row>
    <row r="983" spans="1:8" x14ac:dyDescent="0.25">
      <c r="E983" t="str">
        <f>"13046"</f>
        <v>13046</v>
      </c>
      <c r="F983" t="str">
        <f>"ABST FEE"</f>
        <v>ABST FEE</v>
      </c>
      <c r="G983" s="2">
        <v>225</v>
      </c>
      <c r="H983" t="str">
        <f>"ABST FEE"</f>
        <v>ABST FEE</v>
      </c>
    </row>
    <row r="984" spans="1:8" x14ac:dyDescent="0.25">
      <c r="E984" t="str">
        <f>"3518"</f>
        <v>3518</v>
      </c>
      <c r="F984" t="str">
        <f>"PRINTER FEE (TAX CASE)"</f>
        <v>PRINTER FEE (TAX CASE)</v>
      </c>
      <c r="G984" s="2">
        <v>81.58</v>
      </c>
      <c r="H984" t="str">
        <f>"PRINTER FEE (TAX CASE)"</f>
        <v>PRINTER FEE (TAX CASE)</v>
      </c>
    </row>
    <row r="985" spans="1:8" x14ac:dyDescent="0.25">
      <c r="E985" t="str">
        <f>"3797"</f>
        <v>3797</v>
      </c>
      <c r="F985" t="str">
        <f>"PRINTER FEE (TAX CASE)"</f>
        <v>PRINTER FEE (TAX CASE)</v>
      </c>
      <c r="G985" s="2">
        <v>96.75</v>
      </c>
      <c r="H985" t="str">
        <f>"PRINTER FEE (TAX CASE)"</f>
        <v>PRINTER FEE (TAX CASE)</v>
      </c>
    </row>
    <row r="986" spans="1:8" x14ac:dyDescent="0.25">
      <c r="A986" t="s">
        <v>308</v>
      </c>
      <c r="B986">
        <v>79531</v>
      </c>
      <c r="C986" s="3">
        <v>439.95</v>
      </c>
      <c r="D986" s="1">
        <v>43417</v>
      </c>
      <c r="E986" t="str">
        <f>"006356"</f>
        <v>006356</v>
      </c>
      <c r="F986" t="str">
        <f>"WIRING/LIGHTS &amp; BRAKES/SOLAR P"</f>
        <v>WIRING/LIGHTS &amp; BRAKES/SOLAR P</v>
      </c>
      <c r="G986" s="2">
        <v>439.95</v>
      </c>
      <c r="H986" t="str">
        <f>"WIRING/LIGHTS &amp; BRAKES/SOLAR P"</f>
        <v>WIRING/LIGHTS &amp; BRAKES/SOLAR P</v>
      </c>
    </row>
    <row r="987" spans="1:8" x14ac:dyDescent="0.25">
      <c r="A987" t="s">
        <v>309</v>
      </c>
      <c r="B987">
        <v>79727</v>
      </c>
      <c r="C987" s="3">
        <v>2302.4</v>
      </c>
      <c r="D987" s="1">
        <v>43430</v>
      </c>
      <c r="E987" t="str">
        <f>"201811155166"</f>
        <v>201811155166</v>
      </c>
      <c r="F987" t="str">
        <f>"16 295"</f>
        <v>16 295</v>
      </c>
      <c r="G987" s="2">
        <v>2302.4</v>
      </c>
      <c r="H987" t="str">
        <f>"16 295"</f>
        <v>16 295</v>
      </c>
    </row>
    <row r="988" spans="1:8" x14ac:dyDescent="0.25">
      <c r="A988" t="s">
        <v>310</v>
      </c>
      <c r="B988">
        <v>79532</v>
      </c>
      <c r="C988" s="3">
        <v>2436.61</v>
      </c>
      <c r="D988" s="1">
        <v>43417</v>
      </c>
      <c r="E988" t="str">
        <f>"201811074981"</f>
        <v>201811074981</v>
      </c>
      <c r="F988" t="str">
        <f>"INDIGENT HEALTH"</f>
        <v>INDIGENT HEALTH</v>
      </c>
      <c r="G988" s="2">
        <v>738.3</v>
      </c>
      <c r="H988" t="str">
        <f>"INDIGENT HEALTH"</f>
        <v>INDIGENT HEALTH</v>
      </c>
    </row>
    <row r="989" spans="1:8" x14ac:dyDescent="0.25">
      <c r="E989" t="str">
        <f>"201811074982"</f>
        <v>201811074982</v>
      </c>
      <c r="F989" t="str">
        <f>"INDIGENT HEALTH"</f>
        <v>INDIGENT HEALTH</v>
      </c>
      <c r="G989" s="2">
        <v>1698.31</v>
      </c>
      <c r="H989" t="str">
        <f>"INDIGENT HEALTH"</f>
        <v>INDIGENT HEALTH</v>
      </c>
    </row>
    <row r="990" spans="1:8" x14ac:dyDescent="0.25">
      <c r="A990" t="s">
        <v>311</v>
      </c>
      <c r="B990">
        <v>79533</v>
      </c>
      <c r="C990" s="3">
        <v>2000</v>
      </c>
      <c r="D990" s="1">
        <v>43417</v>
      </c>
      <c r="E990" t="str">
        <f>"201811064851"</f>
        <v>201811064851</v>
      </c>
      <c r="F990" t="str">
        <f>"VET SURGICAL SVCS-OCTOBER 2018"</f>
        <v>VET SURGICAL SVCS-OCTOBER 2018</v>
      </c>
      <c r="G990" s="2">
        <v>2000</v>
      </c>
      <c r="H990" t="str">
        <f>"VET SURGICAL SVCS-OCTOBER 2018"</f>
        <v>VET SURGICAL SVCS-OCTOBER 2018</v>
      </c>
    </row>
    <row r="991" spans="1:8" x14ac:dyDescent="0.25">
      <c r="A991" t="s">
        <v>312</v>
      </c>
      <c r="B991">
        <v>79637</v>
      </c>
      <c r="C991" s="3">
        <v>143.38</v>
      </c>
      <c r="D991" s="1">
        <v>43418</v>
      </c>
      <c r="E991" t="str">
        <f>"201811145078"</f>
        <v>201811145078</v>
      </c>
      <c r="F991" t="str">
        <f>"UNIFORM JEANS REIMBURSEMENT"</f>
        <v>UNIFORM JEANS REIMBURSEMENT</v>
      </c>
      <c r="G991" s="2">
        <v>143.38</v>
      </c>
      <c r="H991" t="str">
        <f>"UNIFORM JEANS REIMBURSEMENT"</f>
        <v>UNIFORM JEANS REIMBURSEMENT</v>
      </c>
    </row>
    <row r="992" spans="1:8" x14ac:dyDescent="0.25">
      <c r="A992" t="s">
        <v>313</v>
      </c>
      <c r="B992">
        <v>999999</v>
      </c>
      <c r="C992" s="3">
        <v>148.5</v>
      </c>
      <c r="D992" s="1">
        <v>43431</v>
      </c>
      <c r="E992" t="str">
        <f>"18-051"</f>
        <v>18-051</v>
      </c>
      <c r="F992" t="str">
        <f>"06-11191"</f>
        <v>06-11191</v>
      </c>
      <c r="G992" s="2">
        <v>148.5</v>
      </c>
      <c r="H992" t="str">
        <f>"06-11191"</f>
        <v>06-11191</v>
      </c>
    </row>
    <row r="993" spans="1:8" x14ac:dyDescent="0.25">
      <c r="A993" t="s">
        <v>314</v>
      </c>
      <c r="B993">
        <v>999999</v>
      </c>
      <c r="C993" s="3">
        <v>89.5</v>
      </c>
      <c r="D993" s="1">
        <v>43418</v>
      </c>
      <c r="E993" t="str">
        <f>"124423"</f>
        <v>124423</v>
      </c>
      <c r="F993" t="str">
        <f>"INV 124423"</f>
        <v>INV 124423</v>
      </c>
      <c r="G993" s="2">
        <v>89.5</v>
      </c>
      <c r="H993" t="str">
        <f>"INV 124423"</f>
        <v>INV 124423</v>
      </c>
    </row>
    <row r="994" spans="1:8" x14ac:dyDescent="0.25">
      <c r="A994" t="s">
        <v>314</v>
      </c>
      <c r="B994">
        <v>999999</v>
      </c>
      <c r="C994" s="3">
        <v>352.45</v>
      </c>
      <c r="D994" s="1">
        <v>43431</v>
      </c>
      <c r="E994" t="str">
        <f>"125662"</f>
        <v>125662</v>
      </c>
      <c r="F994" t="str">
        <f>"INV 125662"</f>
        <v>INV 125662</v>
      </c>
      <c r="G994" s="2">
        <v>25</v>
      </c>
      <c r="H994" t="str">
        <f>"INV 125662"</f>
        <v>INV 125662</v>
      </c>
    </row>
    <row r="995" spans="1:8" x14ac:dyDescent="0.25">
      <c r="E995" t="str">
        <f>"125672  123157"</f>
        <v>125672  123157</v>
      </c>
      <c r="F995" t="str">
        <f>"INV 125672/123157"</f>
        <v>INV 125672/123157</v>
      </c>
      <c r="G995" s="2">
        <v>315.45</v>
      </c>
      <c r="H995" t="str">
        <f>"INV 125672"</f>
        <v>INV 125672</v>
      </c>
    </row>
    <row r="996" spans="1:8" x14ac:dyDescent="0.25">
      <c r="E996" t="str">
        <f>""</f>
        <v/>
      </c>
      <c r="F996" t="str">
        <f>""</f>
        <v/>
      </c>
      <c r="H996" t="str">
        <f>"INV 123157"</f>
        <v>INV 123157</v>
      </c>
    </row>
    <row r="997" spans="1:8" x14ac:dyDescent="0.25">
      <c r="E997" t="str">
        <f>"125678"</f>
        <v>125678</v>
      </c>
      <c r="F997" t="str">
        <f>"INV 125678"</f>
        <v>INV 125678</v>
      </c>
      <c r="G997" s="2">
        <v>12</v>
      </c>
      <c r="H997" t="str">
        <f>"INV 125678"</f>
        <v>INV 125678</v>
      </c>
    </row>
    <row r="998" spans="1:8" x14ac:dyDescent="0.25">
      <c r="A998" t="s">
        <v>315</v>
      </c>
      <c r="B998">
        <v>79796</v>
      </c>
      <c r="C998" s="3">
        <v>170</v>
      </c>
      <c r="D998" s="1">
        <v>43434</v>
      </c>
      <c r="E998" t="str">
        <f>"201811305350"</f>
        <v>201811305350</v>
      </c>
      <c r="F998" t="str">
        <f>"M"</f>
        <v>M</v>
      </c>
      <c r="G998" s="2">
        <v>170</v>
      </c>
      <c r="H998" t="str">
        <f>"Children's Advocacy Center"</f>
        <v>Children's Advocacy Center</v>
      </c>
    </row>
    <row r="999" spans="1:8" x14ac:dyDescent="0.25">
      <c r="A999" t="s">
        <v>316</v>
      </c>
      <c r="B999">
        <v>79797</v>
      </c>
      <c r="C999" s="3">
        <v>66</v>
      </c>
      <c r="D999" s="1">
        <v>43434</v>
      </c>
      <c r="E999" t="str">
        <f>"201811305351"</f>
        <v>201811305351</v>
      </c>
      <c r="F999" t="str">
        <f>"Miscell"</f>
        <v>Miscell</v>
      </c>
      <c r="G999" s="2">
        <v>66</v>
      </c>
      <c r="H999" t="str">
        <f>"Family Crisis Center"</f>
        <v>Family Crisis Center</v>
      </c>
    </row>
    <row r="1000" spans="1:8" x14ac:dyDescent="0.25">
      <c r="A1000" t="s">
        <v>317</v>
      </c>
      <c r="B1000">
        <v>79798</v>
      </c>
      <c r="C1000" s="3">
        <v>232</v>
      </c>
      <c r="D1000" s="1">
        <v>43434</v>
      </c>
      <c r="E1000" t="str">
        <f>"201811305352"</f>
        <v>201811305352</v>
      </c>
      <c r="F1000" t="str">
        <f>""</f>
        <v/>
      </c>
      <c r="G1000" s="2">
        <v>232</v>
      </c>
      <c r="H1000" t="str">
        <f>"COURT APPOINTED SPECIAL ADVOCA"</f>
        <v>COURT APPOINTED SPECIAL ADVOCA</v>
      </c>
    </row>
    <row r="1001" spans="1:8" x14ac:dyDescent="0.25">
      <c r="A1001" t="s">
        <v>318</v>
      </c>
      <c r="B1001">
        <v>79799</v>
      </c>
      <c r="C1001" s="3">
        <v>6</v>
      </c>
      <c r="D1001" s="1">
        <v>43434</v>
      </c>
      <c r="E1001" t="str">
        <f>"201811305353"</f>
        <v>201811305353</v>
      </c>
      <c r="F1001" t="str">
        <f>"Misc"</f>
        <v>Misc</v>
      </c>
      <c r="G1001" s="2">
        <v>6</v>
      </c>
      <c r="H1001" t="str">
        <f>"DEBORA DOHERTY BRESETTE"</f>
        <v>DEBORA DOHERTY BRESETTE</v>
      </c>
    </row>
    <row r="1002" spans="1:8" x14ac:dyDescent="0.25">
      <c r="A1002" t="s">
        <v>319</v>
      </c>
      <c r="B1002">
        <v>79800</v>
      </c>
      <c r="C1002" s="3">
        <v>6</v>
      </c>
      <c r="D1002" s="1">
        <v>43434</v>
      </c>
      <c r="E1002" t="str">
        <f>"201811305354"</f>
        <v>201811305354</v>
      </c>
      <c r="F1002" t="str">
        <f>"M"</f>
        <v>M</v>
      </c>
      <c r="G1002" s="2">
        <v>6</v>
      </c>
      <c r="H1002" t="str">
        <f>"DEAN FREDERICK SCHOONMAKER"</f>
        <v>DEAN FREDERICK SCHOONMAKER</v>
      </c>
    </row>
    <row r="1003" spans="1:8" x14ac:dyDescent="0.25">
      <c r="A1003" t="s">
        <v>320</v>
      </c>
      <c r="B1003">
        <v>79801</v>
      </c>
      <c r="C1003" s="3">
        <v>6</v>
      </c>
      <c r="D1003" s="1">
        <v>43434</v>
      </c>
      <c r="E1003" t="str">
        <f>"201811305355"</f>
        <v>201811305355</v>
      </c>
      <c r="F1003" t="str">
        <f>"Miscell"</f>
        <v>Miscell</v>
      </c>
      <c r="G1003" s="2">
        <v>6</v>
      </c>
      <c r="H1003" t="str">
        <f>"JOSEPH PAUL PEKAR JR"</f>
        <v>JOSEPH PAUL PEKAR JR</v>
      </c>
    </row>
    <row r="1004" spans="1:8" x14ac:dyDescent="0.25">
      <c r="A1004" t="s">
        <v>321</v>
      </c>
      <c r="B1004">
        <v>79802</v>
      </c>
      <c r="C1004" s="3">
        <v>6</v>
      </c>
      <c r="D1004" s="1">
        <v>43434</v>
      </c>
      <c r="E1004" t="str">
        <f>"201811305356"</f>
        <v>201811305356</v>
      </c>
      <c r="F1004" t="str">
        <f>"Miscellane"</f>
        <v>Miscellane</v>
      </c>
      <c r="G1004" s="2">
        <v>6</v>
      </c>
      <c r="H1004" t="str">
        <f>"DANA MARI SANCHEZ"</f>
        <v>DANA MARI SANCHEZ</v>
      </c>
    </row>
    <row r="1005" spans="1:8" x14ac:dyDescent="0.25">
      <c r="A1005" t="s">
        <v>322</v>
      </c>
      <c r="B1005">
        <v>79803</v>
      </c>
      <c r="C1005" s="3">
        <v>6</v>
      </c>
      <c r="D1005" s="1">
        <v>43434</v>
      </c>
      <c r="E1005" t="str">
        <f>"201811305357"</f>
        <v>201811305357</v>
      </c>
      <c r="F1005" t="str">
        <f>"Misc"</f>
        <v>Misc</v>
      </c>
      <c r="G1005" s="2">
        <v>6</v>
      </c>
      <c r="H1005" t="str">
        <f>"JOHN WILLIAM SUMMERS II"</f>
        <v>JOHN WILLIAM SUMMERS II</v>
      </c>
    </row>
    <row r="1006" spans="1:8" x14ac:dyDescent="0.25">
      <c r="A1006" t="s">
        <v>323</v>
      </c>
      <c r="B1006">
        <v>79804</v>
      </c>
      <c r="C1006" s="3">
        <v>6</v>
      </c>
      <c r="D1006" s="1">
        <v>43434</v>
      </c>
      <c r="E1006" t="str">
        <f>"201811305358"</f>
        <v>201811305358</v>
      </c>
      <c r="F1006" t="str">
        <f>"Miscellaneo"</f>
        <v>Miscellaneo</v>
      </c>
      <c r="G1006" s="2">
        <v>6</v>
      </c>
      <c r="H1006" t="str">
        <f>"JAMES DAVID RICE"</f>
        <v>JAMES DAVID RICE</v>
      </c>
    </row>
    <row r="1007" spans="1:8" x14ac:dyDescent="0.25">
      <c r="A1007" t="s">
        <v>324</v>
      </c>
      <c r="B1007">
        <v>79805</v>
      </c>
      <c r="C1007" s="3">
        <v>6</v>
      </c>
      <c r="D1007" s="1">
        <v>43434</v>
      </c>
      <c r="E1007" t="str">
        <f>"201811305359"</f>
        <v>201811305359</v>
      </c>
      <c r="F1007" t="str">
        <f>"Mis"</f>
        <v>Mis</v>
      </c>
      <c r="G1007" s="2">
        <v>6</v>
      </c>
      <c r="H1007" t="str">
        <f>"HOWARD JOSEPH WEIDKNECHT"</f>
        <v>HOWARD JOSEPH WEIDKNECHT</v>
      </c>
    </row>
    <row r="1008" spans="1:8" x14ac:dyDescent="0.25">
      <c r="A1008" t="s">
        <v>325</v>
      </c>
      <c r="B1008">
        <v>79806</v>
      </c>
      <c r="C1008" s="3">
        <v>6</v>
      </c>
      <c r="D1008" s="1">
        <v>43434</v>
      </c>
      <c r="E1008" t="str">
        <f>"201811305360"</f>
        <v>201811305360</v>
      </c>
      <c r="F1008" t="str">
        <f>"Miscellane"</f>
        <v>Miscellane</v>
      </c>
      <c r="G1008" s="2">
        <v>6</v>
      </c>
      <c r="H1008" t="str">
        <f>"MAYRA J MCALISTER"</f>
        <v>MAYRA J MCALISTER</v>
      </c>
    </row>
    <row r="1009" spans="1:8" x14ac:dyDescent="0.25">
      <c r="A1009" t="s">
        <v>326</v>
      </c>
      <c r="B1009">
        <v>79807</v>
      </c>
      <c r="C1009" s="3">
        <v>6</v>
      </c>
      <c r="D1009" s="1">
        <v>43434</v>
      </c>
      <c r="E1009" t="str">
        <f>"201811305361"</f>
        <v>201811305361</v>
      </c>
      <c r="F1009" t="str">
        <f>"Miscellaneo"</f>
        <v>Miscellaneo</v>
      </c>
      <c r="G1009" s="2">
        <v>6</v>
      </c>
      <c r="H1009" t="str">
        <f>"AUSTIN RAY WOODS"</f>
        <v>AUSTIN RAY WOODS</v>
      </c>
    </row>
    <row r="1010" spans="1:8" x14ac:dyDescent="0.25">
      <c r="A1010" t="s">
        <v>327</v>
      </c>
      <c r="B1010">
        <v>79808</v>
      </c>
      <c r="C1010" s="3">
        <v>6</v>
      </c>
      <c r="D1010" s="1">
        <v>43434</v>
      </c>
      <c r="E1010" t="str">
        <f>"201811305362"</f>
        <v>201811305362</v>
      </c>
      <c r="F1010" t="str">
        <f>"Miscella"</f>
        <v>Miscella</v>
      </c>
      <c r="G1010" s="2">
        <v>6</v>
      </c>
      <c r="H1010" t="str">
        <f>"BAILEY MARIE BISHOP"</f>
        <v>BAILEY MARIE BISHOP</v>
      </c>
    </row>
    <row r="1011" spans="1:8" x14ac:dyDescent="0.25">
      <c r="A1011" t="s">
        <v>328</v>
      </c>
      <c r="B1011">
        <v>79809</v>
      </c>
      <c r="C1011" s="3">
        <v>6</v>
      </c>
      <c r="D1011" s="1">
        <v>43434</v>
      </c>
      <c r="E1011" t="str">
        <f>"201811305363"</f>
        <v>201811305363</v>
      </c>
      <c r="F1011" t="str">
        <f>"Misce"</f>
        <v>Misce</v>
      </c>
      <c r="G1011" s="2">
        <v>6</v>
      </c>
      <c r="H1011" t="str">
        <f>"BLANDA BURNEY HOLLOWAY"</f>
        <v>BLANDA BURNEY HOLLOWAY</v>
      </c>
    </row>
    <row r="1012" spans="1:8" x14ac:dyDescent="0.25">
      <c r="A1012" t="s">
        <v>329</v>
      </c>
      <c r="B1012">
        <v>79810</v>
      </c>
      <c r="C1012" s="3">
        <v>6</v>
      </c>
      <c r="D1012" s="1">
        <v>43434</v>
      </c>
      <c r="E1012" t="str">
        <f>"201811305364"</f>
        <v>201811305364</v>
      </c>
      <c r="F1012" t="str">
        <f>"Misce"</f>
        <v>Misce</v>
      </c>
      <c r="G1012" s="2">
        <v>6</v>
      </c>
      <c r="H1012" t="str">
        <f>"RONNIE ARNOLD ROBINSON"</f>
        <v>RONNIE ARNOLD ROBINSON</v>
      </c>
    </row>
    <row r="1013" spans="1:8" x14ac:dyDescent="0.25">
      <c r="A1013" t="s">
        <v>330</v>
      </c>
      <c r="B1013">
        <v>79811</v>
      </c>
      <c r="C1013" s="3">
        <v>6</v>
      </c>
      <c r="D1013" s="1">
        <v>43434</v>
      </c>
      <c r="E1013" t="str">
        <f>"201811305365"</f>
        <v>201811305365</v>
      </c>
      <c r="F1013" t="str">
        <f>"Miscel"</f>
        <v>Miscel</v>
      </c>
      <c r="G1013" s="2">
        <v>6</v>
      </c>
      <c r="H1013" t="str">
        <f>"GEORGE EDWARD CAMERON"</f>
        <v>GEORGE EDWARD CAMERON</v>
      </c>
    </row>
    <row r="1014" spans="1:8" x14ac:dyDescent="0.25">
      <c r="A1014" t="s">
        <v>331</v>
      </c>
      <c r="B1014">
        <v>79812</v>
      </c>
      <c r="C1014" s="3">
        <v>6</v>
      </c>
      <c r="D1014" s="1">
        <v>43434</v>
      </c>
      <c r="E1014" t="str">
        <f>"201811305366"</f>
        <v>201811305366</v>
      </c>
      <c r="F1014" t="str">
        <f>"Misce"</f>
        <v>Misce</v>
      </c>
      <c r="G1014" s="2">
        <v>6</v>
      </c>
      <c r="H1014" t="str">
        <f>"HALEY ELISABETH BISHOP"</f>
        <v>HALEY ELISABETH BISHOP</v>
      </c>
    </row>
    <row r="1015" spans="1:8" x14ac:dyDescent="0.25">
      <c r="A1015" t="s">
        <v>332</v>
      </c>
      <c r="B1015">
        <v>79813</v>
      </c>
      <c r="C1015" s="3">
        <v>6</v>
      </c>
      <c r="D1015" s="1">
        <v>43434</v>
      </c>
      <c r="E1015" t="str">
        <f>"201811305367"</f>
        <v>201811305367</v>
      </c>
      <c r="F1015" t="str">
        <f>"Miscel"</f>
        <v>Miscel</v>
      </c>
      <c r="G1015" s="2">
        <v>6</v>
      </c>
      <c r="H1015" t="str">
        <f>"SHIRLEY EDWARDS BAKER"</f>
        <v>SHIRLEY EDWARDS BAKER</v>
      </c>
    </row>
    <row r="1016" spans="1:8" x14ac:dyDescent="0.25">
      <c r="A1016" t="s">
        <v>333</v>
      </c>
      <c r="B1016">
        <v>79814</v>
      </c>
      <c r="C1016" s="3">
        <v>6</v>
      </c>
      <c r="D1016" s="1">
        <v>43434</v>
      </c>
      <c r="E1016" t="str">
        <f>"201811305368"</f>
        <v>201811305368</v>
      </c>
      <c r="F1016" t="str">
        <f>"Miscella"</f>
        <v>Miscella</v>
      </c>
      <c r="G1016" s="2">
        <v>6</v>
      </c>
      <c r="H1016" t="str">
        <f>"DERA LYNN RONQUILLO"</f>
        <v>DERA LYNN RONQUILLO</v>
      </c>
    </row>
    <row r="1017" spans="1:8" x14ac:dyDescent="0.25">
      <c r="A1017" t="s">
        <v>334</v>
      </c>
      <c r="B1017">
        <v>79815</v>
      </c>
      <c r="C1017" s="3">
        <v>6</v>
      </c>
      <c r="D1017" s="1">
        <v>43434</v>
      </c>
      <c r="E1017" t="str">
        <f>"201811305369"</f>
        <v>201811305369</v>
      </c>
      <c r="F1017" t="str">
        <f>"Miscellaneo"</f>
        <v>Miscellaneo</v>
      </c>
      <c r="G1017" s="2">
        <v>6</v>
      </c>
      <c r="H1017" t="str">
        <f>"RONA KAY CONRING"</f>
        <v>RONA KAY CONRING</v>
      </c>
    </row>
    <row r="1018" spans="1:8" x14ac:dyDescent="0.25">
      <c r="A1018" t="s">
        <v>335</v>
      </c>
      <c r="B1018">
        <v>79816</v>
      </c>
      <c r="C1018" s="3">
        <v>6</v>
      </c>
      <c r="D1018" s="1">
        <v>43434</v>
      </c>
      <c r="E1018" t="str">
        <f>"201811305370"</f>
        <v>201811305370</v>
      </c>
      <c r="F1018" t="str">
        <f>"Miscella"</f>
        <v>Miscella</v>
      </c>
      <c r="G1018" s="2">
        <v>6</v>
      </c>
      <c r="H1018" t="str">
        <f>"CHELSEA LEIGH WYLES"</f>
        <v>CHELSEA LEIGH WYLES</v>
      </c>
    </row>
    <row r="1019" spans="1:8" x14ac:dyDescent="0.25">
      <c r="A1019" t="s">
        <v>336</v>
      </c>
      <c r="B1019">
        <v>79817</v>
      </c>
      <c r="C1019" s="3">
        <v>6</v>
      </c>
      <c r="D1019" s="1">
        <v>43434</v>
      </c>
      <c r="E1019" t="str">
        <f>"201811305371"</f>
        <v>201811305371</v>
      </c>
      <c r="F1019" t="str">
        <f>"Miscel"</f>
        <v>Miscel</v>
      </c>
      <c r="G1019" s="2">
        <v>6</v>
      </c>
      <c r="H1019" t="str">
        <f>"THOMAS MACON THOMPSON"</f>
        <v>THOMAS MACON THOMPSON</v>
      </c>
    </row>
    <row r="1020" spans="1:8" x14ac:dyDescent="0.25">
      <c r="A1020" t="s">
        <v>337</v>
      </c>
      <c r="B1020">
        <v>79818</v>
      </c>
      <c r="C1020" s="3">
        <v>6</v>
      </c>
      <c r="D1020" s="1">
        <v>43434</v>
      </c>
      <c r="E1020" t="str">
        <f>"201811305372"</f>
        <v>201811305372</v>
      </c>
      <c r="F1020" t="str">
        <f>"Misce"</f>
        <v>Misce</v>
      </c>
      <c r="G1020" s="2">
        <v>6</v>
      </c>
      <c r="H1020" t="str">
        <f>"STEVEN ERNST ACKERMANN"</f>
        <v>STEVEN ERNST ACKERMANN</v>
      </c>
    </row>
    <row r="1021" spans="1:8" x14ac:dyDescent="0.25">
      <c r="A1021" t="s">
        <v>338</v>
      </c>
      <c r="B1021">
        <v>79819</v>
      </c>
      <c r="C1021" s="3">
        <v>6</v>
      </c>
      <c r="D1021" s="1">
        <v>43434</v>
      </c>
      <c r="E1021" t="str">
        <f>"201811305373"</f>
        <v>201811305373</v>
      </c>
      <c r="F1021" t="str">
        <f>"Misc"</f>
        <v>Misc</v>
      </c>
      <c r="G1021" s="2">
        <v>6</v>
      </c>
      <c r="H1021" t="str">
        <f>"ALICIA MENDOZA CASTILLO"</f>
        <v>ALICIA MENDOZA CASTILLO</v>
      </c>
    </row>
    <row r="1022" spans="1:8" x14ac:dyDescent="0.25">
      <c r="A1022" t="s">
        <v>339</v>
      </c>
      <c r="B1022">
        <v>79820</v>
      </c>
      <c r="C1022" s="3">
        <v>6</v>
      </c>
      <c r="D1022" s="1">
        <v>43434</v>
      </c>
      <c r="E1022" t="str">
        <f>"201811305374"</f>
        <v>201811305374</v>
      </c>
      <c r="F1022" t="str">
        <f>"Misce"</f>
        <v>Misce</v>
      </c>
      <c r="G1022" s="2">
        <v>6</v>
      </c>
      <c r="H1022" t="str">
        <f>"LAURA STARK CUNNINGHAM"</f>
        <v>LAURA STARK CUNNINGHAM</v>
      </c>
    </row>
    <row r="1023" spans="1:8" x14ac:dyDescent="0.25">
      <c r="A1023" t="s">
        <v>340</v>
      </c>
      <c r="B1023">
        <v>79821</v>
      </c>
      <c r="C1023" s="3">
        <v>6</v>
      </c>
      <c r="D1023" s="1">
        <v>43434</v>
      </c>
      <c r="E1023" t="str">
        <f>"201811305375"</f>
        <v>201811305375</v>
      </c>
      <c r="F1023" t="str">
        <f>"Miscellane"</f>
        <v>Miscellane</v>
      </c>
      <c r="G1023" s="2">
        <v>6</v>
      </c>
      <c r="H1023" t="str">
        <f>"KAYLA LYNN PENROD"</f>
        <v>KAYLA LYNN PENROD</v>
      </c>
    </row>
    <row r="1024" spans="1:8" x14ac:dyDescent="0.25">
      <c r="A1024" t="s">
        <v>341</v>
      </c>
      <c r="B1024">
        <v>79822</v>
      </c>
      <c r="C1024" s="3">
        <v>6</v>
      </c>
      <c r="D1024" s="1">
        <v>43434</v>
      </c>
      <c r="E1024" t="str">
        <f>"201811305376"</f>
        <v>201811305376</v>
      </c>
      <c r="F1024" t="str">
        <f>"Miscel"</f>
        <v>Miscel</v>
      </c>
      <c r="G1024" s="2">
        <v>6</v>
      </c>
      <c r="H1024" t="str">
        <f>"ANNE ELIZABETH STROHM"</f>
        <v>ANNE ELIZABETH STROHM</v>
      </c>
    </row>
    <row r="1025" spans="1:8" x14ac:dyDescent="0.25">
      <c r="A1025" t="s">
        <v>342</v>
      </c>
      <c r="B1025">
        <v>79823</v>
      </c>
      <c r="C1025" s="3">
        <v>6</v>
      </c>
      <c r="D1025" s="1">
        <v>43434</v>
      </c>
      <c r="E1025" t="str">
        <f>"201811305377"</f>
        <v>201811305377</v>
      </c>
      <c r="F1025" t="str">
        <f>"Miscellane"</f>
        <v>Miscellane</v>
      </c>
      <c r="G1025" s="2">
        <v>6</v>
      </c>
      <c r="H1025" t="str">
        <f>"DAVID PAUL YEAKLE"</f>
        <v>DAVID PAUL YEAKLE</v>
      </c>
    </row>
    <row r="1026" spans="1:8" x14ac:dyDescent="0.25">
      <c r="A1026" t="s">
        <v>343</v>
      </c>
      <c r="B1026">
        <v>79824</v>
      </c>
      <c r="C1026" s="3">
        <v>6</v>
      </c>
      <c r="D1026" s="1">
        <v>43434</v>
      </c>
      <c r="E1026" t="str">
        <f>"201811305378"</f>
        <v>201811305378</v>
      </c>
      <c r="F1026" t="str">
        <f>"Miscella"</f>
        <v>Miscella</v>
      </c>
      <c r="G1026" s="2">
        <v>6</v>
      </c>
      <c r="H1026" t="str">
        <f>"SARA MCCARTY ALEMAN"</f>
        <v>SARA MCCARTY ALEMAN</v>
      </c>
    </row>
    <row r="1027" spans="1:8" x14ac:dyDescent="0.25">
      <c r="A1027" t="s">
        <v>344</v>
      </c>
      <c r="B1027">
        <v>79825</v>
      </c>
      <c r="C1027" s="3">
        <v>6</v>
      </c>
      <c r="D1027" s="1">
        <v>43434</v>
      </c>
      <c r="E1027" t="str">
        <f>"201811305379"</f>
        <v>201811305379</v>
      </c>
      <c r="F1027" t="str">
        <f>"Miscel"</f>
        <v>Miscel</v>
      </c>
      <c r="G1027" s="2">
        <v>6</v>
      </c>
      <c r="H1027" t="str">
        <f>"FRED ALLEN BURRELL SR"</f>
        <v>FRED ALLEN BURRELL SR</v>
      </c>
    </row>
    <row r="1028" spans="1:8" x14ac:dyDescent="0.25">
      <c r="A1028" t="s">
        <v>345</v>
      </c>
      <c r="B1028">
        <v>79826</v>
      </c>
      <c r="C1028" s="3">
        <v>6</v>
      </c>
      <c r="D1028" s="1">
        <v>43434</v>
      </c>
      <c r="E1028" t="str">
        <f>"201811305380"</f>
        <v>201811305380</v>
      </c>
      <c r="F1028" t="str">
        <f>"Miscellane"</f>
        <v>Miscellane</v>
      </c>
      <c r="G1028" s="2">
        <v>6</v>
      </c>
      <c r="H1028" t="str">
        <f>"RHONDA MARIE PENA"</f>
        <v>RHONDA MARIE PENA</v>
      </c>
    </row>
    <row r="1029" spans="1:8" x14ac:dyDescent="0.25">
      <c r="A1029" t="s">
        <v>346</v>
      </c>
      <c r="B1029">
        <v>79827</v>
      </c>
      <c r="C1029" s="3">
        <v>6</v>
      </c>
      <c r="D1029" s="1">
        <v>43434</v>
      </c>
      <c r="E1029" t="str">
        <f>"201811305381"</f>
        <v>201811305381</v>
      </c>
      <c r="F1029" t="str">
        <f>"Miscellan"</f>
        <v>Miscellan</v>
      </c>
      <c r="G1029" s="2">
        <v>6</v>
      </c>
      <c r="H1029" t="str">
        <f>"ANN MARIE GERAGHTY"</f>
        <v>ANN MARIE GERAGHTY</v>
      </c>
    </row>
    <row r="1030" spans="1:8" x14ac:dyDescent="0.25">
      <c r="A1030" t="s">
        <v>347</v>
      </c>
      <c r="B1030">
        <v>79828</v>
      </c>
      <c r="C1030" s="3">
        <v>6</v>
      </c>
      <c r="D1030" s="1">
        <v>43434</v>
      </c>
      <c r="E1030" t="str">
        <f>"201811305382"</f>
        <v>201811305382</v>
      </c>
      <c r="F1030" t="str">
        <f>"Miscella"</f>
        <v>Miscella</v>
      </c>
      <c r="G1030" s="2">
        <v>6</v>
      </c>
      <c r="H1030" t="str">
        <f>"CHANNA MIA GUERRERO"</f>
        <v>CHANNA MIA GUERRERO</v>
      </c>
    </row>
    <row r="1031" spans="1:8" x14ac:dyDescent="0.25">
      <c r="A1031" t="s">
        <v>348</v>
      </c>
      <c r="B1031">
        <v>79829</v>
      </c>
      <c r="C1031" s="3">
        <v>6</v>
      </c>
      <c r="D1031" s="1">
        <v>43434</v>
      </c>
      <c r="E1031" t="str">
        <f>"201811305383"</f>
        <v>201811305383</v>
      </c>
      <c r="F1031" t="str">
        <f>"Miscel"</f>
        <v>Miscel</v>
      </c>
      <c r="G1031" s="2">
        <v>6</v>
      </c>
      <c r="H1031" t="str">
        <f>"CARLOS ANTONIO GANDIA"</f>
        <v>CARLOS ANTONIO GANDIA</v>
      </c>
    </row>
    <row r="1032" spans="1:8" x14ac:dyDescent="0.25">
      <c r="A1032" t="s">
        <v>349</v>
      </c>
      <c r="B1032">
        <v>79830</v>
      </c>
      <c r="C1032" s="3">
        <v>6</v>
      </c>
      <c r="D1032" s="1">
        <v>43434</v>
      </c>
      <c r="E1032" t="str">
        <f>"201811305384"</f>
        <v>201811305384</v>
      </c>
      <c r="F1032" t="str">
        <f>"Miscellan"</f>
        <v>Miscellan</v>
      </c>
      <c r="G1032" s="2">
        <v>6</v>
      </c>
      <c r="H1032" t="str">
        <f>"JAMES ALTON STUART"</f>
        <v>JAMES ALTON STUART</v>
      </c>
    </row>
    <row r="1033" spans="1:8" x14ac:dyDescent="0.25">
      <c r="A1033" t="s">
        <v>350</v>
      </c>
      <c r="B1033">
        <v>79831</v>
      </c>
      <c r="C1033" s="3">
        <v>6</v>
      </c>
      <c r="D1033" s="1">
        <v>43434</v>
      </c>
      <c r="E1033" t="str">
        <f>"201811305385"</f>
        <v>201811305385</v>
      </c>
      <c r="F1033" t="str">
        <f>""</f>
        <v/>
      </c>
      <c r="G1033" s="2">
        <v>6</v>
      </c>
      <c r="H1033" t="str">
        <f>"JAMES CHRISTOPHER LEYENDECKER"</f>
        <v>JAMES CHRISTOPHER LEYENDECKER</v>
      </c>
    </row>
    <row r="1034" spans="1:8" x14ac:dyDescent="0.25">
      <c r="A1034" t="s">
        <v>351</v>
      </c>
      <c r="B1034">
        <v>79832</v>
      </c>
      <c r="C1034" s="3">
        <v>6</v>
      </c>
      <c r="D1034" s="1">
        <v>43434</v>
      </c>
      <c r="E1034" t="str">
        <f>"201811305386"</f>
        <v>201811305386</v>
      </c>
      <c r="F1034" t="str">
        <f>"Miscel"</f>
        <v>Miscel</v>
      </c>
      <c r="G1034" s="2">
        <v>6</v>
      </c>
      <c r="H1034" t="str">
        <f>"JEFFERY WADE BROWNING"</f>
        <v>JEFFERY WADE BROWNING</v>
      </c>
    </row>
    <row r="1035" spans="1:8" x14ac:dyDescent="0.25">
      <c r="A1035" t="s">
        <v>352</v>
      </c>
      <c r="B1035">
        <v>79833</v>
      </c>
      <c r="C1035" s="3">
        <v>6</v>
      </c>
      <c r="D1035" s="1">
        <v>43434</v>
      </c>
      <c r="E1035" t="str">
        <f>"201811305387"</f>
        <v>201811305387</v>
      </c>
      <c r="F1035" t="str">
        <f>"Mis"</f>
        <v>Mis</v>
      </c>
      <c r="G1035" s="2">
        <v>6</v>
      </c>
      <c r="H1035" t="str">
        <f>"MELTON LEVALLE PENSON JR"</f>
        <v>MELTON LEVALLE PENSON JR</v>
      </c>
    </row>
    <row r="1036" spans="1:8" x14ac:dyDescent="0.25">
      <c r="A1036" t="s">
        <v>353</v>
      </c>
      <c r="B1036">
        <v>79834</v>
      </c>
      <c r="C1036" s="3">
        <v>6</v>
      </c>
      <c r="D1036" s="1">
        <v>43434</v>
      </c>
      <c r="E1036" t="str">
        <f>"201811305388"</f>
        <v>201811305388</v>
      </c>
      <c r="F1036" t="str">
        <f>"Miscellaneous"</f>
        <v>Miscellaneous</v>
      </c>
      <c r="G1036" s="2">
        <v>6</v>
      </c>
      <c r="H1036" t="str">
        <f>"JESUS PENA JR"</f>
        <v>JESUS PENA JR</v>
      </c>
    </row>
    <row r="1037" spans="1:8" x14ac:dyDescent="0.25">
      <c r="A1037" t="s">
        <v>354</v>
      </c>
      <c r="B1037">
        <v>79835</v>
      </c>
      <c r="C1037" s="3">
        <v>6</v>
      </c>
      <c r="D1037" s="1">
        <v>43434</v>
      </c>
      <c r="E1037" t="str">
        <f>"201811305389"</f>
        <v>201811305389</v>
      </c>
      <c r="F1037" t="str">
        <f>"Miscellan"</f>
        <v>Miscellan</v>
      </c>
      <c r="G1037" s="2">
        <v>6</v>
      </c>
      <c r="H1037" t="str">
        <f>"ERIN MARIE PERKINS"</f>
        <v>ERIN MARIE PERKINS</v>
      </c>
    </row>
    <row r="1038" spans="1:8" x14ac:dyDescent="0.25">
      <c r="A1038" t="s">
        <v>355</v>
      </c>
      <c r="B1038">
        <v>79836</v>
      </c>
      <c r="C1038" s="3">
        <v>6</v>
      </c>
      <c r="D1038" s="1">
        <v>43434</v>
      </c>
      <c r="E1038" t="str">
        <f>"201811305390"</f>
        <v>201811305390</v>
      </c>
      <c r="F1038" t="str">
        <f>"M"</f>
        <v>M</v>
      </c>
      <c r="G1038" s="2">
        <v>6</v>
      </c>
      <c r="H1038" t="str">
        <f>"ELENA VLADIMIROVNA JOHNSON"</f>
        <v>ELENA VLADIMIROVNA JOHNSON</v>
      </c>
    </row>
    <row r="1039" spans="1:8" x14ac:dyDescent="0.25">
      <c r="A1039" t="s">
        <v>356</v>
      </c>
      <c r="B1039">
        <v>79837</v>
      </c>
      <c r="C1039" s="3">
        <v>6</v>
      </c>
      <c r="D1039" s="1">
        <v>43434</v>
      </c>
      <c r="E1039" t="str">
        <f>"201811305391"</f>
        <v>201811305391</v>
      </c>
      <c r="F1039" t="str">
        <f>"Miscellaneous"</f>
        <v>Miscellaneous</v>
      </c>
      <c r="G1039" s="2">
        <v>6</v>
      </c>
      <c r="H1039" t="str">
        <f>"ZO MIA LOCK"</f>
        <v>ZO MIA LOCK</v>
      </c>
    </row>
    <row r="1040" spans="1:8" x14ac:dyDescent="0.25">
      <c r="A1040" t="s">
        <v>357</v>
      </c>
      <c r="B1040">
        <v>79838</v>
      </c>
      <c r="C1040" s="3">
        <v>86</v>
      </c>
      <c r="D1040" s="1">
        <v>43434</v>
      </c>
      <c r="E1040" t="str">
        <f>"201811305392"</f>
        <v>201811305392</v>
      </c>
      <c r="F1040" t="str">
        <f>"Miscellaneou"</f>
        <v>Miscellaneou</v>
      </c>
      <c r="G1040" s="2">
        <v>86</v>
      </c>
      <c r="H1040" t="str">
        <f>"NICK B MARTINEZ"</f>
        <v>NICK B MARTINEZ</v>
      </c>
    </row>
    <row r="1041" spans="1:8" x14ac:dyDescent="0.25">
      <c r="A1041" t="s">
        <v>358</v>
      </c>
      <c r="B1041">
        <v>79839</v>
      </c>
      <c r="C1041" s="3">
        <v>6</v>
      </c>
      <c r="D1041" s="1">
        <v>43434</v>
      </c>
      <c r="E1041" t="str">
        <f>"201811305393"</f>
        <v>201811305393</v>
      </c>
      <c r="F1041" t="str">
        <f>"Miscell"</f>
        <v>Miscell</v>
      </c>
      <c r="G1041" s="2">
        <v>6</v>
      </c>
      <c r="H1041" t="str">
        <f>"JULIA SCOTT CUMMINGS"</f>
        <v>JULIA SCOTT CUMMINGS</v>
      </c>
    </row>
    <row r="1042" spans="1:8" x14ac:dyDescent="0.25">
      <c r="A1042" t="s">
        <v>359</v>
      </c>
      <c r="B1042">
        <v>79840</v>
      </c>
      <c r="C1042" s="3">
        <v>6</v>
      </c>
      <c r="D1042" s="1">
        <v>43434</v>
      </c>
      <c r="E1042" t="str">
        <f>"201811305394"</f>
        <v>201811305394</v>
      </c>
      <c r="F1042" t="str">
        <f>"Mi"</f>
        <v>Mi</v>
      </c>
      <c r="G1042" s="2">
        <v>6</v>
      </c>
      <c r="H1042" t="str">
        <f>"ELIZABETH D MILLER-RIVERA"</f>
        <v>ELIZABETH D MILLER-RIVERA</v>
      </c>
    </row>
    <row r="1043" spans="1:8" x14ac:dyDescent="0.25">
      <c r="A1043" t="s">
        <v>360</v>
      </c>
      <c r="B1043">
        <v>79841</v>
      </c>
      <c r="C1043" s="3">
        <v>6</v>
      </c>
      <c r="D1043" s="1">
        <v>43434</v>
      </c>
      <c r="E1043" t="str">
        <f>"201811305395"</f>
        <v>201811305395</v>
      </c>
      <c r="F1043" t="str">
        <f>"Miscellane"</f>
        <v>Miscellane</v>
      </c>
      <c r="G1043" s="2">
        <v>6</v>
      </c>
      <c r="H1043" t="str">
        <f>"SONYA MARIE AMAYA"</f>
        <v>SONYA MARIE AMAYA</v>
      </c>
    </row>
    <row r="1044" spans="1:8" x14ac:dyDescent="0.25">
      <c r="A1044" t="s">
        <v>361</v>
      </c>
      <c r="B1044">
        <v>79842</v>
      </c>
      <c r="C1044" s="3">
        <v>86</v>
      </c>
      <c r="D1044" s="1">
        <v>43434</v>
      </c>
      <c r="E1044" t="str">
        <f>"201811305396"</f>
        <v>201811305396</v>
      </c>
      <c r="F1044" t="str">
        <f>"Miscel"</f>
        <v>Miscel</v>
      </c>
      <c r="G1044" s="2">
        <v>86</v>
      </c>
      <c r="H1044" t="str">
        <f>"STEWART WAYNE MORRILL"</f>
        <v>STEWART WAYNE MORRILL</v>
      </c>
    </row>
    <row r="1045" spans="1:8" x14ac:dyDescent="0.25">
      <c r="A1045" t="s">
        <v>362</v>
      </c>
      <c r="B1045">
        <v>79843</v>
      </c>
      <c r="C1045" s="3">
        <v>6</v>
      </c>
      <c r="D1045" s="1">
        <v>43434</v>
      </c>
      <c r="E1045" t="str">
        <f>"201811305397"</f>
        <v>201811305397</v>
      </c>
      <c r="F1045" t="str">
        <f>""</f>
        <v/>
      </c>
      <c r="G1045" s="2">
        <v>6</v>
      </c>
      <c r="H1045" t="str">
        <f>"MARGARET ROBERTA CAFFALETTE"</f>
        <v>MARGARET ROBERTA CAFFALETTE</v>
      </c>
    </row>
    <row r="1046" spans="1:8" x14ac:dyDescent="0.25">
      <c r="A1046" t="s">
        <v>363</v>
      </c>
      <c r="B1046">
        <v>79844</v>
      </c>
      <c r="C1046" s="3">
        <v>86</v>
      </c>
      <c r="D1046" s="1">
        <v>43434</v>
      </c>
      <c r="E1046" t="str">
        <f>"201811305398"</f>
        <v>201811305398</v>
      </c>
      <c r="F1046" t="str">
        <f>"Miscel"</f>
        <v>Miscel</v>
      </c>
      <c r="G1046" s="2">
        <v>86</v>
      </c>
      <c r="H1046" t="str">
        <f>"CELIA ANNETTE FAUBERT"</f>
        <v>CELIA ANNETTE FAUBERT</v>
      </c>
    </row>
    <row r="1047" spans="1:8" x14ac:dyDescent="0.25">
      <c r="A1047" t="s">
        <v>364</v>
      </c>
      <c r="B1047">
        <v>79845</v>
      </c>
      <c r="C1047" s="3">
        <v>6</v>
      </c>
      <c r="D1047" s="1">
        <v>43434</v>
      </c>
      <c r="E1047" t="str">
        <f>"201811305399"</f>
        <v>201811305399</v>
      </c>
      <c r="F1047" t="str">
        <f>"Miscell"</f>
        <v>Miscell</v>
      </c>
      <c r="G1047" s="2">
        <v>6</v>
      </c>
      <c r="H1047" t="str">
        <f>"CINDY MARISA SAUCEDO"</f>
        <v>CINDY MARISA SAUCEDO</v>
      </c>
    </row>
    <row r="1048" spans="1:8" x14ac:dyDescent="0.25">
      <c r="A1048" t="s">
        <v>365</v>
      </c>
      <c r="B1048">
        <v>79846</v>
      </c>
      <c r="C1048" s="3">
        <v>6</v>
      </c>
      <c r="D1048" s="1">
        <v>43434</v>
      </c>
      <c r="E1048" t="str">
        <f>"201811305400"</f>
        <v>201811305400</v>
      </c>
      <c r="F1048" t="str">
        <f>"Miscellan"</f>
        <v>Miscellan</v>
      </c>
      <c r="G1048" s="2">
        <v>6</v>
      </c>
      <c r="H1048" t="str">
        <f>"STEPHEN LEE SAVAGE"</f>
        <v>STEPHEN LEE SAVAGE</v>
      </c>
    </row>
    <row r="1049" spans="1:8" x14ac:dyDescent="0.25">
      <c r="A1049" t="s">
        <v>366</v>
      </c>
      <c r="B1049">
        <v>79847</v>
      </c>
      <c r="C1049" s="3">
        <v>6</v>
      </c>
      <c r="D1049" s="1">
        <v>43434</v>
      </c>
      <c r="E1049" t="str">
        <f>"201811305401"</f>
        <v>201811305401</v>
      </c>
      <c r="F1049" t="str">
        <f>"Miscella"</f>
        <v>Miscella</v>
      </c>
      <c r="G1049" s="2">
        <v>6</v>
      </c>
      <c r="H1049" t="str">
        <f>"REBEKAH KATE SANTOY"</f>
        <v>REBEKAH KATE SANTOY</v>
      </c>
    </row>
    <row r="1050" spans="1:8" x14ac:dyDescent="0.25">
      <c r="A1050" t="s">
        <v>367</v>
      </c>
      <c r="B1050">
        <v>79848</v>
      </c>
      <c r="C1050" s="3">
        <v>86</v>
      </c>
      <c r="D1050" s="1">
        <v>43434</v>
      </c>
      <c r="E1050" t="str">
        <f>"201811305402"</f>
        <v>201811305402</v>
      </c>
      <c r="F1050" t="str">
        <f>"Miscellaneous"</f>
        <v>Miscellaneous</v>
      </c>
      <c r="G1050" s="2">
        <v>86</v>
      </c>
      <c r="H1050" t="str">
        <f>"LISA ANN GLATT"</f>
        <v>LISA ANN GLATT</v>
      </c>
    </row>
    <row r="1051" spans="1:8" x14ac:dyDescent="0.25">
      <c r="A1051" t="s">
        <v>368</v>
      </c>
      <c r="B1051">
        <v>79849</v>
      </c>
      <c r="C1051" s="3">
        <v>6</v>
      </c>
      <c r="D1051" s="1">
        <v>43434</v>
      </c>
      <c r="E1051" t="str">
        <f>"201811305403"</f>
        <v>201811305403</v>
      </c>
      <c r="F1051" t="str">
        <f>"Miscellane"</f>
        <v>Miscellane</v>
      </c>
      <c r="G1051" s="2">
        <v>6</v>
      </c>
      <c r="H1051" t="str">
        <f>"CASEY SHEA AUSTIN"</f>
        <v>CASEY SHEA AUSTIN</v>
      </c>
    </row>
    <row r="1052" spans="1:8" x14ac:dyDescent="0.25">
      <c r="A1052" t="s">
        <v>369</v>
      </c>
      <c r="B1052">
        <v>79850</v>
      </c>
      <c r="C1052" s="3">
        <v>86</v>
      </c>
      <c r="D1052" s="1">
        <v>43434</v>
      </c>
      <c r="E1052" t="str">
        <f>"201811305404"</f>
        <v>201811305404</v>
      </c>
      <c r="F1052" t="str">
        <f>"Miscell"</f>
        <v>Miscell</v>
      </c>
      <c r="G1052" s="2">
        <v>86</v>
      </c>
      <c r="H1052" t="str">
        <f>"PAUL STEVENS STLOUIS"</f>
        <v>PAUL STEVENS STLOUIS</v>
      </c>
    </row>
    <row r="1053" spans="1:8" x14ac:dyDescent="0.25">
      <c r="A1053" t="s">
        <v>370</v>
      </c>
      <c r="B1053">
        <v>79851</v>
      </c>
      <c r="C1053" s="3">
        <v>6</v>
      </c>
      <c r="D1053" s="1">
        <v>43434</v>
      </c>
      <c r="E1053" t="str">
        <f>"201811305405"</f>
        <v>201811305405</v>
      </c>
      <c r="F1053" t="str">
        <f>"Miscellan"</f>
        <v>Miscellan</v>
      </c>
      <c r="G1053" s="2">
        <v>6</v>
      </c>
      <c r="H1053" t="str">
        <f>"CECIL MATTHEW LANE"</f>
        <v>CECIL MATTHEW LANE</v>
      </c>
    </row>
    <row r="1054" spans="1:8" x14ac:dyDescent="0.25">
      <c r="A1054" t="s">
        <v>371</v>
      </c>
      <c r="B1054">
        <v>79852</v>
      </c>
      <c r="C1054" s="3">
        <v>86</v>
      </c>
      <c r="D1054" s="1">
        <v>43434</v>
      </c>
      <c r="E1054" t="str">
        <f>"201811305406"</f>
        <v>201811305406</v>
      </c>
      <c r="F1054" t="str">
        <f>"Miscella"</f>
        <v>Miscella</v>
      </c>
      <c r="G1054" s="2">
        <v>86</v>
      </c>
      <c r="H1054" t="str">
        <f>"MARK ANTHONY YAKLIN"</f>
        <v>MARK ANTHONY YAKLIN</v>
      </c>
    </row>
    <row r="1055" spans="1:8" x14ac:dyDescent="0.25">
      <c r="A1055" t="s">
        <v>372</v>
      </c>
      <c r="B1055">
        <v>79853</v>
      </c>
      <c r="C1055" s="3">
        <v>86</v>
      </c>
      <c r="D1055" s="1">
        <v>43434</v>
      </c>
      <c r="E1055" t="str">
        <f>"201811305407"</f>
        <v>201811305407</v>
      </c>
      <c r="F1055" t="str">
        <f>"Miscella"</f>
        <v>Miscella</v>
      </c>
      <c r="G1055" s="2">
        <v>86</v>
      </c>
      <c r="H1055" t="str">
        <f>"JEREMY ANGEL ZUNIGA"</f>
        <v>JEREMY ANGEL ZUNIGA</v>
      </c>
    </row>
    <row r="1056" spans="1:8" x14ac:dyDescent="0.25">
      <c r="A1056" t="s">
        <v>373</v>
      </c>
      <c r="B1056">
        <v>79854</v>
      </c>
      <c r="C1056" s="3">
        <v>6</v>
      </c>
      <c r="D1056" s="1">
        <v>43434</v>
      </c>
      <c r="E1056" t="str">
        <f>"201811305408"</f>
        <v>201811305408</v>
      </c>
      <c r="F1056" t="str">
        <f>"Misce"</f>
        <v>Misce</v>
      </c>
      <c r="G1056" s="2">
        <v>6</v>
      </c>
      <c r="H1056" t="str">
        <f>"DAVID RIVERA SOLORZANO"</f>
        <v>DAVID RIVERA SOLORZANO</v>
      </c>
    </row>
    <row r="1057" spans="1:8" x14ac:dyDescent="0.25">
      <c r="A1057" t="s">
        <v>374</v>
      </c>
      <c r="B1057">
        <v>79855</v>
      </c>
      <c r="C1057" s="3">
        <v>6</v>
      </c>
      <c r="D1057" s="1">
        <v>43434</v>
      </c>
      <c r="E1057" t="str">
        <f>"201811305409"</f>
        <v>201811305409</v>
      </c>
      <c r="F1057" t="str">
        <f>"Miscel"</f>
        <v>Miscel</v>
      </c>
      <c r="G1057" s="2">
        <v>6</v>
      </c>
      <c r="H1057" t="str">
        <f>"BARBARA LEDESMA-TREJO"</f>
        <v>BARBARA LEDESMA-TREJO</v>
      </c>
    </row>
    <row r="1058" spans="1:8" x14ac:dyDescent="0.25">
      <c r="A1058" t="s">
        <v>375</v>
      </c>
      <c r="B1058">
        <v>79856</v>
      </c>
      <c r="C1058" s="3">
        <v>6</v>
      </c>
      <c r="D1058" s="1">
        <v>43434</v>
      </c>
      <c r="E1058" t="str">
        <f>"201811305410"</f>
        <v>201811305410</v>
      </c>
      <c r="F1058" t="str">
        <f>"Miscellan"</f>
        <v>Miscellan</v>
      </c>
      <c r="G1058" s="2">
        <v>6</v>
      </c>
      <c r="H1058" t="str">
        <f>"DAVID FRANK CROSBY"</f>
        <v>DAVID FRANK CROSBY</v>
      </c>
    </row>
    <row r="1059" spans="1:8" x14ac:dyDescent="0.25">
      <c r="A1059" t="s">
        <v>376</v>
      </c>
      <c r="B1059">
        <v>79857</v>
      </c>
      <c r="C1059" s="3">
        <v>6</v>
      </c>
      <c r="D1059" s="1">
        <v>43434</v>
      </c>
      <c r="E1059" t="str">
        <f>"201811305411"</f>
        <v>201811305411</v>
      </c>
      <c r="F1059" t="str">
        <f>"Miscellane"</f>
        <v>Miscellane</v>
      </c>
      <c r="G1059" s="2">
        <v>6</v>
      </c>
      <c r="H1059" t="str">
        <f>"BOBBY VON WINKLER"</f>
        <v>BOBBY VON WINKLER</v>
      </c>
    </row>
    <row r="1060" spans="1:8" x14ac:dyDescent="0.25">
      <c r="A1060" t="s">
        <v>377</v>
      </c>
      <c r="B1060">
        <v>79858</v>
      </c>
      <c r="C1060" s="3">
        <v>6</v>
      </c>
      <c r="D1060" s="1">
        <v>43434</v>
      </c>
      <c r="E1060" t="str">
        <f>"201811305412"</f>
        <v>201811305412</v>
      </c>
      <c r="F1060" t="str">
        <f>"Miscellaneous"</f>
        <v>Miscellaneous</v>
      </c>
      <c r="G1060" s="2">
        <v>6</v>
      </c>
      <c r="H1060" t="str">
        <f>"ARMANDO ARMAS"</f>
        <v>ARMANDO ARMAS</v>
      </c>
    </row>
    <row r="1061" spans="1:8" x14ac:dyDescent="0.25">
      <c r="A1061" t="s">
        <v>378</v>
      </c>
      <c r="B1061">
        <v>79859</v>
      </c>
      <c r="C1061" s="3">
        <v>6</v>
      </c>
      <c r="D1061" s="1">
        <v>43434</v>
      </c>
      <c r="E1061" t="str">
        <f>"201811305413"</f>
        <v>201811305413</v>
      </c>
      <c r="F1061" t="str">
        <f>""</f>
        <v/>
      </c>
      <c r="G1061" s="2">
        <v>6</v>
      </c>
      <c r="H1061" t="str">
        <f>"ANTHONY JULIAN SANTIAGO ROJAS"</f>
        <v>ANTHONY JULIAN SANTIAGO ROJAS</v>
      </c>
    </row>
    <row r="1062" spans="1:8" x14ac:dyDescent="0.25">
      <c r="A1062" t="s">
        <v>379</v>
      </c>
      <c r="B1062">
        <v>79860</v>
      </c>
      <c r="C1062" s="3">
        <v>6</v>
      </c>
      <c r="D1062" s="1">
        <v>43434</v>
      </c>
      <c r="E1062" t="str">
        <f>"201811305414"</f>
        <v>201811305414</v>
      </c>
      <c r="F1062" t="str">
        <f>"Miscellane"</f>
        <v>Miscellane</v>
      </c>
      <c r="G1062" s="2">
        <v>6</v>
      </c>
      <c r="H1062" t="str">
        <f>"JAMES LEROY STOWE"</f>
        <v>JAMES LEROY STOWE</v>
      </c>
    </row>
    <row r="1063" spans="1:8" x14ac:dyDescent="0.25">
      <c r="A1063" t="s">
        <v>380</v>
      </c>
      <c r="B1063">
        <v>79861</v>
      </c>
      <c r="C1063" s="3">
        <v>6</v>
      </c>
      <c r="D1063" s="1">
        <v>43434</v>
      </c>
      <c r="E1063" t="str">
        <f>"201811305415"</f>
        <v>201811305415</v>
      </c>
      <c r="F1063" t="str">
        <f>"Miscellan"</f>
        <v>Miscellan</v>
      </c>
      <c r="G1063" s="2">
        <v>6</v>
      </c>
      <c r="H1063" t="str">
        <f>"KRISTIE BELLA WEHE"</f>
        <v>KRISTIE BELLA WEHE</v>
      </c>
    </row>
    <row r="1064" spans="1:8" x14ac:dyDescent="0.25">
      <c r="A1064" t="s">
        <v>381</v>
      </c>
      <c r="B1064">
        <v>79862</v>
      </c>
      <c r="C1064" s="3">
        <v>86</v>
      </c>
      <c r="D1064" s="1">
        <v>43434</v>
      </c>
      <c r="E1064" t="str">
        <f>"201811305416"</f>
        <v>201811305416</v>
      </c>
      <c r="F1064" t="str">
        <f>"Miscel"</f>
        <v>Miscel</v>
      </c>
      <c r="G1064" s="2">
        <v>86</v>
      </c>
      <c r="H1064" t="str">
        <f>"LISA BENDELE REGISTER"</f>
        <v>LISA BENDELE REGISTER</v>
      </c>
    </row>
    <row r="1065" spans="1:8" x14ac:dyDescent="0.25">
      <c r="A1065" t="s">
        <v>382</v>
      </c>
      <c r="B1065">
        <v>79863</v>
      </c>
      <c r="C1065" s="3">
        <v>6</v>
      </c>
      <c r="D1065" s="1">
        <v>43434</v>
      </c>
      <c r="E1065" t="str">
        <f>"201811305417"</f>
        <v>201811305417</v>
      </c>
      <c r="F1065" t="str">
        <f>"M"</f>
        <v>M</v>
      </c>
      <c r="G1065" s="2">
        <v>6</v>
      </c>
      <c r="H1065" t="str">
        <f>"RACHEL MICHELLE SCARBROUGH"</f>
        <v>RACHEL MICHELLE SCARBROUGH</v>
      </c>
    </row>
    <row r="1066" spans="1:8" x14ac:dyDescent="0.25">
      <c r="A1066" t="s">
        <v>383</v>
      </c>
      <c r="B1066">
        <v>79864</v>
      </c>
      <c r="C1066" s="3">
        <v>6</v>
      </c>
      <c r="D1066" s="1">
        <v>43434</v>
      </c>
      <c r="E1066" t="str">
        <f>"201811305418"</f>
        <v>201811305418</v>
      </c>
      <c r="F1066" t="str">
        <f>"Miscellan"</f>
        <v>Miscellan</v>
      </c>
      <c r="G1066" s="2">
        <v>6</v>
      </c>
      <c r="H1066" t="str">
        <f>"KAREN JOY REYNOLDS"</f>
        <v>KAREN JOY REYNOLDS</v>
      </c>
    </row>
    <row r="1067" spans="1:8" x14ac:dyDescent="0.25">
      <c r="A1067" t="s">
        <v>384</v>
      </c>
      <c r="B1067">
        <v>79865</v>
      </c>
      <c r="C1067" s="3">
        <v>86</v>
      </c>
      <c r="D1067" s="1">
        <v>43434</v>
      </c>
      <c r="E1067" t="str">
        <f>"201811305419"</f>
        <v>201811305419</v>
      </c>
      <c r="F1067" t="str">
        <f>"Miscella"</f>
        <v>Miscella</v>
      </c>
      <c r="G1067" s="2">
        <v>86</v>
      </c>
      <c r="H1067" t="str">
        <f>"CHERYL LYNN HAWKINS"</f>
        <v>CHERYL LYNN HAWKINS</v>
      </c>
    </row>
    <row r="1068" spans="1:8" x14ac:dyDescent="0.25">
      <c r="A1068" t="s">
        <v>385</v>
      </c>
      <c r="B1068">
        <v>79866</v>
      </c>
      <c r="C1068" s="3">
        <v>86</v>
      </c>
      <c r="D1068" s="1">
        <v>43434</v>
      </c>
      <c r="E1068" t="str">
        <f>"201811305420"</f>
        <v>201811305420</v>
      </c>
      <c r="F1068" t="str">
        <f>"Miscellan"</f>
        <v>Miscellan</v>
      </c>
      <c r="G1068" s="2">
        <v>86</v>
      </c>
      <c r="H1068" t="str">
        <f>"JOHN PAUL KIRKLAND"</f>
        <v>JOHN PAUL KIRKLAND</v>
      </c>
    </row>
    <row r="1069" spans="1:8" x14ac:dyDescent="0.25">
      <c r="A1069" t="s">
        <v>386</v>
      </c>
      <c r="B1069">
        <v>79867</v>
      </c>
      <c r="C1069" s="3">
        <v>6</v>
      </c>
      <c r="D1069" s="1">
        <v>43434</v>
      </c>
      <c r="E1069" t="str">
        <f>"201811305421"</f>
        <v>201811305421</v>
      </c>
      <c r="F1069" t="str">
        <f>"Miscellane"</f>
        <v>Miscellane</v>
      </c>
      <c r="G1069" s="2">
        <v>6</v>
      </c>
      <c r="H1069" t="str">
        <f>"BONNIE SUE SHIMEK"</f>
        <v>BONNIE SUE SHIMEK</v>
      </c>
    </row>
    <row r="1070" spans="1:8" x14ac:dyDescent="0.25">
      <c r="A1070" t="s">
        <v>387</v>
      </c>
      <c r="B1070">
        <v>79534</v>
      </c>
      <c r="C1070" s="3">
        <v>310</v>
      </c>
      <c r="D1070" s="1">
        <v>43417</v>
      </c>
      <c r="E1070" t="str">
        <f>"2142648"</f>
        <v>2142648</v>
      </c>
      <c r="F1070" t="str">
        <f>"ORD#2259078/CUST#195585"</f>
        <v>ORD#2259078/CUST#195585</v>
      </c>
      <c r="G1070" s="2">
        <v>310</v>
      </c>
      <c r="H1070" t="str">
        <f>"ORD#2259078/CUST#195585"</f>
        <v>ORD#2259078/CUST#195585</v>
      </c>
    </row>
    <row r="1071" spans="1:8" x14ac:dyDescent="0.25">
      <c r="A1071" t="s">
        <v>388</v>
      </c>
      <c r="B1071">
        <v>79535</v>
      </c>
      <c r="C1071" s="3">
        <v>145</v>
      </c>
      <c r="D1071" s="1">
        <v>43417</v>
      </c>
      <c r="E1071" t="str">
        <f>"1090"</f>
        <v>1090</v>
      </c>
      <c r="F1071" t="str">
        <f>"DUMPSTER RENTAL-OCTOBER"</f>
        <v>DUMPSTER RENTAL-OCTOBER</v>
      </c>
      <c r="G1071" s="2">
        <v>145</v>
      </c>
      <c r="H1071" t="str">
        <f>"DUMPSTER RENTAL-OCTOBER"</f>
        <v>DUMPSTER RENTAL-OCTOBER</v>
      </c>
    </row>
    <row r="1072" spans="1:8" x14ac:dyDescent="0.25">
      <c r="A1072" t="s">
        <v>388</v>
      </c>
      <c r="B1072">
        <v>79728</v>
      </c>
      <c r="C1072" s="3">
        <v>145</v>
      </c>
      <c r="D1072" s="1">
        <v>43430</v>
      </c>
      <c r="E1072" t="str">
        <f>"1781"</f>
        <v>1781</v>
      </c>
      <c r="F1072" t="str">
        <f>"DUMPSTER RENTAL/GEN SVCS"</f>
        <v>DUMPSTER RENTAL/GEN SVCS</v>
      </c>
      <c r="G1072" s="2">
        <v>145</v>
      </c>
      <c r="H1072" t="str">
        <f>"DUMPSTER RENTAL/GEN SVCS"</f>
        <v>DUMPSTER RENTAL/GEN SVCS</v>
      </c>
    </row>
    <row r="1073" spans="1:8" x14ac:dyDescent="0.25">
      <c r="A1073" t="s">
        <v>389</v>
      </c>
      <c r="B1073">
        <v>999999</v>
      </c>
      <c r="C1073" s="3">
        <v>450</v>
      </c>
      <c r="D1073" s="1">
        <v>43418</v>
      </c>
      <c r="E1073" t="str">
        <f>"16774"</f>
        <v>16774</v>
      </c>
      <c r="F1073" t="str">
        <f>"SWEEPING SVCS-HOG EYE FESTIVAL"</f>
        <v>SWEEPING SVCS-HOG EYE FESTIVAL</v>
      </c>
      <c r="G1073" s="2">
        <v>450</v>
      </c>
      <c r="H1073" t="str">
        <f>"SWEEPING SVCS-HOG EYE FESTIVAL"</f>
        <v>SWEEPING SVCS-HOG EYE FESTIVAL</v>
      </c>
    </row>
    <row r="1074" spans="1:8" x14ac:dyDescent="0.25">
      <c r="A1074" t="s">
        <v>390</v>
      </c>
      <c r="B1074">
        <v>79536</v>
      </c>
      <c r="C1074" s="3">
        <v>2277.64</v>
      </c>
      <c r="D1074" s="1">
        <v>43417</v>
      </c>
      <c r="E1074" t="str">
        <f>"70073764"</f>
        <v>70073764</v>
      </c>
      <c r="F1074" t="str">
        <f>"INV 70073764"</f>
        <v>INV 70073764</v>
      </c>
      <c r="G1074" s="2">
        <v>416.93</v>
      </c>
      <c r="H1074" t="str">
        <f>"INV 70073764"</f>
        <v>INV 70073764</v>
      </c>
    </row>
    <row r="1075" spans="1:8" x14ac:dyDescent="0.25">
      <c r="E1075" t="str">
        <f>"7066189 70077332"</f>
        <v>7066189 70077332</v>
      </c>
      <c r="F1075" t="str">
        <f>"INV 7066189"</f>
        <v>INV 7066189</v>
      </c>
      <c r="G1075" s="2">
        <v>303.76</v>
      </c>
      <c r="H1075" t="str">
        <f>"INV 7066189"</f>
        <v>INV 7066189</v>
      </c>
    </row>
    <row r="1076" spans="1:8" x14ac:dyDescent="0.25">
      <c r="E1076" t="str">
        <f>""</f>
        <v/>
      </c>
      <c r="F1076" t="str">
        <f>""</f>
        <v/>
      </c>
      <c r="H1076" t="str">
        <f>"INV 70077332"</f>
        <v>INV 70077332</v>
      </c>
    </row>
    <row r="1077" spans="1:8" x14ac:dyDescent="0.25">
      <c r="E1077" t="str">
        <f>"83662293"</f>
        <v>83662293</v>
      </c>
      <c r="F1077" t="str">
        <f>"INV 83662293"</f>
        <v>INV 83662293</v>
      </c>
      <c r="G1077" s="2">
        <v>1556.95</v>
      </c>
      <c r="H1077" t="str">
        <f>"INV 83662293"</f>
        <v>INV 83662293</v>
      </c>
    </row>
    <row r="1078" spans="1:8" x14ac:dyDescent="0.25">
      <c r="A1078" t="s">
        <v>390</v>
      </c>
      <c r="B1078">
        <v>79729</v>
      </c>
      <c r="C1078" s="3">
        <v>388.51</v>
      </c>
      <c r="D1078" s="1">
        <v>43430</v>
      </c>
      <c r="E1078" t="str">
        <f>"70032945"</f>
        <v>70032945</v>
      </c>
      <c r="F1078" t="str">
        <f>"INV 70032945"</f>
        <v>INV 70032945</v>
      </c>
      <c r="G1078" s="2">
        <v>388.51</v>
      </c>
      <c r="H1078" t="str">
        <f>"INV 70032945"</f>
        <v>INV 70032945</v>
      </c>
    </row>
    <row r="1079" spans="1:8" x14ac:dyDescent="0.25">
      <c r="A1079" t="s">
        <v>391</v>
      </c>
      <c r="B1079">
        <v>79537</v>
      </c>
      <c r="C1079" s="3">
        <v>95.67</v>
      </c>
      <c r="D1079" s="1">
        <v>43417</v>
      </c>
      <c r="E1079" t="str">
        <f>"S154159033.001"</f>
        <v>S154159033.001</v>
      </c>
      <c r="F1079" t="str">
        <f>"INV S154159033.001"</f>
        <v>INV S154159033.001</v>
      </c>
      <c r="G1079" s="2">
        <v>95.67</v>
      </c>
      <c r="H1079" t="str">
        <f>"INV S154159033.001"</f>
        <v>INV S154159033.001</v>
      </c>
    </row>
    <row r="1080" spans="1:8" x14ac:dyDescent="0.25">
      <c r="A1080" t="s">
        <v>392</v>
      </c>
      <c r="B1080">
        <v>79730</v>
      </c>
      <c r="C1080" s="3">
        <v>111.31</v>
      </c>
      <c r="D1080" s="1">
        <v>43430</v>
      </c>
      <c r="E1080" t="str">
        <f>"A105123835.001"</f>
        <v>A105123835.001</v>
      </c>
      <c r="F1080" t="str">
        <f>"INV S105123835.001"</f>
        <v>INV S105123835.001</v>
      </c>
      <c r="G1080" s="2">
        <v>111.31</v>
      </c>
      <c r="H1080" t="str">
        <f>"INV S105123835.001"</f>
        <v>INV S105123835.001</v>
      </c>
    </row>
    <row r="1081" spans="1:8" x14ac:dyDescent="0.25">
      <c r="A1081" t="s">
        <v>393</v>
      </c>
      <c r="B1081">
        <v>79538</v>
      </c>
      <c r="C1081" s="3">
        <v>1161.18</v>
      </c>
      <c r="D1081" s="1">
        <v>43417</v>
      </c>
      <c r="E1081" t="str">
        <f>"16019112"</f>
        <v>16019112</v>
      </c>
      <c r="F1081" t="str">
        <f>"Inv# 16019112"</f>
        <v>Inv# 16019112</v>
      </c>
      <c r="G1081" s="2">
        <v>1161.18</v>
      </c>
      <c r="H1081" t="str">
        <f>"Inv# 16019112"</f>
        <v>Inv# 16019112</v>
      </c>
    </row>
    <row r="1082" spans="1:8" x14ac:dyDescent="0.25">
      <c r="A1082" t="s">
        <v>393</v>
      </c>
      <c r="B1082">
        <v>79731</v>
      </c>
      <c r="C1082" s="3">
        <v>20462.349999999999</v>
      </c>
      <c r="D1082" s="1">
        <v>43430</v>
      </c>
      <c r="E1082" t="str">
        <f>"201811155143"</f>
        <v>201811155143</v>
      </c>
      <c r="F1082" t="str">
        <f>"RADIO SERVICE AGREEMENT"</f>
        <v>RADIO SERVICE AGREEMENT</v>
      </c>
      <c r="G1082" s="2">
        <v>20462.349999999999</v>
      </c>
      <c r="H1082" t="str">
        <f>"RADIO SERVICE AGREEMENT"</f>
        <v>RADIO SERVICE AGREEMENT</v>
      </c>
    </row>
    <row r="1083" spans="1:8" x14ac:dyDescent="0.25">
      <c r="A1083" t="s">
        <v>394</v>
      </c>
      <c r="B1083">
        <v>79539</v>
      </c>
      <c r="C1083" s="3">
        <v>826.8</v>
      </c>
      <c r="D1083" s="1">
        <v>43417</v>
      </c>
      <c r="E1083" t="str">
        <f>"86554971"</f>
        <v>86554971</v>
      </c>
      <c r="F1083" t="str">
        <f>"ACCT#150344157/GEN SVCS"</f>
        <v>ACCT#150344157/GEN SVCS</v>
      </c>
      <c r="G1083" s="2">
        <v>826.8</v>
      </c>
      <c r="H1083" t="str">
        <f>"ACCT#150344157/GEN SVCS"</f>
        <v>ACCT#150344157/GEN SVCS</v>
      </c>
    </row>
    <row r="1084" spans="1:8" x14ac:dyDescent="0.25">
      <c r="A1084" t="s">
        <v>395</v>
      </c>
      <c r="B1084">
        <v>79732</v>
      </c>
      <c r="C1084" s="3">
        <v>3500</v>
      </c>
      <c r="D1084" s="1">
        <v>43430</v>
      </c>
      <c r="E1084" t="str">
        <f>"201811165252"</f>
        <v>201811165252</v>
      </c>
      <c r="F1084" t="str">
        <f>"NALLEY HVAC MECHANICAL LLC"</f>
        <v>NALLEY HVAC MECHANICAL LLC</v>
      </c>
      <c r="G1084" s="2">
        <v>3500</v>
      </c>
      <c r="H1084" t="str">
        <f>""</f>
        <v/>
      </c>
    </row>
    <row r="1085" spans="1:8" x14ac:dyDescent="0.25">
      <c r="A1085" t="s">
        <v>396</v>
      </c>
      <c r="B1085">
        <v>999999</v>
      </c>
      <c r="C1085" s="3">
        <v>13370.6</v>
      </c>
      <c r="D1085" s="1">
        <v>43418</v>
      </c>
      <c r="E1085" t="str">
        <f>"IN0811735 IN081241"</f>
        <v>IN0811735 IN081241</v>
      </c>
      <c r="F1085" t="str">
        <f>"INV IN0811735"</f>
        <v>INV IN0811735</v>
      </c>
      <c r="G1085" s="2">
        <v>13370.6</v>
      </c>
      <c r="H1085" t="str">
        <f>"INV IN0811735"</f>
        <v>INV IN0811735</v>
      </c>
    </row>
    <row r="1086" spans="1:8" x14ac:dyDescent="0.25">
      <c r="E1086" t="str">
        <f>""</f>
        <v/>
      </c>
      <c r="F1086" t="str">
        <f>""</f>
        <v/>
      </c>
      <c r="H1086" t="str">
        <f>"INV IN0812416"</f>
        <v>INV IN0812416</v>
      </c>
    </row>
    <row r="1087" spans="1:8" x14ac:dyDescent="0.25">
      <c r="E1087" t="str">
        <f>""</f>
        <v/>
      </c>
      <c r="F1087" t="str">
        <f>""</f>
        <v/>
      </c>
      <c r="H1087" t="str">
        <f>"INV IN0812613"</f>
        <v>INV IN0812613</v>
      </c>
    </row>
    <row r="1088" spans="1:8" x14ac:dyDescent="0.25">
      <c r="A1088" t="s">
        <v>396</v>
      </c>
      <c r="B1088">
        <v>999999</v>
      </c>
      <c r="C1088" s="3">
        <v>3359.9</v>
      </c>
      <c r="D1088" s="1">
        <v>43431</v>
      </c>
      <c r="E1088" t="str">
        <f>"IN0812311 IN071301"</f>
        <v>IN0812311 IN071301</v>
      </c>
      <c r="F1088" t="str">
        <f>"INV IN0812311"</f>
        <v>INV IN0812311</v>
      </c>
      <c r="G1088" s="2">
        <v>3359.9</v>
      </c>
      <c r="H1088" t="str">
        <f>"INV IN0812311"</f>
        <v>INV IN0812311</v>
      </c>
    </row>
    <row r="1089" spans="1:8" x14ac:dyDescent="0.25">
      <c r="E1089" t="str">
        <f>""</f>
        <v/>
      </c>
      <c r="F1089" t="str">
        <f>""</f>
        <v/>
      </c>
      <c r="H1089" t="str">
        <f>"INV IN0813019"</f>
        <v>INV IN0813019</v>
      </c>
    </row>
    <row r="1090" spans="1:8" x14ac:dyDescent="0.25">
      <c r="A1090" t="s">
        <v>397</v>
      </c>
      <c r="B1090">
        <v>79791</v>
      </c>
      <c r="C1090" s="3">
        <v>225</v>
      </c>
      <c r="D1090" s="1">
        <v>43432</v>
      </c>
      <c r="E1090" t="str">
        <f>"201811285304"</f>
        <v>201811285304</v>
      </c>
      <c r="F1090" t="str">
        <f>"NEAFCS CONF - HILLARY LONG"</f>
        <v>NEAFCS CONF - HILLARY LONG</v>
      </c>
      <c r="G1090" s="2">
        <v>225</v>
      </c>
      <c r="H1090" t="str">
        <f>"NEAFCS CONF - HILLARY LONG"</f>
        <v>NEAFCS CONF - HILLARY LONG</v>
      </c>
    </row>
    <row r="1091" spans="1:8" x14ac:dyDescent="0.25">
      <c r="A1091" t="s">
        <v>398</v>
      </c>
      <c r="B1091">
        <v>999999</v>
      </c>
      <c r="C1091" s="3">
        <v>591.80999999999995</v>
      </c>
      <c r="D1091" s="1">
        <v>43418</v>
      </c>
      <c r="E1091" t="str">
        <f>"0581399195"</f>
        <v>0581399195</v>
      </c>
      <c r="F1091" t="str">
        <f>"CUST#198406/PCT#1"</f>
        <v>CUST#198406/PCT#1</v>
      </c>
      <c r="G1091" s="2">
        <v>7.49</v>
      </c>
      <c r="H1091" t="str">
        <f>"CUST#198406/PCT#1"</f>
        <v>CUST#198406/PCT#1</v>
      </c>
    </row>
    <row r="1092" spans="1:8" x14ac:dyDescent="0.25">
      <c r="E1092" t="str">
        <f>"201811074937"</f>
        <v>201811074937</v>
      </c>
      <c r="F1092" t="str">
        <f>"CUST#99088/PCT#4"</f>
        <v>CUST#99088/PCT#4</v>
      </c>
      <c r="G1092" s="2">
        <v>584.32000000000005</v>
      </c>
      <c r="H1092" t="str">
        <f>"CUST#99088/PCT#4"</f>
        <v>CUST#99088/PCT#4</v>
      </c>
    </row>
    <row r="1093" spans="1:8" x14ac:dyDescent="0.25">
      <c r="A1093" t="s">
        <v>399</v>
      </c>
      <c r="B1093">
        <v>79540</v>
      </c>
      <c r="C1093" s="3">
        <v>1360.32</v>
      </c>
      <c r="D1093" s="1">
        <v>43417</v>
      </c>
      <c r="E1093" t="str">
        <f>"1401225 1405830+++"</f>
        <v>1401225 1405830+++</v>
      </c>
      <c r="F1093" t="str">
        <f>"INV 1401225"</f>
        <v>INV 1401225</v>
      </c>
      <c r="G1093" s="2">
        <v>1360.32</v>
      </c>
      <c r="H1093" t="str">
        <f>"INV 1401225"</f>
        <v>INV 1401225</v>
      </c>
    </row>
    <row r="1094" spans="1:8" x14ac:dyDescent="0.25">
      <c r="E1094" t="str">
        <f>""</f>
        <v/>
      </c>
      <c r="F1094" t="str">
        <f>""</f>
        <v/>
      </c>
      <c r="H1094" t="str">
        <f>"INV 1405830"</f>
        <v>INV 1405830</v>
      </c>
    </row>
    <row r="1095" spans="1:8" x14ac:dyDescent="0.25">
      <c r="E1095" t="str">
        <f>""</f>
        <v/>
      </c>
      <c r="F1095" t="str">
        <f>""</f>
        <v/>
      </c>
      <c r="H1095" t="str">
        <f>"INV 122002296"</f>
        <v>INV 122002296</v>
      </c>
    </row>
    <row r="1096" spans="1:8" x14ac:dyDescent="0.25">
      <c r="E1096" t="str">
        <f>""</f>
        <v/>
      </c>
      <c r="F1096" t="str">
        <f>""</f>
        <v/>
      </c>
      <c r="H1096" t="str">
        <f>"INV 122002383"</f>
        <v>INV 122002383</v>
      </c>
    </row>
    <row r="1097" spans="1:8" x14ac:dyDescent="0.25">
      <c r="E1097" t="str">
        <f>""</f>
        <v/>
      </c>
      <c r="F1097" t="str">
        <f>""</f>
        <v/>
      </c>
      <c r="H1097" t="str">
        <f>"INV 1417081"</f>
        <v>INV 1417081</v>
      </c>
    </row>
    <row r="1098" spans="1:8" x14ac:dyDescent="0.25">
      <c r="E1098" t="str">
        <f>""</f>
        <v/>
      </c>
      <c r="F1098" t="str">
        <f>""</f>
        <v/>
      </c>
      <c r="H1098" t="str">
        <f>"INV 122002520"</f>
        <v>INV 122002520</v>
      </c>
    </row>
    <row r="1099" spans="1:8" x14ac:dyDescent="0.25">
      <c r="A1099" t="s">
        <v>399</v>
      </c>
      <c r="B1099">
        <v>79733</v>
      </c>
      <c r="C1099" s="3">
        <v>662.72</v>
      </c>
      <c r="D1099" s="1">
        <v>43430</v>
      </c>
      <c r="E1099" t="str">
        <f>"1425172 1429941 14"</f>
        <v>1425172 1429941 14</v>
      </c>
      <c r="F1099" t="str">
        <f>"INV 1425172"</f>
        <v>INV 1425172</v>
      </c>
      <c r="G1099" s="2">
        <v>662.72</v>
      </c>
      <c r="H1099" t="str">
        <f>"INV 1425172"</f>
        <v>INV 1425172</v>
      </c>
    </row>
    <row r="1100" spans="1:8" x14ac:dyDescent="0.25">
      <c r="E1100" t="str">
        <f>""</f>
        <v/>
      </c>
      <c r="F1100" t="str">
        <f>""</f>
        <v/>
      </c>
      <c r="H1100" t="str">
        <f>"INV 1429941"</f>
        <v>INV 1429941</v>
      </c>
    </row>
    <row r="1101" spans="1:8" x14ac:dyDescent="0.25">
      <c r="E1101" t="str">
        <f>""</f>
        <v/>
      </c>
      <c r="F1101" t="str">
        <f>""</f>
        <v/>
      </c>
      <c r="H1101" t="str">
        <f>"INV 1433130"</f>
        <v>INV 1433130</v>
      </c>
    </row>
    <row r="1102" spans="1:8" x14ac:dyDescent="0.25">
      <c r="A1102" t="s">
        <v>400</v>
      </c>
      <c r="B1102">
        <v>79541</v>
      </c>
      <c r="C1102" s="3">
        <v>1849.74</v>
      </c>
      <c r="D1102" s="1">
        <v>43417</v>
      </c>
      <c r="E1102" t="str">
        <f>"10228286"</f>
        <v>10228286</v>
      </c>
      <c r="F1102" t="str">
        <f>"Bill# 10228286"</f>
        <v>Bill# 10228286</v>
      </c>
      <c r="G1102" s="2">
        <v>719.3</v>
      </c>
      <c r="H1102" t="str">
        <f>"Ord# 213378631001"</f>
        <v>Ord# 213378631001</v>
      </c>
    </row>
    <row r="1103" spans="1:8" x14ac:dyDescent="0.25">
      <c r="E1103" t="str">
        <f>""</f>
        <v/>
      </c>
      <c r="F1103" t="str">
        <f>""</f>
        <v/>
      </c>
      <c r="H1103" t="str">
        <f>"Ord# 213380380001"</f>
        <v>Ord# 213380380001</v>
      </c>
    </row>
    <row r="1104" spans="1:8" x14ac:dyDescent="0.25">
      <c r="E1104" t="str">
        <f>""</f>
        <v/>
      </c>
      <c r="F1104" t="str">
        <f>""</f>
        <v/>
      </c>
      <c r="H1104" t="str">
        <f>"Ord# 214204726001"</f>
        <v>Ord# 214204726001</v>
      </c>
    </row>
    <row r="1105" spans="5:8" x14ac:dyDescent="0.25">
      <c r="E1105" t="str">
        <f>""</f>
        <v/>
      </c>
      <c r="F1105" t="str">
        <f>""</f>
        <v/>
      </c>
      <c r="H1105" t="str">
        <f>"Ord# 217235974001"</f>
        <v>Ord# 217235974001</v>
      </c>
    </row>
    <row r="1106" spans="5:8" x14ac:dyDescent="0.25">
      <c r="E1106" t="str">
        <f>""</f>
        <v/>
      </c>
      <c r="F1106" t="str">
        <f>""</f>
        <v/>
      </c>
      <c r="H1106" t="str">
        <f>"Ord# 217238497001"</f>
        <v>Ord# 217238497001</v>
      </c>
    </row>
    <row r="1107" spans="5:8" x14ac:dyDescent="0.25">
      <c r="E1107" t="str">
        <f>""</f>
        <v/>
      </c>
      <c r="F1107" t="str">
        <f>""</f>
        <v/>
      </c>
      <c r="H1107" t="str">
        <f>"Ord# 217238498001"</f>
        <v>Ord# 217238498001</v>
      </c>
    </row>
    <row r="1108" spans="5:8" x14ac:dyDescent="0.25">
      <c r="E1108" t="str">
        <f>""</f>
        <v/>
      </c>
      <c r="F1108" t="str">
        <f>""</f>
        <v/>
      </c>
      <c r="H1108" t="str">
        <f>"Ord# 220135720001"</f>
        <v>Ord# 220135720001</v>
      </c>
    </row>
    <row r="1109" spans="5:8" x14ac:dyDescent="0.25">
      <c r="E1109" t="str">
        <f>""</f>
        <v/>
      </c>
      <c r="F1109" t="str">
        <f>""</f>
        <v/>
      </c>
      <c r="H1109" t="str">
        <f>"Ord# 220149100001"</f>
        <v>Ord# 220149100001</v>
      </c>
    </row>
    <row r="1110" spans="5:8" x14ac:dyDescent="0.25">
      <c r="E1110" t="str">
        <f>""</f>
        <v/>
      </c>
      <c r="F1110" t="str">
        <f>""</f>
        <v/>
      </c>
      <c r="H1110" t="str">
        <f>"Ord# 220149101001"</f>
        <v>Ord# 220149101001</v>
      </c>
    </row>
    <row r="1111" spans="5:8" x14ac:dyDescent="0.25">
      <c r="E1111" t="str">
        <f>""</f>
        <v/>
      </c>
      <c r="F1111" t="str">
        <f>""</f>
        <v/>
      </c>
      <c r="H1111" t="str">
        <f>"Ord# 220593161001"</f>
        <v>Ord# 220593161001</v>
      </c>
    </row>
    <row r="1112" spans="5:8" x14ac:dyDescent="0.25">
      <c r="E1112" t="str">
        <f>""</f>
        <v/>
      </c>
      <c r="F1112" t="str">
        <f>""</f>
        <v/>
      </c>
      <c r="H1112" t="str">
        <f>"Ord# 220593908001"</f>
        <v>Ord# 220593908001</v>
      </c>
    </row>
    <row r="1113" spans="5:8" x14ac:dyDescent="0.25">
      <c r="E1113" t="str">
        <f>""</f>
        <v/>
      </c>
      <c r="F1113" t="str">
        <f>""</f>
        <v/>
      </c>
      <c r="H1113" t="str">
        <f>"Ord# 219192189001"</f>
        <v>Ord# 219192189001</v>
      </c>
    </row>
    <row r="1114" spans="5:8" x14ac:dyDescent="0.25">
      <c r="E1114" t="str">
        <f>""</f>
        <v/>
      </c>
      <c r="F1114" t="str">
        <f>""</f>
        <v/>
      </c>
      <c r="H1114" t="str">
        <f>"freight"</f>
        <v>freight</v>
      </c>
    </row>
    <row r="1115" spans="5:8" x14ac:dyDescent="0.25">
      <c r="E1115" t="str">
        <f>"10325711"</f>
        <v>10325711</v>
      </c>
      <c r="F1115" t="str">
        <f>"Bill# 10325711"</f>
        <v>Bill# 10325711</v>
      </c>
      <c r="G1115" s="2">
        <v>1130.44</v>
      </c>
      <c r="H1115" t="str">
        <f>"Ord# 222580365001"</f>
        <v>Ord# 222580365001</v>
      </c>
    </row>
    <row r="1116" spans="5:8" x14ac:dyDescent="0.25">
      <c r="E1116" t="str">
        <f>""</f>
        <v/>
      </c>
      <c r="F1116" t="str">
        <f>""</f>
        <v/>
      </c>
      <c r="H1116" t="str">
        <f>"Ord# 222581024001"</f>
        <v>Ord# 222581024001</v>
      </c>
    </row>
    <row r="1117" spans="5:8" x14ac:dyDescent="0.25">
      <c r="E1117" t="str">
        <f>""</f>
        <v/>
      </c>
      <c r="F1117" t="str">
        <f>""</f>
        <v/>
      </c>
      <c r="H1117" t="str">
        <f>"Ord# 222581026001"</f>
        <v>Ord# 222581026001</v>
      </c>
    </row>
    <row r="1118" spans="5:8" x14ac:dyDescent="0.25">
      <c r="E1118" t="str">
        <f>""</f>
        <v/>
      </c>
      <c r="F1118" t="str">
        <f>""</f>
        <v/>
      </c>
      <c r="H1118" t="str">
        <f>"Ord# 222736893001"</f>
        <v>Ord# 222736893001</v>
      </c>
    </row>
    <row r="1119" spans="5:8" x14ac:dyDescent="0.25">
      <c r="E1119" t="str">
        <f>""</f>
        <v/>
      </c>
      <c r="F1119" t="str">
        <f>""</f>
        <v/>
      </c>
      <c r="H1119" t="str">
        <f>"Ord# 222327750001"</f>
        <v>Ord# 222327750001</v>
      </c>
    </row>
    <row r="1120" spans="5:8" x14ac:dyDescent="0.25">
      <c r="E1120" t="str">
        <f>""</f>
        <v/>
      </c>
      <c r="F1120" t="str">
        <f>""</f>
        <v/>
      </c>
      <c r="H1120" t="str">
        <f>"Ord# 222344314001"</f>
        <v>Ord# 222344314001</v>
      </c>
    </row>
    <row r="1121" spans="1:8" x14ac:dyDescent="0.25">
      <c r="E1121" t="str">
        <f>""</f>
        <v/>
      </c>
      <c r="F1121" t="str">
        <f>""</f>
        <v/>
      </c>
      <c r="H1121" t="str">
        <f>"Ord# 223504606001"</f>
        <v>Ord# 223504606001</v>
      </c>
    </row>
    <row r="1122" spans="1:8" x14ac:dyDescent="0.25">
      <c r="E1122" t="str">
        <f>""</f>
        <v/>
      </c>
      <c r="F1122" t="str">
        <f>""</f>
        <v/>
      </c>
      <c r="H1122" t="str">
        <f>"Ord# 225032046001"</f>
        <v>Ord# 225032046001</v>
      </c>
    </row>
    <row r="1123" spans="1:8" x14ac:dyDescent="0.25">
      <c r="E1123" t="str">
        <f>""</f>
        <v/>
      </c>
      <c r="F1123" t="str">
        <f>""</f>
        <v/>
      </c>
      <c r="H1123" t="str">
        <f>"Ord# 225034164001"</f>
        <v>Ord# 225034164001</v>
      </c>
    </row>
    <row r="1124" spans="1:8" x14ac:dyDescent="0.25">
      <c r="E1124" t="str">
        <f>""</f>
        <v/>
      </c>
      <c r="F1124" t="str">
        <f>""</f>
        <v/>
      </c>
      <c r="H1124" t="str">
        <f>"Ord# 225034165001"</f>
        <v>Ord# 225034165001</v>
      </c>
    </row>
    <row r="1125" spans="1:8" x14ac:dyDescent="0.25">
      <c r="E1125" t="str">
        <f>""</f>
        <v/>
      </c>
      <c r="F1125" t="str">
        <f>""</f>
        <v/>
      </c>
      <c r="H1125" t="str">
        <f>"Ord# 225034165001"</f>
        <v>Ord# 225034165001</v>
      </c>
    </row>
    <row r="1126" spans="1:8" x14ac:dyDescent="0.25">
      <c r="E1126" t="str">
        <f>""</f>
        <v/>
      </c>
      <c r="F1126" t="str">
        <f>""</f>
        <v/>
      </c>
      <c r="H1126" t="str">
        <f>"Ord# 224783710001"</f>
        <v>Ord# 224783710001</v>
      </c>
    </row>
    <row r="1127" spans="1:8" x14ac:dyDescent="0.25">
      <c r="E1127" t="str">
        <f>""</f>
        <v/>
      </c>
      <c r="F1127" t="str">
        <f>""</f>
        <v/>
      </c>
      <c r="H1127" t="str">
        <f>"Ord# 224783710001"</f>
        <v>Ord# 224783710001</v>
      </c>
    </row>
    <row r="1128" spans="1:8" x14ac:dyDescent="0.25">
      <c r="A1128" t="s">
        <v>401</v>
      </c>
      <c r="B1128">
        <v>79542</v>
      </c>
      <c r="C1128" s="3">
        <v>160.68</v>
      </c>
      <c r="D1128" s="1">
        <v>43417</v>
      </c>
      <c r="E1128" t="str">
        <f>"INV-10365"</f>
        <v>INV-10365</v>
      </c>
      <c r="F1128" t="str">
        <f>"LIGHT ROSE PURPLE/4'ROLL/SHIPP"</f>
        <v>LIGHT ROSE PURPLE/4'ROLL/SHIPP</v>
      </c>
      <c r="G1128" s="2">
        <v>160.68</v>
      </c>
      <c r="H1128" t="str">
        <f>"LIGHT ROSE PURPLE/4'ROLL/SHIPP"</f>
        <v>LIGHT ROSE PURPLE/4'ROLL/SHIPP</v>
      </c>
    </row>
    <row r="1129" spans="1:8" x14ac:dyDescent="0.25">
      <c r="A1129" t="s">
        <v>402</v>
      </c>
      <c r="B1129">
        <v>79543</v>
      </c>
      <c r="C1129" s="3">
        <v>370</v>
      </c>
      <c r="D1129" s="1">
        <v>43417</v>
      </c>
      <c r="E1129" t="str">
        <f>"18236"</f>
        <v>18236</v>
      </c>
      <c r="F1129" t="str">
        <f>"PLUMBING SVCS/ADULT PROBATION"</f>
        <v>PLUMBING SVCS/ADULT PROBATION</v>
      </c>
      <c r="G1129" s="2">
        <v>152</v>
      </c>
      <c r="H1129" t="str">
        <f>"PLUMBING SVCS/ADULT PROBATION"</f>
        <v>PLUMBING SVCS/ADULT PROBATION</v>
      </c>
    </row>
    <row r="1130" spans="1:8" x14ac:dyDescent="0.25">
      <c r="E1130" t="str">
        <f>"18289"</f>
        <v>18289</v>
      </c>
      <c r="F1130" t="str">
        <f>"PLUMBING SVCS-GRADY TUCK BLDG"</f>
        <v>PLUMBING SVCS-GRADY TUCK BLDG</v>
      </c>
      <c r="G1130" s="2">
        <v>218</v>
      </c>
      <c r="H1130" t="str">
        <f>"PLUMBING SVCS-GRADY TUCK BLDG"</f>
        <v>PLUMBING SVCS-GRADY TUCK BLDG</v>
      </c>
    </row>
    <row r="1131" spans="1:8" x14ac:dyDescent="0.25">
      <c r="A1131" t="s">
        <v>402</v>
      </c>
      <c r="B1131">
        <v>79734</v>
      </c>
      <c r="C1131" s="3">
        <v>403</v>
      </c>
      <c r="D1131" s="1">
        <v>43430</v>
      </c>
      <c r="E1131" t="str">
        <f>"18305"</f>
        <v>18305</v>
      </c>
      <c r="F1131" t="str">
        <f>"PLUMBING SVCS-OLD JAIL"</f>
        <v>PLUMBING SVCS-OLD JAIL</v>
      </c>
      <c r="G1131" s="2">
        <v>160</v>
      </c>
      <c r="H1131" t="str">
        <f>"PLUMBING SVCS-OLD JAIL"</f>
        <v>PLUMBING SVCS-OLD JAIL</v>
      </c>
    </row>
    <row r="1132" spans="1:8" x14ac:dyDescent="0.25">
      <c r="E1132" t="str">
        <f>"18326"</f>
        <v>18326</v>
      </c>
      <c r="F1132" t="str">
        <f>"PLUMBING SVCS/PCT 1 BARN"</f>
        <v>PLUMBING SVCS/PCT 1 BARN</v>
      </c>
      <c r="G1132" s="2">
        <v>243</v>
      </c>
      <c r="H1132" t="str">
        <f>"PLUMBING SVCS/PCT 1 BARN"</f>
        <v>PLUMBING SVCS/PCT 1 BARN</v>
      </c>
    </row>
    <row r="1133" spans="1:8" x14ac:dyDescent="0.25">
      <c r="A1133" t="s">
        <v>403</v>
      </c>
      <c r="B1133">
        <v>79735</v>
      </c>
      <c r="C1133" s="3">
        <v>920</v>
      </c>
      <c r="D1133" s="1">
        <v>43430</v>
      </c>
      <c r="E1133" t="str">
        <f>"15819"</f>
        <v>15819</v>
      </c>
      <c r="F1133" t="str">
        <f>"INV 15819"</f>
        <v>INV 15819</v>
      </c>
      <c r="G1133" s="2">
        <v>920</v>
      </c>
      <c r="H1133" t="str">
        <f>"INV"</f>
        <v>INV</v>
      </c>
    </row>
    <row r="1134" spans="1:8" x14ac:dyDescent="0.25">
      <c r="A1134" t="s">
        <v>404</v>
      </c>
      <c r="B1134">
        <v>79544</v>
      </c>
      <c r="C1134" s="3">
        <v>110.92</v>
      </c>
      <c r="D1134" s="1">
        <v>43417</v>
      </c>
      <c r="E1134" t="str">
        <f>"201811064873"</f>
        <v>201811064873</v>
      </c>
      <c r="F1134" t="str">
        <f>"ACCT#1137/PCT#4"</f>
        <v>ACCT#1137/PCT#4</v>
      </c>
      <c r="G1134" s="2">
        <v>110.92</v>
      </c>
      <c r="H1134" t="str">
        <f>"ACCT#1137/PCT#4"</f>
        <v>ACCT#1137/PCT#4</v>
      </c>
    </row>
    <row r="1135" spans="1:8" x14ac:dyDescent="0.25">
      <c r="A1135" t="s">
        <v>405</v>
      </c>
      <c r="B1135">
        <v>999999</v>
      </c>
      <c r="C1135" s="3">
        <v>2723.25</v>
      </c>
      <c r="D1135" s="1">
        <v>43431</v>
      </c>
      <c r="E1135" t="str">
        <f>"2008357"</f>
        <v>2008357</v>
      </c>
      <c r="F1135" t="str">
        <f>"ELECTRICAL SVCS/DHS/ELGIN OFF"</f>
        <v>ELECTRICAL SVCS/DHS/ELGIN OFF</v>
      </c>
      <c r="G1135" s="2">
        <v>1087.05</v>
      </c>
      <c r="H1135" t="str">
        <f>"ELECTRICAL SVCS/DHS/ELGIN OFF"</f>
        <v>ELECTRICAL SVCS/DHS/ELGIN OFF</v>
      </c>
    </row>
    <row r="1136" spans="1:8" x14ac:dyDescent="0.25">
      <c r="E1136" t="str">
        <f>"2008358"</f>
        <v>2008358</v>
      </c>
      <c r="F1136" t="str">
        <f>"ELECTRICAL SVCS/DHS/GRADY TUCK"</f>
        <v>ELECTRICAL SVCS/DHS/GRADY TUCK</v>
      </c>
      <c r="G1136" s="2">
        <v>326.2</v>
      </c>
      <c r="H1136" t="str">
        <f>"ELECTRICAL SVCS/DHS/GRADY TUCK"</f>
        <v>ELECTRICAL SVCS/DHS/GRADY TUCK</v>
      </c>
    </row>
    <row r="1137" spans="1:8" x14ac:dyDescent="0.25">
      <c r="E1137" t="str">
        <f>"2008359"</f>
        <v>2008359</v>
      </c>
      <c r="F1137" t="str">
        <f>"ELECTRICAL SVCS/SMITHVILLE ANX"</f>
        <v>ELECTRICAL SVCS/SMITHVILLE ANX</v>
      </c>
      <c r="G1137" s="2">
        <v>225</v>
      </c>
      <c r="H1137" t="str">
        <f>"ELECTRICAL SVCS/SMITHVILLE ANX"</f>
        <v>ELECTRICAL SVCS/SMITHVILLE ANX</v>
      </c>
    </row>
    <row r="1138" spans="1:8" x14ac:dyDescent="0.25">
      <c r="E1138" t="str">
        <f>"2008360"</f>
        <v>2008360</v>
      </c>
      <c r="F1138" t="str">
        <f>"ELECTRICAL SVCS/SMITHVILLE ANX"</f>
        <v>ELECTRICAL SVCS/SMITHVILLE ANX</v>
      </c>
      <c r="G1138" s="2">
        <v>150</v>
      </c>
      <c r="H1138" t="str">
        <f>"ELECTRICAL SVCS/SMITHVILLE ANX"</f>
        <v>ELECTRICAL SVCS/SMITHVILLE ANX</v>
      </c>
    </row>
    <row r="1139" spans="1:8" x14ac:dyDescent="0.25">
      <c r="E1139" t="str">
        <f>"2008361"</f>
        <v>2008361</v>
      </c>
      <c r="F1139" t="str">
        <f>"ELECTRIC SERVICES-GRADY TUCK"</f>
        <v>ELECTRIC SERVICES-GRADY TUCK</v>
      </c>
      <c r="G1139" s="2">
        <v>935</v>
      </c>
      <c r="H1139" t="str">
        <f>"ELECTRIC SERVICES-GRADY TUCK"</f>
        <v>ELECTRIC SERVICES-GRADY TUCK</v>
      </c>
    </row>
    <row r="1140" spans="1:8" x14ac:dyDescent="0.25">
      <c r="A1140" t="s">
        <v>406</v>
      </c>
      <c r="B1140">
        <v>79736</v>
      </c>
      <c r="C1140" s="3">
        <v>240</v>
      </c>
      <c r="D1140" s="1">
        <v>43430</v>
      </c>
      <c r="E1140" t="str">
        <f>"PWS538"</f>
        <v>PWS538</v>
      </c>
      <c r="F1140" t="str">
        <f>"INV PWS538"</f>
        <v>INV PWS538</v>
      </c>
      <c r="G1140" s="2">
        <v>240</v>
      </c>
      <c r="H1140" t="str">
        <f>"INV PWS538"</f>
        <v>INV PWS538</v>
      </c>
    </row>
    <row r="1141" spans="1:8" x14ac:dyDescent="0.25">
      <c r="A1141" t="s">
        <v>407</v>
      </c>
      <c r="B1141">
        <v>79545</v>
      </c>
      <c r="C1141" s="3">
        <v>3834.1</v>
      </c>
      <c r="D1141" s="1">
        <v>43417</v>
      </c>
      <c r="E1141" t="str">
        <f>"201811085011"</f>
        <v>201811085011</v>
      </c>
      <c r="F1141" t="str">
        <f>"ACCT#0200140783"</f>
        <v>ACCT#0200140783</v>
      </c>
      <c r="G1141" s="2">
        <v>3244.83</v>
      </c>
      <c r="H1141" t="str">
        <f>"ACCT#0200140783"</f>
        <v>ACCT#0200140783</v>
      </c>
    </row>
    <row r="1142" spans="1:8" x14ac:dyDescent="0.25">
      <c r="E1142" t="str">
        <f>""</f>
        <v/>
      </c>
      <c r="F1142" t="str">
        <f>""</f>
        <v/>
      </c>
      <c r="H1142" t="str">
        <f>"ACCT#0200140783"</f>
        <v>ACCT#0200140783</v>
      </c>
    </row>
    <row r="1143" spans="1:8" x14ac:dyDescent="0.25">
      <c r="E1143" t="str">
        <f>""</f>
        <v/>
      </c>
      <c r="F1143" t="str">
        <f>""</f>
        <v/>
      </c>
      <c r="H1143" t="str">
        <f>"ACCT#0200140783"</f>
        <v>ACCT#0200140783</v>
      </c>
    </row>
    <row r="1144" spans="1:8" x14ac:dyDescent="0.25">
      <c r="E1144" t="str">
        <f>"201811085012"</f>
        <v>201811085012</v>
      </c>
      <c r="F1144" t="str">
        <f>"ACCT#0200140783"</f>
        <v>ACCT#0200140783</v>
      </c>
      <c r="G1144" s="2">
        <v>589.27</v>
      </c>
      <c r="H1144" t="str">
        <f>"ACCT#0200140783"</f>
        <v>ACCT#0200140783</v>
      </c>
    </row>
    <row r="1145" spans="1:8" x14ac:dyDescent="0.25">
      <c r="A1145" t="s">
        <v>408</v>
      </c>
      <c r="B1145">
        <v>79737</v>
      </c>
      <c r="C1145" s="3">
        <v>9000</v>
      </c>
      <c r="D1145" s="1">
        <v>43430</v>
      </c>
      <c r="E1145" t="str">
        <f>"394980"</f>
        <v>394980</v>
      </c>
      <c r="F1145" t="str">
        <f>"CLIENT#20442/INTERIM BILLING"</f>
        <v>CLIENT#20442/INTERIM BILLING</v>
      </c>
      <c r="G1145" s="2">
        <v>9000</v>
      </c>
      <c r="H1145" t="str">
        <f>"CLIENT#20442/INTERIM BILLING"</f>
        <v>CLIENT#20442/INTERIM BILLING</v>
      </c>
    </row>
    <row r="1146" spans="1:8" x14ac:dyDescent="0.25">
      <c r="A1146" t="s">
        <v>409</v>
      </c>
      <c r="B1146">
        <v>999999</v>
      </c>
      <c r="C1146" s="3">
        <v>2276</v>
      </c>
      <c r="D1146" s="1">
        <v>43418</v>
      </c>
      <c r="E1146" t="str">
        <f>"201810304701"</f>
        <v>201810304701</v>
      </c>
      <c r="F1146" t="str">
        <f>"56339"</f>
        <v>56339</v>
      </c>
      <c r="G1146" s="2">
        <v>250</v>
      </c>
      <c r="H1146" t="str">
        <f>"56339"</f>
        <v>56339</v>
      </c>
    </row>
    <row r="1147" spans="1:8" x14ac:dyDescent="0.25">
      <c r="E1147" t="str">
        <f>"201810304736"</f>
        <v>201810304736</v>
      </c>
      <c r="F1147" t="str">
        <f>"17-18493"</f>
        <v>17-18493</v>
      </c>
      <c r="G1147" s="2">
        <v>190</v>
      </c>
      <c r="H1147" t="str">
        <f>"17-18493"</f>
        <v>17-18493</v>
      </c>
    </row>
    <row r="1148" spans="1:8" x14ac:dyDescent="0.25">
      <c r="E1148" t="str">
        <f>"201810304737"</f>
        <v>201810304737</v>
      </c>
      <c r="F1148" t="str">
        <f>"18-18992"</f>
        <v>18-18992</v>
      </c>
      <c r="G1148" s="2">
        <v>363</v>
      </c>
      <c r="H1148" t="str">
        <f>"18-18992"</f>
        <v>18-18992</v>
      </c>
    </row>
    <row r="1149" spans="1:8" x14ac:dyDescent="0.25">
      <c r="E1149" t="str">
        <f>"201810304738"</f>
        <v>201810304738</v>
      </c>
      <c r="F1149" t="str">
        <f>"18-18908"</f>
        <v>18-18908</v>
      </c>
      <c r="G1149" s="2">
        <v>75</v>
      </c>
      <c r="H1149" t="str">
        <f>"18-18908"</f>
        <v>18-18908</v>
      </c>
    </row>
    <row r="1150" spans="1:8" x14ac:dyDescent="0.25">
      <c r="E1150" t="str">
        <f>"201810304744"</f>
        <v>201810304744</v>
      </c>
      <c r="F1150" t="str">
        <f>"J3113"</f>
        <v>J3113</v>
      </c>
      <c r="G1150" s="2">
        <v>100</v>
      </c>
      <c r="H1150" t="str">
        <f>"J3113"</f>
        <v>J3113</v>
      </c>
    </row>
    <row r="1151" spans="1:8" x14ac:dyDescent="0.25">
      <c r="E1151" t="str">
        <f>"201811024814"</f>
        <v>201811024814</v>
      </c>
      <c r="F1151" t="str">
        <f>"17-18576"</f>
        <v>17-18576</v>
      </c>
      <c r="G1151" s="2">
        <v>280</v>
      </c>
      <c r="H1151" t="str">
        <f>"17-18576"</f>
        <v>17-18576</v>
      </c>
    </row>
    <row r="1152" spans="1:8" x14ac:dyDescent="0.25">
      <c r="E1152" t="str">
        <f>"201811024815"</f>
        <v>201811024815</v>
      </c>
      <c r="F1152" t="str">
        <f>"G-273"</f>
        <v>G-273</v>
      </c>
      <c r="G1152" s="2">
        <v>668</v>
      </c>
      <c r="H1152" t="str">
        <f>"G-273"</f>
        <v>G-273</v>
      </c>
    </row>
    <row r="1153" spans="1:9" x14ac:dyDescent="0.25">
      <c r="E1153" t="str">
        <f>"201811064894"</f>
        <v>201811064894</v>
      </c>
      <c r="F1153" t="str">
        <f>"J-3113"</f>
        <v>J-3113</v>
      </c>
      <c r="G1153" s="2">
        <v>350</v>
      </c>
      <c r="H1153" t="str">
        <f>"J-3113"</f>
        <v>J-3113</v>
      </c>
    </row>
    <row r="1154" spans="1:9" x14ac:dyDescent="0.25">
      <c r="A1154" t="s">
        <v>409</v>
      </c>
      <c r="B1154">
        <v>999999</v>
      </c>
      <c r="C1154" s="3">
        <v>2154</v>
      </c>
      <c r="D1154" s="1">
        <v>43431</v>
      </c>
      <c r="E1154" t="str">
        <f>"201811145082"</f>
        <v>201811145082</v>
      </c>
      <c r="F1154" t="str">
        <f>"18-18908"</f>
        <v>18-18908</v>
      </c>
      <c r="G1154" s="2">
        <v>250</v>
      </c>
      <c r="H1154" t="str">
        <f>"18-18908"</f>
        <v>18-18908</v>
      </c>
    </row>
    <row r="1155" spans="1:9" x14ac:dyDescent="0.25">
      <c r="E1155" t="str">
        <f>"201811145088"</f>
        <v>201811145088</v>
      </c>
      <c r="F1155" t="str">
        <f>"18-19239"</f>
        <v>18-19239</v>
      </c>
      <c r="G1155" s="2">
        <v>843</v>
      </c>
      <c r="H1155" t="str">
        <f>"18-19239"</f>
        <v>18-19239</v>
      </c>
    </row>
    <row r="1156" spans="1:9" x14ac:dyDescent="0.25">
      <c r="E1156" t="str">
        <f>"201811155199"</f>
        <v>201811155199</v>
      </c>
      <c r="F1156" t="str">
        <f>"56227"</f>
        <v>56227</v>
      </c>
      <c r="G1156" s="2">
        <v>250</v>
      </c>
      <c r="H1156" t="str">
        <f>"56227"</f>
        <v>56227</v>
      </c>
    </row>
    <row r="1157" spans="1:9" x14ac:dyDescent="0.25">
      <c r="E1157" t="str">
        <f>"201811155214"</f>
        <v>201811155214</v>
      </c>
      <c r="F1157" t="str">
        <f>"17-18635"</f>
        <v>17-18635</v>
      </c>
      <c r="G1157" s="2">
        <v>428</v>
      </c>
      <c r="H1157" t="str">
        <f>"17-18635"</f>
        <v>17-18635</v>
      </c>
    </row>
    <row r="1158" spans="1:9" x14ac:dyDescent="0.25">
      <c r="E1158" t="str">
        <f>"201811155215"</f>
        <v>201811155215</v>
      </c>
      <c r="F1158" t="str">
        <f>"17-18617"</f>
        <v>17-18617</v>
      </c>
      <c r="G1158" s="2">
        <v>383</v>
      </c>
      <c r="H1158" t="str">
        <f>"17-18617"</f>
        <v>17-18617</v>
      </c>
    </row>
    <row r="1159" spans="1:9" x14ac:dyDescent="0.25">
      <c r="A1159" t="s">
        <v>410</v>
      </c>
      <c r="B1159">
        <v>79738</v>
      </c>
      <c r="C1159" s="3">
        <v>560</v>
      </c>
      <c r="D1159" s="1">
        <v>43430</v>
      </c>
      <c r="E1159" t="str">
        <f>"1084526"</f>
        <v>1084526</v>
      </c>
      <c r="F1159" t="str">
        <f>"2012 FRHT/PCT#4"</f>
        <v>2012 FRHT/PCT#4</v>
      </c>
      <c r="G1159" s="2">
        <v>560</v>
      </c>
      <c r="H1159" t="str">
        <f>"2012 FRHT/PCT#4"</f>
        <v>2012 FRHT/PCT#4</v>
      </c>
    </row>
    <row r="1160" spans="1:9" x14ac:dyDescent="0.25">
      <c r="A1160" t="s">
        <v>411</v>
      </c>
      <c r="B1160">
        <v>79546</v>
      </c>
      <c r="C1160" s="3">
        <v>1970</v>
      </c>
      <c r="D1160" s="1">
        <v>43417</v>
      </c>
      <c r="E1160" t="str">
        <f>"BCSD00781518"</f>
        <v>BCSD00781518</v>
      </c>
      <c r="F1160" t="str">
        <f>"TCLEDDS RENEWAL/CUSTID:BCSD007"</f>
        <v>TCLEDDS RENEWAL/CUSTID:BCSD007</v>
      </c>
      <c r="G1160" s="2">
        <v>1970</v>
      </c>
      <c r="H1160" t="str">
        <f>"TCLEDDS RENEWAL/CUSTID:BCSD007"</f>
        <v>TCLEDDS RENEWAL/CUSTID:BCSD007</v>
      </c>
    </row>
    <row r="1161" spans="1:9" x14ac:dyDescent="0.25">
      <c r="A1161" t="s">
        <v>412</v>
      </c>
      <c r="B1161">
        <v>79739</v>
      </c>
      <c r="C1161" s="3">
        <v>30</v>
      </c>
      <c r="D1161" s="1">
        <v>43430</v>
      </c>
      <c r="E1161" t="s">
        <v>263</v>
      </c>
      <c r="F1161" t="s">
        <v>413</v>
      </c>
      <c r="G1161" s="2" t="str">
        <f>"RESTITUTION-C. FERRIS"</f>
        <v>RESTITUTION-C. FERRIS</v>
      </c>
      <c r="H1161" t="str">
        <f>"210-0000"</f>
        <v>210-0000</v>
      </c>
      <c r="I1161" t="str">
        <f>""</f>
        <v/>
      </c>
    </row>
    <row r="1162" spans="1:9" x14ac:dyDescent="0.25">
      <c r="A1162" t="s">
        <v>414</v>
      </c>
      <c r="B1162">
        <v>79740</v>
      </c>
      <c r="C1162" s="3">
        <v>50</v>
      </c>
      <c r="D1162" s="1">
        <v>43430</v>
      </c>
      <c r="E1162" t="s">
        <v>415</v>
      </c>
      <c r="F1162" t="s">
        <v>416</v>
      </c>
      <c r="G1162" s="2" t="str">
        <f>"RESTITUTION-J. NASH"</f>
        <v>RESTITUTION-J. NASH</v>
      </c>
      <c r="H1162" t="str">
        <f>"210-0000"</f>
        <v>210-0000</v>
      </c>
      <c r="I1162" t="str">
        <f>""</f>
        <v/>
      </c>
    </row>
    <row r="1163" spans="1:9" x14ac:dyDescent="0.25">
      <c r="A1163" t="s">
        <v>417</v>
      </c>
      <c r="B1163">
        <v>79547</v>
      </c>
      <c r="C1163" s="3">
        <v>3875</v>
      </c>
      <c r="D1163" s="1">
        <v>43417</v>
      </c>
      <c r="E1163" t="str">
        <f>"2018096"</f>
        <v>2018096</v>
      </c>
      <c r="F1163" t="str">
        <f>"TRANSPORT-R C  BAKER"</f>
        <v>TRANSPORT-R C  BAKER</v>
      </c>
      <c r="G1163" s="2">
        <v>495</v>
      </c>
      <c r="H1163" t="str">
        <f>"TRANSPORT-R C  BAKER"</f>
        <v>TRANSPORT-R C  BAKER</v>
      </c>
    </row>
    <row r="1164" spans="1:9" x14ac:dyDescent="0.25">
      <c r="E1164" t="str">
        <f>"2018098"</f>
        <v>2018098</v>
      </c>
      <c r="F1164" t="str">
        <f>"TRANSPORT-J.V. PEELER STRAIGHT"</f>
        <v>TRANSPORT-J.V. PEELER STRAIGHT</v>
      </c>
      <c r="G1164" s="2">
        <v>695</v>
      </c>
      <c r="H1164" t="str">
        <f>"TRANSPORT-J.V. PEELER STRAIGHT"</f>
        <v>TRANSPORT-J.V. PEELER STRAIGHT</v>
      </c>
    </row>
    <row r="1165" spans="1:9" x14ac:dyDescent="0.25">
      <c r="E1165" t="str">
        <f>"2018100"</f>
        <v>2018100</v>
      </c>
      <c r="F1165" t="str">
        <f>"CREMATION-R.C. BAKER"</f>
        <v>CREMATION-R.C. BAKER</v>
      </c>
      <c r="G1165" s="2">
        <v>695</v>
      </c>
      <c r="H1165" t="str">
        <f>"CREMATION-R.C. BAKER"</f>
        <v>CREMATION-R.C. BAKER</v>
      </c>
    </row>
    <row r="1166" spans="1:9" x14ac:dyDescent="0.25">
      <c r="E1166" t="str">
        <f>"2018106"</f>
        <v>2018106</v>
      </c>
      <c r="F1166" t="str">
        <f>"TRANSPORT-UNIDENTIFIED BODY"</f>
        <v>TRANSPORT-UNIDENTIFIED BODY</v>
      </c>
      <c r="G1166" s="2">
        <v>495</v>
      </c>
      <c r="H1166" t="str">
        <f>"TRANSPORT-UNIDENTIFIED BODY"</f>
        <v>TRANSPORT-UNIDENTIFIED BODY</v>
      </c>
    </row>
    <row r="1167" spans="1:9" x14ac:dyDescent="0.25">
      <c r="E1167" t="str">
        <f>"2018111"</f>
        <v>2018111</v>
      </c>
      <c r="F1167" t="str">
        <f>"TRANSPORT-A. KHAZAAL"</f>
        <v>TRANSPORT-A. KHAZAAL</v>
      </c>
      <c r="G1167" s="2">
        <v>495</v>
      </c>
      <c r="H1167" t="str">
        <f>"TRANSPORT-A. KHAZAAL"</f>
        <v>TRANSPORT-A. KHAZAAL</v>
      </c>
    </row>
    <row r="1168" spans="1:9" x14ac:dyDescent="0.25">
      <c r="E1168" t="str">
        <f>"2018115"</f>
        <v>2018115</v>
      </c>
      <c r="F1168" t="str">
        <f>"TRANSPORT-G.T. JONES"</f>
        <v>TRANSPORT-G.T. JONES</v>
      </c>
      <c r="G1168" s="2">
        <v>1000</v>
      </c>
      <c r="H1168" t="str">
        <f>"TRANSPORT-G.T. JONES"</f>
        <v>TRANSPORT-G.T. JONES</v>
      </c>
    </row>
    <row r="1169" spans="1:8" x14ac:dyDescent="0.25">
      <c r="A1169" t="s">
        <v>418</v>
      </c>
      <c r="B1169">
        <v>79548</v>
      </c>
      <c r="C1169" s="3">
        <v>179.23</v>
      </c>
      <c r="D1169" s="1">
        <v>43417</v>
      </c>
      <c r="E1169" t="str">
        <f>"201811014791"</f>
        <v>201811014791</v>
      </c>
      <c r="F1169" t="str">
        <f>"REIMBURSE MILEAGE/MEAL"</f>
        <v>REIMBURSE MILEAGE/MEAL</v>
      </c>
      <c r="G1169" s="2">
        <v>179.23</v>
      </c>
      <c r="H1169" t="str">
        <f>"REIMBURSE MILEAGE/MEAL"</f>
        <v>REIMBURSE MILEAGE/MEAL</v>
      </c>
    </row>
    <row r="1170" spans="1:8" x14ac:dyDescent="0.25">
      <c r="A1170" t="s">
        <v>419</v>
      </c>
      <c r="B1170">
        <v>79741</v>
      </c>
      <c r="C1170" s="3">
        <v>8.3699999999999992</v>
      </c>
      <c r="D1170" s="1">
        <v>43430</v>
      </c>
      <c r="E1170" t="str">
        <f>"201811155236"</f>
        <v>201811155236</v>
      </c>
      <c r="F1170" t="str">
        <f>"INDIGENT HEALTH"</f>
        <v>INDIGENT HEALTH</v>
      </c>
      <c r="G1170" s="2">
        <v>8.3699999999999992</v>
      </c>
      <c r="H1170" t="str">
        <f>"INDIGENT HEALTH"</f>
        <v>INDIGENT HEALTH</v>
      </c>
    </row>
    <row r="1171" spans="1:8" x14ac:dyDescent="0.25">
      <c r="A1171" t="s">
        <v>420</v>
      </c>
      <c r="B1171">
        <v>999999</v>
      </c>
      <c r="C1171" s="3">
        <v>271.95</v>
      </c>
      <c r="D1171" s="1">
        <v>43418</v>
      </c>
      <c r="E1171" t="str">
        <f>"007906"</f>
        <v>007906</v>
      </c>
      <c r="F1171" t="str">
        <f>"REPLACE STROBE LIGHTS/LED/P3"</f>
        <v>REPLACE STROBE LIGHTS/LED/P3</v>
      </c>
      <c r="G1171" s="2">
        <v>271.95</v>
      </c>
      <c r="H1171" t="str">
        <f>"REPLACE STROBE LIGHTS/LED/P3"</f>
        <v>REPLACE STROBE LIGHTS/LED/P3</v>
      </c>
    </row>
    <row r="1172" spans="1:8" x14ac:dyDescent="0.25">
      <c r="A1172" t="s">
        <v>421</v>
      </c>
      <c r="B1172">
        <v>999999</v>
      </c>
      <c r="C1172" s="3">
        <v>155.56</v>
      </c>
      <c r="D1172" s="1">
        <v>43431</v>
      </c>
      <c r="E1172" t="str">
        <f>"18K0121569859"</f>
        <v>18K0121569859</v>
      </c>
      <c r="F1172" t="str">
        <f>"ACCT#0121569859/JP#4"</f>
        <v>ACCT#0121569859/JP#4</v>
      </c>
      <c r="G1172" s="2">
        <v>32.93</v>
      </c>
      <c r="H1172" t="str">
        <f>"ACCT#0121569859/JP#4"</f>
        <v>ACCT#0121569859/JP#4</v>
      </c>
    </row>
    <row r="1173" spans="1:8" x14ac:dyDescent="0.25">
      <c r="E1173" t="str">
        <f>"18K0121587851"</f>
        <v>18K0121587851</v>
      </c>
      <c r="F1173" t="str">
        <f>"ACCT#0121587851/PCT#4"</f>
        <v>ACCT#0121587851/PCT#4</v>
      </c>
      <c r="G1173" s="2">
        <v>122.63</v>
      </c>
      <c r="H1173" t="str">
        <f>"ACCT#0121587851/PCT#4"</f>
        <v>ACCT#0121587851/PCT#4</v>
      </c>
    </row>
    <row r="1174" spans="1:8" x14ac:dyDescent="0.25">
      <c r="A1174" t="s">
        <v>422</v>
      </c>
      <c r="B1174">
        <v>79381</v>
      </c>
      <c r="C1174" s="3">
        <v>800.68</v>
      </c>
      <c r="D1174" s="1">
        <v>43411</v>
      </c>
      <c r="E1174" t="str">
        <f>"0843-001512024"</f>
        <v>0843-001512024</v>
      </c>
      <c r="F1174" t="str">
        <f>"ACCT#3-0843-1269216/10262018"</f>
        <v>ACCT#3-0843-1269216/10262018</v>
      </c>
      <c r="G1174" s="2">
        <v>800.68</v>
      </c>
      <c r="H1174" t="str">
        <f>"ACCT#3-0843-1269216/10262018"</f>
        <v>ACCT#3-0843-1269216/10262018</v>
      </c>
    </row>
    <row r="1175" spans="1:8" x14ac:dyDescent="0.25">
      <c r="A1175" t="s">
        <v>422</v>
      </c>
      <c r="B1175">
        <v>79639</v>
      </c>
      <c r="C1175" s="3">
        <v>2235.84</v>
      </c>
      <c r="D1175" s="1">
        <v>43418</v>
      </c>
      <c r="E1175" t="str">
        <f>"0843-001513191"</f>
        <v>0843-001513191</v>
      </c>
      <c r="F1175" t="str">
        <f>"ACCT#3-0843-0017094/10312018"</f>
        <v>ACCT#3-0843-0017094/10312018</v>
      </c>
      <c r="G1175" s="2">
        <v>2235.84</v>
      </c>
      <c r="H1175" t="str">
        <f>"ACCT#3-0843-0017094/10312018"</f>
        <v>ACCT#3-0843-0017094/10312018</v>
      </c>
    </row>
    <row r="1176" spans="1:8" x14ac:dyDescent="0.25">
      <c r="A1176" t="s">
        <v>423</v>
      </c>
      <c r="B1176">
        <v>79549</v>
      </c>
      <c r="C1176" s="3">
        <v>1347.48</v>
      </c>
      <c r="D1176" s="1">
        <v>43417</v>
      </c>
      <c r="E1176" t="str">
        <f>"0000010939"</f>
        <v>0000010939</v>
      </c>
      <c r="F1176" t="str">
        <f>"WK ORD#0000011961/PCT#4"</f>
        <v>WK ORD#0000011961/PCT#4</v>
      </c>
      <c r="G1176" s="2">
        <v>1347.48</v>
      </c>
      <c r="H1176" t="str">
        <f>"WK ORD#0000011961/PCT#4"</f>
        <v>WK ORD#0000011961/PCT#4</v>
      </c>
    </row>
    <row r="1177" spans="1:8" x14ac:dyDescent="0.25">
      <c r="A1177" t="s">
        <v>424</v>
      </c>
      <c r="B1177">
        <v>79550</v>
      </c>
      <c r="C1177" s="3">
        <v>2000</v>
      </c>
      <c r="D1177" s="1">
        <v>43417</v>
      </c>
      <c r="E1177" t="str">
        <f>"201811074941"</f>
        <v>201811074941</v>
      </c>
      <c r="F1177" t="str">
        <f>"ACCT 36251536"</f>
        <v>ACCT 36251536</v>
      </c>
      <c r="G1177" s="2">
        <v>2000</v>
      </c>
      <c r="H1177" t="str">
        <f>"ACCT 36251536"</f>
        <v>ACCT 36251536</v>
      </c>
    </row>
    <row r="1178" spans="1:8" x14ac:dyDescent="0.25">
      <c r="A1178" t="s">
        <v>424</v>
      </c>
      <c r="B1178">
        <v>79551</v>
      </c>
      <c r="C1178" s="3">
        <v>9000</v>
      </c>
      <c r="D1178" s="1">
        <v>43417</v>
      </c>
      <c r="E1178" t="str">
        <f>"201810304693"</f>
        <v>201810304693</v>
      </c>
      <c r="F1178" t="str">
        <f>"ACCT#34549337"</f>
        <v>ACCT#34549337</v>
      </c>
      <c r="G1178" s="2">
        <v>9000</v>
      </c>
      <c r="H1178" t="str">
        <f>"ACCT#34549337"</f>
        <v>ACCT#34549337</v>
      </c>
    </row>
    <row r="1179" spans="1:8" x14ac:dyDescent="0.25">
      <c r="A1179" t="s">
        <v>425</v>
      </c>
      <c r="B1179">
        <v>999999</v>
      </c>
      <c r="C1179" s="3">
        <v>500</v>
      </c>
      <c r="D1179" s="1">
        <v>43418</v>
      </c>
      <c r="E1179" t="str">
        <f>"201811024820"</f>
        <v>201811024820</v>
      </c>
      <c r="F1179" t="str">
        <f>"55 404  55 940  55 941"</f>
        <v>55 404  55 940  55 941</v>
      </c>
      <c r="G1179" s="2">
        <v>500</v>
      </c>
      <c r="H1179" t="str">
        <f>"55 404  55 940  55 941"</f>
        <v>55 404  55 940  55 941</v>
      </c>
    </row>
    <row r="1180" spans="1:8" x14ac:dyDescent="0.25">
      <c r="A1180" t="s">
        <v>425</v>
      </c>
      <c r="B1180">
        <v>999999</v>
      </c>
      <c r="C1180" s="3">
        <v>1000</v>
      </c>
      <c r="D1180" s="1">
        <v>43431</v>
      </c>
      <c r="E1180" t="str">
        <f>"201811145100"</f>
        <v>201811145100</v>
      </c>
      <c r="F1180" t="str">
        <f>"02-0819-2"</f>
        <v>02-0819-2</v>
      </c>
      <c r="G1180" s="2">
        <v>250</v>
      </c>
      <c r="H1180" t="str">
        <f>"02-0819-2"</f>
        <v>02-0819-2</v>
      </c>
    </row>
    <row r="1181" spans="1:8" x14ac:dyDescent="0.25">
      <c r="E1181" t="str">
        <f>"201811145101"</f>
        <v>201811145101</v>
      </c>
      <c r="F1181" t="str">
        <f>"312172017A   55 898"</f>
        <v>312172017A   55 898</v>
      </c>
      <c r="G1181" s="2">
        <v>250</v>
      </c>
      <c r="H1181" t="str">
        <f>"312172017A   55 898"</f>
        <v>312172017A   55 898</v>
      </c>
    </row>
    <row r="1182" spans="1:8" x14ac:dyDescent="0.25">
      <c r="E1182" t="str">
        <f>"201811145102"</f>
        <v>201811145102</v>
      </c>
      <c r="F1182" t="str">
        <f>"02-0608-1"</f>
        <v>02-0608-1</v>
      </c>
      <c r="G1182" s="2">
        <v>250</v>
      </c>
      <c r="H1182" t="str">
        <f>"02-0608-1"</f>
        <v>02-0608-1</v>
      </c>
    </row>
    <row r="1183" spans="1:8" x14ac:dyDescent="0.25">
      <c r="E1183" t="str">
        <f>"201811145103"</f>
        <v>201811145103</v>
      </c>
      <c r="F1183" t="str">
        <f>"405108-1"</f>
        <v>405108-1</v>
      </c>
      <c r="G1183" s="2">
        <v>250</v>
      </c>
      <c r="H1183" t="str">
        <f>"405108-1"</f>
        <v>405108-1</v>
      </c>
    </row>
    <row r="1184" spans="1:8" x14ac:dyDescent="0.25">
      <c r="A1184" t="s">
        <v>426</v>
      </c>
      <c r="B1184">
        <v>79552</v>
      </c>
      <c r="C1184" s="3">
        <v>410.59</v>
      </c>
      <c r="D1184" s="1">
        <v>43417</v>
      </c>
      <c r="E1184" t="str">
        <f>"81215  81218"</f>
        <v>81215  81218</v>
      </c>
      <c r="F1184" t="str">
        <f>"ACCT#3510/PCT#4"</f>
        <v>ACCT#3510/PCT#4</v>
      </c>
      <c r="G1184" s="2">
        <v>410.59</v>
      </c>
      <c r="H1184" t="str">
        <f>"ACCT#3510/PCT#4"</f>
        <v>ACCT#3510/PCT#4</v>
      </c>
    </row>
    <row r="1185" spans="1:8" x14ac:dyDescent="0.25">
      <c r="A1185" t="s">
        <v>427</v>
      </c>
      <c r="B1185">
        <v>79553</v>
      </c>
      <c r="C1185" s="3">
        <v>1700</v>
      </c>
      <c r="D1185" s="1">
        <v>43417</v>
      </c>
      <c r="E1185" t="str">
        <f>"201810304753"</f>
        <v>201810304753</v>
      </c>
      <c r="F1185" t="str">
        <f>"16 019"</f>
        <v>16 019</v>
      </c>
      <c r="G1185" s="2">
        <v>400</v>
      </c>
      <c r="H1185" t="str">
        <f>"16 019"</f>
        <v>16 019</v>
      </c>
    </row>
    <row r="1186" spans="1:8" x14ac:dyDescent="0.25">
      <c r="E1186" t="str">
        <f>"201810304754"</f>
        <v>201810304754</v>
      </c>
      <c r="F1186" t="str">
        <f>"16 219"</f>
        <v>16 219</v>
      </c>
      <c r="G1186" s="2">
        <v>300</v>
      </c>
      <c r="H1186" t="str">
        <f>"16 219"</f>
        <v>16 219</v>
      </c>
    </row>
    <row r="1187" spans="1:8" x14ac:dyDescent="0.25">
      <c r="E1187" t="str">
        <f>"201810304755"</f>
        <v>201810304755</v>
      </c>
      <c r="F1187" t="str">
        <f>"16 492"</f>
        <v>16 492</v>
      </c>
      <c r="G1187" s="2">
        <v>1000</v>
      </c>
      <c r="H1187" t="str">
        <f>"16 492"</f>
        <v>16 492</v>
      </c>
    </row>
    <row r="1188" spans="1:8" x14ac:dyDescent="0.25">
      <c r="A1188" t="s">
        <v>428</v>
      </c>
      <c r="B1188">
        <v>999999</v>
      </c>
      <c r="C1188" s="3">
        <v>3567.32</v>
      </c>
      <c r="D1188" s="1">
        <v>43418</v>
      </c>
      <c r="E1188" t="str">
        <f>" 5054847597"</f>
        <v xml:space="preserve"> 5054847597</v>
      </c>
      <c r="F1188" t="str">
        <f>"CONTRACT#4746243"</f>
        <v>CONTRACT#4746243</v>
      </c>
      <c r="G1188" s="2">
        <v>3090.99</v>
      </c>
      <c r="H1188" t="str">
        <f t="shared" ref="H1188:H1211" si="15">"CONTRACT#4746243"</f>
        <v>CONTRACT#4746243</v>
      </c>
    </row>
    <row r="1189" spans="1:8" x14ac:dyDescent="0.25">
      <c r="E1189" t="str">
        <f>""</f>
        <v/>
      </c>
      <c r="F1189" t="str">
        <f>""</f>
        <v/>
      </c>
      <c r="H1189" t="str">
        <f t="shared" si="15"/>
        <v>CONTRACT#4746243</v>
      </c>
    </row>
    <row r="1190" spans="1:8" x14ac:dyDescent="0.25">
      <c r="E1190" t="str">
        <f>""</f>
        <v/>
      </c>
      <c r="F1190" t="str">
        <f>""</f>
        <v/>
      </c>
      <c r="H1190" t="str">
        <f t="shared" si="15"/>
        <v>CONTRACT#4746243</v>
      </c>
    </row>
    <row r="1191" spans="1:8" x14ac:dyDescent="0.25">
      <c r="E1191" t="str">
        <f>""</f>
        <v/>
      </c>
      <c r="F1191" t="str">
        <f>""</f>
        <v/>
      </c>
      <c r="H1191" t="str">
        <f t="shared" si="15"/>
        <v>CONTRACT#4746243</v>
      </c>
    </row>
    <row r="1192" spans="1:8" x14ac:dyDescent="0.25">
      <c r="E1192" t="str">
        <f>""</f>
        <v/>
      </c>
      <c r="F1192" t="str">
        <f>""</f>
        <v/>
      </c>
      <c r="H1192" t="str">
        <f t="shared" si="15"/>
        <v>CONTRACT#4746243</v>
      </c>
    </row>
    <row r="1193" spans="1:8" x14ac:dyDescent="0.25">
      <c r="E1193" t="str">
        <f>""</f>
        <v/>
      </c>
      <c r="F1193" t="str">
        <f>""</f>
        <v/>
      </c>
      <c r="H1193" t="str">
        <f t="shared" si="15"/>
        <v>CONTRACT#4746243</v>
      </c>
    </row>
    <row r="1194" spans="1:8" x14ac:dyDescent="0.25">
      <c r="E1194" t="str">
        <f>""</f>
        <v/>
      </c>
      <c r="F1194" t="str">
        <f>""</f>
        <v/>
      </c>
      <c r="H1194" t="str">
        <f t="shared" si="15"/>
        <v>CONTRACT#4746243</v>
      </c>
    </row>
    <row r="1195" spans="1:8" x14ac:dyDescent="0.25">
      <c r="E1195" t="str">
        <f>""</f>
        <v/>
      </c>
      <c r="F1195" t="str">
        <f>""</f>
        <v/>
      </c>
      <c r="H1195" t="str">
        <f t="shared" si="15"/>
        <v>CONTRACT#4746243</v>
      </c>
    </row>
    <row r="1196" spans="1:8" x14ac:dyDescent="0.25">
      <c r="E1196" t="str">
        <f>""</f>
        <v/>
      </c>
      <c r="F1196" t="str">
        <f>""</f>
        <v/>
      </c>
      <c r="H1196" t="str">
        <f t="shared" si="15"/>
        <v>CONTRACT#4746243</v>
      </c>
    </row>
    <row r="1197" spans="1:8" x14ac:dyDescent="0.25">
      <c r="E1197" t="str">
        <f>""</f>
        <v/>
      </c>
      <c r="F1197" t="str">
        <f>""</f>
        <v/>
      </c>
      <c r="H1197" t="str">
        <f t="shared" si="15"/>
        <v>CONTRACT#4746243</v>
      </c>
    </row>
    <row r="1198" spans="1:8" x14ac:dyDescent="0.25">
      <c r="E1198" t="str">
        <f>""</f>
        <v/>
      </c>
      <c r="F1198" t="str">
        <f>""</f>
        <v/>
      </c>
      <c r="H1198" t="str">
        <f t="shared" si="15"/>
        <v>CONTRACT#4746243</v>
      </c>
    </row>
    <row r="1199" spans="1:8" x14ac:dyDescent="0.25">
      <c r="E1199" t="str">
        <f>""</f>
        <v/>
      </c>
      <c r="F1199" t="str">
        <f>""</f>
        <v/>
      </c>
      <c r="H1199" t="str">
        <f t="shared" si="15"/>
        <v>CONTRACT#4746243</v>
      </c>
    </row>
    <row r="1200" spans="1:8" x14ac:dyDescent="0.25">
      <c r="E1200" t="str">
        <f>""</f>
        <v/>
      </c>
      <c r="F1200" t="str">
        <f>""</f>
        <v/>
      </c>
      <c r="H1200" t="str">
        <f t="shared" si="15"/>
        <v>CONTRACT#4746243</v>
      </c>
    </row>
    <row r="1201" spans="1:8" x14ac:dyDescent="0.25">
      <c r="E1201" t="str">
        <f>""</f>
        <v/>
      </c>
      <c r="F1201" t="str">
        <f>""</f>
        <v/>
      </c>
      <c r="H1201" t="str">
        <f t="shared" si="15"/>
        <v>CONTRACT#4746243</v>
      </c>
    </row>
    <row r="1202" spans="1:8" x14ac:dyDescent="0.25">
      <c r="E1202" t="str">
        <f>""</f>
        <v/>
      </c>
      <c r="F1202" t="str">
        <f>""</f>
        <v/>
      </c>
      <c r="H1202" t="str">
        <f t="shared" si="15"/>
        <v>CONTRACT#4746243</v>
      </c>
    </row>
    <row r="1203" spans="1:8" x14ac:dyDescent="0.25">
      <c r="E1203" t="str">
        <f>""</f>
        <v/>
      </c>
      <c r="F1203" t="str">
        <f>""</f>
        <v/>
      </c>
      <c r="H1203" t="str">
        <f t="shared" si="15"/>
        <v>CONTRACT#4746243</v>
      </c>
    </row>
    <row r="1204" spans="1:8" x14ac:dyDescent="0.25">
      <c r="E1204" t="str">
        <f>""</f>
        <v/>
      </c>
      <c r="F1204" t="str">
        <f>""</f>
        <v/>
      </c>
      <c r="H1204" t="str">
        <f t="shared" si="15"/>
        <v>CONTRACT#4746243</v>
      </c>
    </row>
    <row r="1205" spans="1:8" x14ac:dyDescent="0.25">
      <c r="E1205" t="str">
        <f>""</f>
        <v/>
      </c>
      <c r="F1205" t="str">
        <f>""</f>
        <v/>
      </c>
      <c r="H1205" t="str">
        <f t="shared" si="15"/>
        <v>CONTRACT#4746243</v>
      </c>
    </row>
    <row r="1206" spans="1:8" x14ac:dyDescent="0.25">
      <c r="E1206" t="str">
        <f>""</f>
        <v/>
      </c>
      <c r="F1206" t="str">
        <f>""</f>
        <v/>
      </c>
      <c r="H1206" t="str">
        <f t="shared" si="15"/>
        <v>CONTRACT#4746243</v>
      </c>
    </row>
    <row r="1207" spans="1:8" x14ac:dyDescent="0.25">
      <c r="E1207" t="str">
        <f>""</f>
        <v/>
      </c>
      <c r="F1207" t="str">
        <f>""</f>
        <v/>
      </c>
      <c r="H1207" t="str">
        <f t="shared" si="15"/>
        <v>CONTRACT#4746243</v>
      </c>
    </row>
    <row r="1208" spans="1:8" x14ac:dyDescent="0.25">
      <c r="E1208" t="str">
        <f>""</f>
        <v/>
      </c>
      <c r="F1208" t="str">
        <f>""</f>
        <v/>
      </c>
      <c r="H1208" t="str">
        <f t="shared" si="15"/>
        <v>CONTRACT#4746243</v>
      </c>
    </row>
    <row r="1209" spans="1:8" x14ac:dyDescent="0.25">
      <c r="E1209" t="str">
        <f>""</f>
        <v/>
      </c>
      <c r="F1209" t="str">
        <f>""</f>
        <v/>
      </c>
      <c r="H1209" t="str">
        <f t="shared" si="15"/>
        <v>CONTRACT#4746243</v>
      </c>
    </row>
    <row r="1210" spans="1:8" x14ac:dyDescent="0.25">
      <c r="E1210" t="str">
        <f>""</f>
        <v/>
      </c>
      <c r="F1210" t="str">
        <f>""</f>
        <v/>
      </c>
      <c r="H1210" t="str">
        <f t="shared" si="15"/>
        <v>CONTRACT#4746243</v>
      </c>
    </row>
    <row r="1211" spans="1:8" x14ac:dyDescent="0.25">
      <c r="E1211" t="str">
        <f>""</f>
        <v/>
      </c>
      <c r="F1211" t="str">
        <f>""</f>
        <v/>
      </c>
      <c r="H1211" t="str">
        <f t="shared" si="15"/>
        <v>CONTRACT#4746243</v>
      </c>
    </row>
    <row r="1212" spans="1:8" x14ac:dyDescent="0.25">
      <c r="E1212" t="str">
        <f>"201811054822"</f>
        <v>201811054822</v>
      </c>
      <c r="F1212" t="str">
        <f>"CONTRACT#4137666/CUST#12847097"</f>
        <v>CONTRACT#4137666/CUST#12847097</v>
      </c>
      <c r="G1212" s="2">
        <v>426</v>
      </c>
      <c r="H1212" t="str">
        <f>"CONTRACT#4137666/CUST#12847097"</f>
        <v>CONTRACT#4137666/CUST#12847097</v>
      </c>
    </row>
    <row r="1213" spans="1:8" x14ac:dyDescent="0.25">
      <c r="E1213" t="str">
        <f>"5054847597"</f>
        <v>5054847597</v>
      </c>
      <c r="F1213" t="str">
        <f>"CONTRACT#4746243"</f>
        <v>CONTRACT#4746243</v>
      </c>
      <c r="G1213" s="2">
        <v>50.33</v>
      </c>
      <c r="H1213" t="str">
        <f>"CONTRACT#4746243"</f>
        <v>CONTRACT#4746243</v>
      </c>
    </row>
    <row r="1214" spans="1:8" x14ac:dyDescent="0.25">
      <c r="A1214" t="s">
        <v>429</v>
      </c>
      <c r="B1214">
        <v>79554</v>
      </c>
      <c r="C1214" s="3">
        <v>7707.68</v>
      </c>
      <c r="D1214" s="1">
        <v>43417</v>
      </c>
      <c r="E1214" t="str">
        <f>"32489213"</f>
        <v>32489213</v>
      </c>
      <c r="F1214" t="str">
        <f>"CUST#2000172616"</f>
        <v>CUST#2000172616</v>
      </c>
      <c r="G1214" s="2">
        <v>7707.68</v>
      </c>
      <c r="H1214" t="str">
        <f t="shared" ref="H1214:H1241" si="16">"CUST#2000172616"</f>
        <v>CUST#2000172616</v>
      </c>
    </row>
    <row r="1215" spans="1:8" x14ac:dyDescent="0.25">
      <c r="E1215" t="str">
        <f>""</f>
        <v/>
      </c>
      <c r="F1215" t="str">
        <f>""</f>
        <v/>
      </c>
      <c r="H1215" t="str">
        <f t="shared" si="16"/>
        <v>CUST#2000172616</v>
      </c>
    </row>
    <row r="1216" spans="1:8" x14ac:dyDescent="0.25">
      <c r="E1216" t="str">
        <f>""</f>
        <v/>
      </c>
      <c r="F1216" t="str">
        <f>""</f>
        <v/>
      </c>
      <c r="H1216" t="str">
        <f t="shared" si="16"/>
        <v>CUST#2000172616</v>
      </c>
    </row>
    <row r="1217" spans="5:8" x14ac:dyDescent="0.25">
      <c r="E1217" t="str">
        <f>""</f>
        <v/>
      </c>
      <c r="F1217" t="str">
        <f>""</f>
        <v/>
      </c>
      <c r="H1217" t="str">
        <f t="shared" si="16"/>
        <v>CUST#2000172616</v>
      </c>
    </row>
    <row r="1218" spans="5:8" x14ac:dyDescent="0.25">
      <c r="E1218" t="str">
        <f>""</f>
        <v/>
      </c>
      <c r="F1218" t="str">
        <f>""</f>
        <v/>
      </c>
      <c r="H1218" t="str">
        <f t="shared" si="16"/>
        <v>CUST#2000172616</v>
      </c>
    </row>
    <row r="1219" spans="5:8" x14ac:dyDescent="0.25">
      <c r="E1219" t="str">
        <f>""</f>
        <v/>
      </c>
      <c r="F1219" t="str">
        <f>""</f>
        <v/>
      </c>
      <c r="H1219" t="str">
        <f t="shared" si="16"/>
        <v>CUST#2000172616</v>
      </c>
    </row>
    <row r="1220" spans="5:8" x14ac:dyDescent="0.25">
      <c r="E1220" t="str">
        <f>""</f>
        <v/>
      </c>
      <c r="F1220" t="str">
        <f>""</f>
        <v/>
      </c>
      <c r="H1220" t="str">
        <f t="shared" si="16"/>
        <v>CUST#2000172616</v>
      </c>
    </row>
    <row r="1221" spans="5:8" x14ac:dyDescent="0.25">
      <c r="E1221" t="str">
        <f>""</f>
        <v/>
      </c>
      <c r="F1221" t="str">
        <f>""</f>
        <v/>
      </c>
      <c r="H1221" t="str">
        <f t="shared" si="16"/>
        <v>CUST#2000172616</v>
      </c>
    </row>
    <row r="1222" spans="5:8" x14ac:dyDescent="0.25">
      <c r="E1222" t="str">
        <f>""</f>
        <v/>
      </c>
      <c r="F1222" t="str">
        <f>""</f>
        <v/>
      </c>
      <c r="H1222" t="str">
        <f t="shared" si="16"/>
        <v>CUST#2000172616</v>
      </c>
    </row>
    <row r="1223" spans="5:8" x14ac:dyDescent="0.25">
      <c r="E1223" t="str">
        <f>""</f>
        <v/>
      </c>
      <c r="F1223" t="str">
        <f>""</f>
        <v/>
      </c>
      <c r="H1223" t="str">
        <f t="shared" si="16"/>
        <v>CUST#2000172616</v>
      </c>
    </row>
    <row r="1224" spans="5:8" x14ac:dyDescent="0.25">
      <c r="E1224" t="str">
        <f>""</f>
        <v/>
      </c>
      <c r="F1224" t="str">
        <f>""</f>
        <v/>
      </c>
      <c r="H1224" t="str">
        <f t="shared" si="16"/>
        <v>CUST#2000172616</v>
      </c>
    </row>
    <row r="1225" spans="5:8" x14ac:dyDescent="0.25">
      <c r="E1225" t="str">
        <f>""</f>
        <v/>
      </c>
      <c r="F1225" t="str">
        <f>""</f>
        <v/>
      </c>
      <c r="H1225" t="str">
        <f t="shared" si="16"/>
        <v>CUST#2000172616</v>
      </c>
    </row>
    <row r="1226" spans="5:8" x14ac:dyDescent="0.25">
      <c r="E1226" t="str">
        <f>""</f>
        <v/>
      </c>
      <c r="F1226" t="str">
        <f>""</f>
        <v/>
      </c>
      <c r="H1226" t="str">
        <f t="shared" si="16"/>
        <v>CUST#2000172616</v>
      </c>
    </row>
    <row r="1227" spans="5:8" x14ac:dyDescent="0.25">
      <c r="E1227" t="str">
        <f>""</f>
        <v/>
      </c>
      <c r="F1227" t="str">
        <f>""</f>
        <v/>
      </c>
      <c r="H1227" t="str">
        <f t="shared" si="16"/>
        <v>CUST#2000172616</v>
      </c>
    </row>
    <row r="1228" spans="5:8" x14ac:dyDescent="0.25">
      <c r="E1228" t="str">
        <f>""</f>
        <v/>
      </c>
      <c r="F1228" t="str">
        <f>""</f>
        <v/>
      </c>
      <c r="H1228" t="str">
        <f t="shared" si="16"/>
        <v>CUST#2000172616</v>
      </c>
    </row>
    <row r="1229" spans="5:8" x14ac:dyDescent="0.25">
      <c r="E1229" t="str">
        <f>""</f>
        <v/>
      </c>
      <c r="F1229" t="str">
        <f>""</f>
        <v/>
      </c>
      <c r="H1229" t="str">
        <f t="shared" si="16"/>
        <v>CUST#2000172616</v>
      </c>
    </row>
    <row r="1230" spans="5:8" x14ac:dyDescent="0.25">
      <c r="E1230" t="str">
        <f>""</f>
        <v/>
      </c>
      <c r="F1230" t="str">
        <f>""</f>
        <v/>
      </c>
      <c r="H1230" t="str">
        <f t="shared" si="16"/>
        <v>CUST#2000172616</v>
      </c>
    </row>
    <row r="1231" spans="5:8" x14ac:dyDescent="0.25">
      <c r="E1231" t="str">
        <f>""</f>
        <v/>
      </c>
      <c r="F1231" t="str">
        <f>""</f>
        <v/>
      </c>
      <c r="H1231" t="str">
        <f t="shared" si="16"/>
        <v>CUST#2000172616</v>
      </c>
    </row>
    <row r="1232" spans="5:8" x14ac:dyDescent="0.25">
      <c r="E1232" t="str">
        <f>""</f>
        <v/>
      </c>
      <c r="F1232" t="str">
        <f>""</f>
        <v/>
      </c>
      <c r="H1232" t="str">
        <f t="shared" si="16"/>
        <v>CUST#2000172616</v>
      </c>
    </row>
    <row r="1233" spans="1:8" x14ac:dyDescent="0.25">
      <c r="E1233" t="str">
        <f>""</f>
        <v/>
      </c>
      <c r="F1233" t="str">
        <f>""</f>
        <v/>
      </c>
      <c r="H1233" t="str">
        <f t="shared" si="16"/>
        <v>CUST#2000172616</v>
      </c>
    </row>
    <row r="1234" spans="1:8" x14ac:dyDescent="0.25">
      <c r="E1234" t="str">
        <f>""</f>
        <v/>
      </c>
      <c r="F1234" t="str">
        <f>""</f>
        <v/>
      </c>
      <c r="H1234" t="str">
        <f t="shared" si="16"/>
        <v>CUST#2000172616</v>
      </c>
    </row>
    <row r="1235" spans="1:8" x14ac:dyDescent="0.25">
      <c r="E1235" t="str">
        <f>""</f>
        <v/>
      </c>
      <c r="F1235" t="str">
        <f>""</f>
        <v/>
      </c>
      <c r="H1235" t="str">
        <f t="shared" si="16"/>
        <v>CUST#2000172616</v>
      </c>
    </row>
    <row r="1236" spans="1:8" x14ac:dyDescent="0.25">
      <c r="E1236" t="str">
        <f>""</f>
        <v/>
      </c>
      <c r="F1236" t="str">
        <f>""</f>
        <v/>
      </c>
      <c r="H1236" t="str">
        <f t="shared" si="16"/>
        <v>CUST#2000172616</v>
      </c>
    </row>
    <row r="1237" spans="1:8" x14ac:dyDescent="0.25">
      <c r="E1237" t="str">
        <f>""</f>
        <v/>
      </c>
      <c r="F1237" t="str">
        <f>""</f>
        <v/>
      </c>
      <c r="H1237" t="str">
        <f t="shared" si="16"/>
        <v>CUST#2000172616</v>
      </c>
    </row>
    <row r="1238" spans="1:8" x14ac:dyDescent="0.25">
      <c r="E1238" t="str">
        <f>""</f>
        <v/>
      </c>
      <c r="F1238" t="str">
        <f>""</f>
        <v/>
      </c>
      <c r="H1238" t="str">
        <f t="shared" si="16"/>
        <v>CUST#2000172616</v>
      </c>
    </row>
    <row r="1239" spans="1:8" x14ac:dyDescent="0.25">
      <c r="E1239" t="str">
        <f>""</f>
        <v/>
      </c>
      <c r="F1239" t="str">
        <f>""</f>
        <v/>
      </c>
      <c r="H1239" t="str">
        <f t="shared" si="16"/>
        <v>CUST#2000172616</v>
      </c>
    </row>
    <row r="1240" spans="1:8" x14ac:dyDescent="0.25">
      <c r="E1240" t="str">
        <f>""</f>
        <v/>
      </c>
      <c r="F1240" t="str">
        <f>""</f>
        <v/>
      </c>
      <c r="H1240" t="str">
        <f t="shared" si="16"/>
        <v>CUST#2000172616</v>
      </c>
    </row>
    <row r="1241" spans="1:8" x14ac:dyDescent="0.25">
      <c r="E1241" t="str">
        <f>""</f>
        <v/>
      </c>
      <c r="F1241" t="str">
        <f>""</f>
        <v/>
      </c>
      <c r="H1241" t="str">
        <f t="shared" si="16"/>
        <v>CUST#2000172616</v>
      </c>
    </row>
    <row r="1242" spans="1:8" x14ac:dyDescent="0.25">
      <c r="A1242" t="s">
        <v>430</v>
      </c>
      <c r="B1242">
        <v>999999</v>
      </c>
      <c r="C1242" s="3">
        <v>700</v>
      </c>
      <c r="D1242" s="1">
        <v>43418</v>
      </c>
      <c r="E1242" t="str">
        <f>"BCSOOCT18"</f>
        <v>BCSOOCT18</v>
      </c>
      <c r="F1242" t="str">
        <f>"INV BCSOOCT18"</f>
        <v>INV BCSOOCT18</v>
      </c>
      <c r="G1242" s="2">
        <v>700</v>
      </c>
      <c r="H1242" t="str">
        <f>"INV BCSOOCT18"</f>
        <v>INV BCSOOCT18</v>
      </c>
    </row>
    <row r="1243" spans="1:8" x14ac:dyDescent="0.25">
      <c r="A1243" t="s">
        <v>431</v>
      </c>
      <c r="B1243">
        <v>999999</v>
      </c>
      <c r="C1243" s="3">
        <v>800</v>
      </c>
      <c r="D1243" s="1">
        <v>43418</v>
      </c>
      <c r="E1243" t="str">
        <f>"201810234637"</f>
        <v>201810234637</v>
      </c>
      <c r="F1243" t="str">
        <f>"WA#1575-2017/REVISED PLAT"</f>
        <v>WA#1575-2017/REVISED PLAT</v>
      </c>
      <c r="G1243" s="2">
        <v>800</v>
      </c>
      <c r="H1243" t="str">
        <f>"WA#1575-2017/REVISED PLAT"</f>
        <v>WA#1575-2017/REVISED PLAT</v>
      </c>
    </row>
    <row r="1244" spans="1:8" x14ac:dyDescent="0.25">
      <c r="A1244" t="s">
        <v>432</v>
      </c>
      <c r="B1244">
        <v>999999</v>
      </c>
      <c r="C1244" s="3">
        <v>1000</v>
      </c>
      <c r="D1244" s="1">
        <v>43431</v>
      </c>
      <c r="E1244" t="str">
        <f>"201811155167"</f>
        <v>201811155167</v>
      </c>
      <c r="F1244" t="str">
        <f>"423-6126"</f>
        <v>423-6126</v>
      </c>
      <c r="G1244" s="2">
        <v>1000</v>
      </c>
      <c r="H1244" t="str">
        <f>"423-6126"</f>
        <v>423-6126</v>
      </c>
    </row>
    <row r="1245" spans="1:8" x14ac:dyDescent="0.25">
      <c r="A1245" t="s">
        <v>433</v>
      </c>
      <c r="B1245">
        <v>79555</v>
      </c>
      <c r="C1245" s="3">
        <v>132</v>
      </c>
      <c r="D1245" s="1">
        <v>43417</v>
      </c>
      <c r="E1245" t="str">
        <f>"201811074960"</f>
        <v>201811074960</v>
      </c>
      <c r="F1245" t="str">
        <f>"LPHCP RECORDING FEES"</f>
        <v>LPHCP RECORDING FEES</v>
      </c>
      <c r="G1245" s="2">
        <v>132</v>
      </c>
      <c r="H1245" t="str">
        <f>"LPHCP RECORDING FEES"</f>
        <v>LPHCP RECORDING FEES</v>
      </c>
    </row>
    <row r="1246" spans="1:8" x14ac:dyDescent="0.25">
      <c r="A1246" t="s">
        <v>433</v>
      </c>
      <c r="B1246">
        <v>79556</v>
      </c>
      <c r="C1246" s="3">
        <v>366</v>
      </c>
      <c r="D1246" s="1">
        <v>43417</v>
      </c>
      <c r="E1246" t="str">
        <f>"201811074962"</f>
        <v>201811074962</v>
      </c>
      <c r="F1246" t="str">
        <f>"DEVELOP SVCS RECORDING FEES"</f>
        <v>DEVELOP SVCS RECORDING FEES</v>
      </c>
      <c r="G1246" s="2">
        <v>305</v>
      </c>
      <c r="H1246" t="str">
        <f>"DEVELOP SVCS RECORDING FEES"</f>
        <v>DEVELOP SVCS RECORDING FEES</v>
      </c>
    </row>
    <row r="1247" spans="1:8" x14ac:dyDescent="0.25">
      <c r="E1247" t="str">
        <f>"201811075008"</f>
        <v>201811075008</v>
      </c>
      <c r="F1247" t="str">
        <f>"DEVELOP SVCS RECORDING FEE"</f>
        <v>DEVELOP SVCS RECORDING FEE</v>
      </c>
      <c r="G1247" s="2">
        <v>61</v>
      </c>
      <c r="H1247" t="str">
        <f>"DEVELOP SVCS RECORDING FEE"</f>
        <v>DEVELOP SVCS RECORDING FEE</v>
      </c>
    </row>
    <row r="1248" spans="1:8" x14ac:dyDescent="0.25">
      <c r="A1248" t="s">
        <v>433</v>
      </c>
      <c r="B1248">
        <v>79742</v>
      </c>
      <c r="C1248" s="3">
        <v>61</v>
      </c>
      <c r="D1248" s="1">
        <v>43430</v>
      </c>
      <c r="E1248" t="str">
        <f>"201811155245"</f>
        <v>201811155245</v>
      </c>
      <c r="F1248" t="str">
        <f>"DEV SERVICES RECORDING FEES"</f>
        <v>DEV SERVICES RECORDING FEES</v>
      </c>
      <c r="G1248" s="2">
        <v>61</v>
      </c>
      <c r="H1248" t="str">
        <f>"DEV SERVICES RECORDING FEES"</f>
        <v>DEV SERVICES RECORDING FEES</v>
      </c>
    </row>
    <row r="1249" spans="1:8" x14ac:dyDescent="0.25">
      <c r="A1249" t="s">
        <v>434</v>
      </c>
      <c r="B1249">
        <v>79557</v>
      </c>
      <c r="C1249" s="3">
        <v>5583.31</v>
      </c>
      <c r="D1249" s="1">
        <v>43417</v>
      </c>
      <c r="E1249" t="str">
        <f>"201811074983"</f>
        <v>201811074983</v>
      </c>
      <c r="F1249" t="str">
        <f>"INDIGENT HEALTH"</f>
        <v>INDIGENT HEALTH</v>
      </c>
      <c r="G1249" s="2">
        <v>5583.31</v>
      </c>
      <c r="H1249" t="str">
        <f>"INDIGENT HEALTH"</f>
        <v>INDIGENT HEALTH</v>
      </c>
    </row>
    <row r="1250" spans="1:8" x14ac:dyDescent="0.25">
      <c r="A1250" t="s">
        <v>435</v>
      </c>
      <c r="B1250">
        <v>79743</v>
      </c>
      <c r="C1250" s="3">
        <v>237.97</v>
      </c>
      <c r="D1250" s="1">
        <v>43430</v>
      </c>
      <c r="E1250" t="str">
        <f>"04559-032224"</f>
        <v>04559-032224</v>
      </c>
      <c r="F1250" t="str">
        <f>"ACCT#353829/2017 RAM"</f>
        <v>ACCT#353829/2017 RAM</v>
      </c>
      <c r="G1250" s="2">
        <v>237.97</v>
      </c>
      <c r="H1250" t="str">
        <f>"ACCT#353829/2017 RAM"</f>
        <v>ACCT#353829/2017 RAM</v>
      </c>
    </row>
    <row r="1251" spans="1:8" x14ac:dyDescent="0.25">
      <c r="A1251" t="s">
        <v>436</v>
      </c>
      <c r="B1251">
        <v>79744</v>
      </c>
      <c r="C1251" s="3">
        <v>1567</v>
      </c>
      <c r="D1251" s="1">
        <v>43430</v>
      </c>
      <c r="E1251" t="str">
        <f>"201811165262"</f>
        <v>201811165262</v>
      </c>
      <c r="F1251" t="str">
        <f>"SANE EXAM - 18-S-03616"</f>
        <v>SANE EXAM - 18-S-03616</v>
      </c>
      <c r="G1251" s="2">
        <v>758</v>
      </c>
      <c r="H1251" t="str">
        <f>"SANE EXAM - 18-S-03616"</f>
        <v>SANE EXAM - 18-S-03616</v>
      </c>
    </row>
    <row r="1252" spans="1:8" x14ac:dyDescent="0.25">
      <c r="E1252" t="str">
        <f>"201811165263"</f>
        <v>201811165263</v>
      </c>
      <c r="F1252" t="str">
        <f>"SANE EXAM - 18-S-05052 (05056)"</f>
        <v>SANE EXAM - 18-S-05052 (05056)</v>
      </c>
      <c r="G1252" s="2">
        <v>809</v>
      </c>
      <c r="H1252" t="str">
        <f>"SANE EXAM - 18-S-05052 (05056)"</f>
        <v>SANE EXAM - 18-S-05052 (05056)</v>
      </c>
    </row>
    <row r="1253" spans="1:8" x14ac:dyDescent="0.25">
      <c r="A1253" t="s">
        <v>437</v>
      </c>
      <c r="B1253">
        <v>999999</v>
      </c>
      <c r="C1253" s="3">
        <v>633.19000000000005</v>
      </c>
      <c r="D1253" s="1">
        <v>43418</v>
      </c>
      <c r="E1253" t="str">
        <f>"201811074978"</f>
        <v>201811074978</v>
      </c>
      <c r="F1253" t="str">
        <f>"INDIGENT HEALTH"</f>
        <v>INDIGENT HEALTH</v>
      </c>
      <c r="G1253" s="2">
        <v>93.46</v>
      </c>
      <c r="H1253" t="str">
        <f t="shared" ref="H1253:H1260" si="17">"INDIGENT HEALTH"</f>
        <v>INDIGENT HEALTH</v>
      </c>
    </row>
    <row r="1254" spans="1:8" x14ac:dyDescent="0.25">
      <c r="E1254" t="str">
        <f>"201811074979"</f>
        <v>201811074979</v>
      </c>
      <c r="F1254" t="str">
        <f>"INDIGENT HEALTH"</f>
        <v>INDIGENT HEALTH</v>
      </c>
      <c r="G1254" s="2">
        <v>539.73</v>
      </c>
      <c r="H1254" t="str">
        <f t="shared" si="17"/>
        <v>INDIGENT HEALTH</v>
      </c>
    </row>
    <row r="1255" spans="1:8" x14ac:dyDescent="0.25">
      <c r="E1255" t="str">
        <f>""</f>
        <v/>
      </c>
      <c r="F1255" t="str">
        <f>""</f>
        <v/>
      </c>
      <c r="H1255" t="str">
        <f t="shared" si="17"/>
        <v>INDIGENT HEALTH</v>
      </c>
    </row>
    <row r="1256" spans="1:8" x14ac:dyDescent="0.25">
      <c r="A1256" t="s">
        <v>437</v>
      </c>
      <c r="B1256">
        <v>999999</v>
      </c>
      <c r="C1256" s="3">
        <v>167.68</v>
      </c>
      <c r="D1256" s="1">
        <v>43431</v>
      </c>
      <c r="E1256" t="str">
        <f>"201811155233"</f>
        <v>201811155233</v>
      </c>
      <c r="F1256" t="str">
        <f>"INDIGENT HEALTH"</f>
        <v>INDIGENT HEALTH</v>
      </c>
      <c r="G1256" s="2">
        <v>167.68</v>
      </c>
      <c r="H1256" t="str">
        <f t="shared" si="17"/>
        <v>INDIGENT HEALTH</v>
      </c>
    </row>
    <row r="1257" spans="1:8" x14ac:dyDescent="0.25">
      <c r="A1257" t="s">
        <v>438</v>
      </c>
      <c r="B1257">
        <v>79558</v>
      </c>
      <c r="C1257" s="3">
        <v>3717.01</v>
      </c>
      <c r="D1257" s="1">
        <v>43417</v>
      </c>
      <c r="E1257" t="str">
        <f>"201811074984"</f>
        <v>201811074984</v>
      </c>
      <c r="F1257" t="str">
        <f>"INDIGENT HEALTH"</f>
        <v>INDIGENT HEALTH</v>
      </c>
      <c r="G1257" s="2">
        <v>3717.01</v>
      </c>
      <c r="H1257" t="str">
        <f t="shared" si="17"/>
        <v>INDIGENT HEALTH</v>
      </c>
    </row>
    <row r="1258" spans="1:8" x14ac:dyDescent="0.25">
      <c r="A1258" t="s">
        <v>439</v>
      </c>
      <c r="B1258">
        <v>79559</v>
      </c>
      <c r="C1258" s="3">
        <v>9422.4500000000007</v>
      </c>
      <c r="D1258" s="1">
        <v>43417</v>
      </c>
      <c r="E1258" t="str">
        <f>"201811074985"</f>
        <v>201811074985</v>
      </c>
      <c r="F1258" t="str">
        <f>"INDIGENT HEALTH"</f>
        <v>INDIGENT HEALTH</v>
      </c>
      <c r="G1258" s="2">
        <v>9422.4500000000007</v>
      </c>
      <c r="H1258" t="str">
        <f t="shared" si="17"/>
        <v>INDIGENT HEALTH</v>
      </c>
    </row>
    <row r="1259" spans="1:8" x14ac:dyDescent="0.25">
      <c r="A1259" t="s">
        <v>439</v>
      </c>
      <c r="B1259">
        <v>79745</v>
      </c>
      <c r="C1259" s="3">
        <v>144.26</v>
      </c>
      <c r="D1259" s="1">
        <v>43430</v>
      </c>
      <c r="E1259" t="str">
        <f>"201811155237"</f>
        <v>201811155237</v>
      </c>
      <c r="F1259" t="str">
        <f>"INDIGENT HEALTH"</f>
        <v>INDIGENT HEALTH</v>
      </c>
      <c r="G1259" s="2">
        <v>103.25</v>
      </c>
      <c r="H1259" t="str">
        <f t="shared" si="17"/>
        <v>INDIGENT HEALTH</v>
      </c>
    </row>
    <row r="1260" spans="1:8" x14ac:dyDescent="0.25">
      <c r="E1260" t="str">
        <f>"201811155238"</f>
        <v>201811155238</v>
      </c>
      <c r="F1260" t="str">
        <f>"INDIGENT HEALTH"</f>
        <v>INDIGENT HEALTH</v>
      </c>
      <c r="G1260" s="2">
        <v>41.01</v>
      </c>
      <c r="H1260" t="str">
        <f t="shared" si="17"/>
        <v>INDIGENT HEALTH</v>
      </c>
    </row>
    <row r="1261" spans="1:8" x14ac:dyDescent="0.25">
      <c r="A1261" t="s">
        <v>440</v>
      </c>
      <c r="B1261">
        <v>999999</v>
      </c>
      <c r="C1261" s="3">
        <v>2925.2</v>
      </c>
      <c r="D1261" s="1">
        <v>43431</v>
      </c>
      <c r="E1261" t="str">
        <f>"062432"</f>
        <v>062432</v>
      </c>
      <c r="F1261" t="str">
        <f>"LASER JURY SUMMONS/S&amp;H/DIST CL"</f>
        <v>LASER JURY SUMMONS/S&amp;H/DIST CL</v>
      </c>
      <c r="G1261" s="2">
        <v>2925.2</v>
      </c>
      <c r="H1261" t="str">
        <f>"LASER JURY SUMMONS/S&amp;H/DIST CL"</f>
        <v>LASER JURY SUMMONS/S&amp;H/DIST CL</v>
      </c>
    </row>
    <row r="1262" spans="1:8" x14ac:dyDescent="0.25">
      <c r="A1262" t="s">
        <v>441</v>
      </c>
      <c r="B1262">
        <v>999999</v>
      </c>
      <c r="C1262" s="3">
        <v>10473</v>
      </c>
      <c r="D1262" s="1">
        <v>43431</v>
      </c>
      <c r="E1262" t="str">
        <f>"PPDINV0011091/087"</f>
        <v>PPDINV0011091/087</v>
      </c>
      <c r="F1262" t="str">
        <f>"INV PPDINV0011091/0011087"</f>
        <v>INV PPDINV0011091/0011087</v>
      </c>
      <c r="G1262" s="2">
        <v>10473</v>
      </c>
      <c r="H1262" t="str">
        <f>"INV PPDINV0011091"</f>
        <v>INV PPDINV0011091</v>
      </c>
    </row>
    <row r="1263" spans="1:8" x14ac:dyDescent="0.25">
      <c r="E1263" t="str">
        <f>""</f>
        <v/>
      </c>
      <c r="F1263" t="str">
        <f>""</f>
        <v/>
      </c>
      <c r="H1263" t="str">
        <f>"INV PPDINV0011087"</f>
        <v>INV PPDINV0011087</v>
      </c>
    </row>
    <row r="1264" spans="1:8" x14ac:dyDescent="0.25">
      <c r="A1264" t="s">
        <v>172</v>
      </c>
      <c r="B1264">
        <v>79560</v>
      </c>
      <c r="C1264" s="3">
        <v>3389.47</v>
      </c>
      <c r="D1264" s="1">
        <v>43417</v>
      </c>
      <c r="E1264" t="str">
        <f>"201811074987"</f>
        <v>201811074987</v>
      </c>
      <c r="F1264" t="str">
        <f>"INDIGENT HEALTH"</f>
        <v>INDIGENT HEALTH</v>
      </c>
      <c r="G1264" s="2">
        <v>1458.32</v>
      </c>
      <c r="H1264" t="str">
        <f>"INDIGENT HEALTH"</f>
        <v>INDIGENT HEALTH</v>
      </c>
    </row>
    <row r="1265" spans="1:9" x14ac:dyDescent="0.25">
      <c r="E1265" t="str">
        <f>""</f>
        <v/>
      </c>
      <c r="F1265" t="str">
        <f>""</f>
        <v/>
      </c>
      <c r="H1265" t="str">
        <f>"INDIGENT HEALTH"</f>
        <v>INDIGENT HEALTH</v>
      </c>
    </row>
    <row r="1266" spans="1:9" x14ac:dyDescent="0.25">
      <c r="E1266" t="str">
        <f>"201811074988"</f>
        <v>201811074988</v>
      </c>
      <c r="F1266" t="str">
        <f>"INDIGENT HEALTH"</f>
        <v>INDIGENT HEALTH</v>
      </c>
      <c r="G1266" s="2">
        <v>1931.15</v>
      </c>
      <c r="H1266" t="str">
        <f>"INDIGENT HEALTH"</f>
        <v>INDIGENT HEALTH</v>
      </c>
    </row>
    <row r="1267" spans="1:9" x14ac:dyDescent="0.25">
      <c r="A1267" t="s">
        <v>172</v>
      </c>
      <c r="B1267">
        <v>79746</v>
      </c>
      <c r="C1267" s="3">
        <v>2418.5500000000002</v>
      </c>
      <c r="D1267" s="1">
        <v>43430</v>
      </c>
      <c r="E1267" t="str">
        <f>"201811155239"</f>
        <v>201811155239</v>
      </c>
      <c r="F1267" t="str">
        <f>"INDIGENT HEALTH"</f>
        <v>INDIGENT HEALTH</v>
      </c>
      <c r="G1267" s="2">
        <v>2418.5500000000002</v>
      </c>
      <c r="H1267" t="str">
        <f>"INDIGENT HEALTH"</f>
        <v>INDIGENT HEALTH</v>
      </c>
    </row>
    <row r="1268" spans="1:9" x14ac:dyDescent="0.25">
      <c r="E1268" t="str">
        <f>""</f>
        <v/>
      </c>
      <c r="F1268" t="str">
        <f>""</f>
        <v/>
      </c>
      <c r="H1268" t="str">
        <f>"INDIGENT HEALTH"</f>
        <v>INDIGENT HEALTH</v>
      </c>
    </row>
    <row r="1269" spans="1:9" x14ac:dyDescent="0.25">
      <c r="A1269" t="s">
        <v>442</v>
      </c>
      <c r="B1269">
        <v>79747</v>
      </c>
      <c r="C1269" s="3">
        <v>30</v>
      </c>
      <c r="D1269" s="1">
        <v>43430</v>
      </c>
      <c r="E1269" t="s">
        <v>443</v>
      </c>
      <c r="F1269" t="s">
        <v>444</v>
      </c>
      <c r="G1269" s="2" t="str">
        <f>"RESTITUTION-D. MC COMB"</f>
        <v>RESTITUTION-D. MC COMB</v>
      </c>
      <c r="H1269" t="str">
        <f>"210-0000"</f>
        <v>210-0000</v>
      </c>
      <c r="I1269" t="str">
        <f>""</f>
        <v/>
      </c>
    </row>
    <row r="1270" spans="1:9" x14ac:dyDescent="0.25">
      <c r="A1270" t="s">
        <v>445</v>
      </c>
      <c r="B1270">
        <v>79561</v>
      </c>
      <c r="C1270" s="3">
        <v>410</v>
      </c>
      <c r="D1270" s="1">
        <v>43417</v>
      </c>
      <c r="E1270" t="str">
        <f>"201810304695"</f>
        <v>201810304695</v>
      </c>
      <c r="F1270" t="str">
        <f>"ACCT#20150/PCT#1"</f>
        <v>ACCT#20150/PCT#1</v>
      </c>
      <c r="G1270" s="2">
        <v>410</v>
      </c>
      <c r="H1270" t="str">
        <f>"ACCT#20150/PCT#1"</f>
        <v>ACCT#20150/PCT#1</v>
      </c>
    </row>
    <row r="1271" spans="1:9" x14ac:dyDescent="0.25">
      <c r="A1271" t="s">
        <v>446</v>
      </c>
      <c r="B1271">
        <v>79562</v>
      </c>
      <c r="C1271" s="3">
        <v>120</v>
      </c>
      <c r="D1271" s="1">
        <v>43417</v>
      </c>
      <c r="E1271" t="str">
        <f>"201811085010"</f>
        <v>201811085010</v>
      </c>
      <c r="F1271" t="str">
        <f>"PER DIEM"</f>
        <v>PER DIEM</v>
      </c>
      <c r="G1271" s="2">
        <v>120</v>
      </c>
      <c r="H1271" t="str">
        <f>"PER DIEM"</f>
        <v>PER DIEM</v>
      </c>
    </row>
    <row r="1272" spans="1:9" x14ac:dyDescent="0.25">
      <c r="A1272" t="s">
        <v>447</v>
      </c>
      <c r="B1272">
        <v>79563</v>
      </c>
      <c r="C1272" s="3">
        <v>7380.74</v>
      </c>
      <c r="D1272" s="1">
        <v>43417</v>
      </c>
      <c r="E1272" t="str">
        <f>"GB00302910"</f>
        <v>GB00302910</v>
      </c>
      <c r="F1272" t="str">
        <f>"ESET RENEWAL"</f>
        <v>ESET RENEWAL</v>
      </c>
      <c r="G1272" s="2">
        <v>6480</v>
      </c>
      <c r="H1272" t="str">
        <f>"ESET RENEWAL (1 YR)"</f>
        <v>ESET RENEWAL (1 YR)</v>
      </c>
    </row>
    <row r="1273" spans="1:9" x14ac:dyDescent="0.25">
      <c r="E1273" t="str">
        <f>"GB00302930"</f>
        <v>GB00302930</v>
      </c>
      <c r="F1273" t="str">
        <f>"BATTERY BACKUP"</f>
        <v>BATTERY BACKUP</v>
      </c>
      <c r="G1273" s="2">
        <v>311.74</v>
      </c>
      <c r="H1273" t="str">
        <f>"Part#: SC450RM1U"</f>
        <v>Part#: SC450RM1U</v>
      </c>
    </row>
    <row r="1274" spans="1:9" x14ac:dyDescent="0.25">
      <c r="E1274" t="str">
        <f>""</f>
        <v/>
      </c>
      <c r="F1274" t="str">
        <f>""</f>
        <v/>
      </c>
      <c r="H1274" t="str">
        <f>"Part#: RBC7"</f>
        <v>Part#: RBC7</v>
      </c>
    </row>
    <row r="1275" spans="1:9" x14ac:dyDescent="0.25">
      <c r="E1275" t="str">
        <f>"GB00303513"</f>
        <v>GB00303513</v>
      </c>
      <c r="F1275" t="str">
        <f>"HP LASERJET PRINTER"</f>
        <v>HP LASERJET PRINTER</v>
      </c>
      <c r="G1275" s="2">
        <v>589</v>
      </c>
      <c r="H1275" t="str">
        <f>"HP LASERJET PRINTER"</f>
        <v>HP LASERJET PRINTER</v>
      </c>
    </row>
    <row r="1276" spans="1:9" x14ac:dyDescent="0.25">
      <c r="A1276" t="s">
        <v>447</v>
      </c>
      <c r="B1276">
        <v>79748</v>
      </c>
      <c r="C1276" s="3">
        <v>2432.3000000000002</v>
      </c>
      <c r="D1276" s="1">
        <v>43430</v>
      </c>
      <c r="E1276" t="str">
        <f>"GB00304449"</f>
        <v>GB00304449</v>
      </c>
      <c r="F1276" t="str">
        <f>"AutoDesk Seat Renewal"</f>
        <v>AutoDesk Seat Renewal</v>
      </c>
      <c r="G1276" s="2">
        <v>384</v>
      </c>
      <c r="H1276" t="str">
        <f>"Part#: 057I1-009704-"</f>
        <v>Part#: 057I1-009704-</v>
      </c>
    </row>
    <row r="1277" spans="1:9" x14ac:dyDescent="0.25">
      <c r="E1277" t="str">
        <f>"GB00304482"</f>
        <v>GB00304482</v>
      </c>
      <c r="F1277" t="str">
        <f>"Photoshop license"</f>
        <v>Photoshop license</v>
      </c>
      <c r="G1277" s="2">
        <v>67.900000000000006</v>
      </c>
      <c r="H1277" t="str">
        <f>"Part#: 65291042BC01A"</f>
        <v>Part#: 65291042BC01A</v>
      </c>
    </row>
    <row r="1278" spans="1:9" x14ac:dyDescent="0.25">
      <c r="E1278" t="str">
        <f>"GB00304565/4516"</f>
        <v>GB00304565/4516</v>
      </c>
      <c r="F1278" t="str">
        <f>"SHI Fujitsu Scanner and P"</f>
        <v>SHI Fujitsu Scanner and P</v>
      </c>
      <c r="G1278" s="2">
        <v>1108</v>
      </c>
      <c r="H1278" t="str">
        <f>"Part#: 86305-11"</f>
        <v>Part#: 86305-11</v>
      </c>
    </row>
    <row r="1279" spans="1:9" x14ac:dyDescent="0.25">
      <c r="E1279" t="str">
        <f>""</f>
        <v/>
      </c>
      <c r="F1279" t="str">
        <f>""</f>
        <v/>
      </c>
      <c r="H1279" t="str">
        <f>"Part#: PA03670-B085"</f>
        <v>Part#: PA03670-B085</v>
      </c>
    </row>
    <row r="1280" spans="1:9" x14ac:dyDescent="0.25">
      <c r="E1280" t="str">
        <f>"GB00304818"</f>
        <v>GB00304818</v>
      </c>
      <c r="F1280" t="str">
        <f>"Adobe Acrobat license"</f>
        <v>Adobe Acrobat license</v>
      </c>
      <c r="G1280" s="2">
        <v>872.4</v>
      </c>
      <c r="H1280" t="str">
        <f>"Part#: 65280416AC02A"</f>
        <v>Part#: 65280416AC02A</v>
      </c>
    </row>
    <row r="1281" spans="1:8" x14ac:dyDescent="0.25">
      <c r="A1281" t="s">
        <v>448</v>
      </c>
      <c r="B1281">
        <v>79749</v>
      </c>
      <c r="C1281" s="3">
        <v>195</v>
      </c>
      <c r="D1281" s="1">
        <v>43430</v>
      </c>
      <c r="E1281" t="str">
        <f>"910795"</f>
        <v>910795</v>
      </c>
      <c r="F1281" t="str">
        <f>"ACCT#550615/PCT#2"</f>
        <v>ACCT#550615/PCT#2</v>
      </c>
      <c r="G1281" s="2">
        <v>195</v>
      </c>
      <c r="H1281" t="str">
        <f>"ACCT#550615/PCT#2"</f>
        <v>ACCT#550615/PCT#2</v>
      </c>
    </row>
    <row r="1282" spans="1:8" x14ac:dyDescent="0.25">
      <c r="A1282" t="s">
        <v>449</v>
      </c>
      <c r="B1282">
        <v>79564</v>
      </c>
      <c r="C1282" s="3">
        <v>340.5</v>
      </c>
      <c r="D1282" s="1">
        <v>43417</v>
      </c>
      <c r="E1282" t="str">
        <f>"8125942118"</f>
        <v>8125942118</v>
      </c>
      <c r="F1282" t="str">
        <f>"INV 8125942118"</f>
        <v>INV 8125942118</v>
      </c>
      <c r="G1282" s="2">
        <v>122</v>
      </c>
      <c r="H1282" t="str">
        <f>"INV 8125942118"</f>
        <v>INV 8125942118</v>
      </c>
    </row>
    <row r="1283" spans="1:8" x14ac:dyDescent="0.25">
      <c r="E1283" t="str">
        <f>""</f>
        <v/>
      </c>
      <c r="F1283" t="str">
        <f>""</f>
        <v/>
      </c>
      <c r="H1283" t="str">
        <f>"INV 8125942118"</f>
        <v>INV 8125942118</v>
      </c>
    </row>
    <row r="1284" spans="1:8" x14ac:dyDescent="0.25">
      <c r="E1284" t="str">
        <f>"8125942736"</f>
        <v>8125942736</v>
      </c>
      <c r="F1284" t="str">
        <f>"CUST#16155373-PURCHASING DEPT"</f>
        <v>CUST#16155373-PURCHASING DEPT</v>
      </c>
      <c r="G1284" s="2">
        <v>103</v>
      </c>
      <c r="H1284" t="str">
        <f t="shared" ref="H1284:H1289" si="18">"CUST#16155373-PURCHASING DEPT"</f>
        <v>CUST#16155373-PURCHASING DEPT</v>
      </c>
    </row>
    <row r="1285" spans="1:8" x14ac:dyDescent="0.25">
      <c r="E1285" t="str">
        <f>""</f>
        <v/>
      </c>
      <c r="F1285" t="str">
        <f>""</f>
        <v/>
      </c>
      <c r="H1285" t="str">
        <f t="shared" si="18"/>
        <v>CUST#16155373-PURCHASING DEPT</v>
      </c>
    </row>
    <row r="1286" spans="1:8" x14ac:dyDescent="0.25">
      <c r="E1286" t="str">
        <f>""</f>
        <v/>
      </c>
      <c r="F1286" t="str">
        <f>""</f>
        <v/>
      </c>
      <c r="H1286" t="str">
        <f t="shared" si="18"/>
        <v>CUST#16155373-PURCHASING DEPT</v>
      </c>
    </row>
    <row r="1287" spans="1:8" x14ac:dyDescent="0.25">
      <c r="E1287" t="str">
        <f>""</f>
        <v/>
      </c>
      <c r="F1287" t="str">
        <f>""</f>
        <v/>
      </c>
      <c r="H1287" t="str">
        <f t="shared" si="18"/>
        <v>CUST#16155373-PURCHASING DEPT</v>
      </c>
    </row>
    <row r="1288" spans="1:8" x14ac:dyDescent="0.25">
      <c r="E1288" t="str">
        <f>""</f>
        <v/>
      </c>
      <c r="F1288" t="str">
        <f>""</f>
        <v/>
      </c>
      <c r="H1288" t="str">
        <f t="shared" si="18"/>
        <v>CUST#16155373-PURCHASING DEPT</v>
      </c>
    </row>
    <row r="1289" spans="1:8" x14ac:dyDescent="0.25">
      <c r="E1289" t="str">
        <f>""</f>
        <v/>
      </c>
      <c r="F1289" t="str">
        <f>""</f>
        <v/>
      </c>
      <c r="H1289" t="str">
        <f t="shared" si="18"/>
        <v>CUST#16155373-PURCHASING DEPT</v>
      </c>
    </row>
    <row r="1290" spans="1:8" x14ac:dyDescent="0.25">
      <c r="E1290" t="str">
        <f>"8125942783"</f>
        <v>8125942783</v>
      </c>
      <c r="F1290" t="str">
        <f>"CUST#16156071/SHREDDING SVCS"</f>
        <v>CUST#16156071/SHREDDING SVCS</v>
      </c>
      <c r="G1290" s="2">
        <v>115.5</v>
      </c>
      <c r="H1290" t="str">
        <f>"CUST#16156071/SHREDDING SVCS"</f>
        <v>CUST#16156071/SHREDDING SVCS</v>
      </c>
    </row>
    <row r="1291" spans="1:8" x14ac:dyDescent="0.25">
      <c r="A1291" t="s">
        <v>449</v>
      </c>
      <c r="B1291">
        <v>79750</v>
      </c>
      <c r="C1291" s="3">
        <v>827.65</v>
      </c>
      <c r="D1291" s="1">
        <v>43430</v>
      </c>
      <c r="E1291" t="str">
        <f>"8125942517"</f>
        <v>8125942517</v>
      </c>
      <c r="F1291" t="str">
        <f>"CUST#16151276/SHREDDING SVCS"</f>
        <v>CUST#16151276/SHREDDING SVCS</v>
      </c>
      <c r="G1291" s="2">
        <v>827.65</v>
      </c>
      <c r="H1291" t="str">
        <f>"CUST#16151276/SHREDDING SVCS"</f>
        <v>CUST#16151276/SHREDDING SVCS</v>
      </c>
    </row>
    <row r="1292" spans="1:8" x14ac:dyDescent="0.25">
      <c r="A1292" t="s">
        <v>450</v>
      </c>
      <c r="B1292">
        <v>79751</v>
      </c>
      <c r="C1292" s="3">
        <v>244.21</v>
      </c>
      <c r="D1292" s="1">
        <v>43430</v>
      </c>
      <c r="E1292" t="str">
        <f>"201811155240"</f>
        <v>201811155240</v>
      </c>
      <c r="F1292" t="str">
        <f>"INDIGENT HEALTH"</f>
        <v>INDIGENT HEALTH</v>
      </c>
      <c r="G1292" s="2">
        <v>244.21</v>
      </c>
      <c r="H1292" t="str">
        <f>"INDIGENT HEALTH"</f>
        <v>INDIGENT HEALTH</v>
      </c>
    </row>
    <row r="1293" spans="1:8" x14ac:dyDescent="0.25">
      <c r="A1293" t="s">
        <v>451</v>
      </c>
      <c r="B1293">
        <v>79752</v>
      </c>
      <c r="C1293" s="3">
        <v>18963.5</v>
      </c>
      <c r="D1293" s="1">
        <v>43430</v>
      </c>
      <c r="E1293" t="str">
        <f>"201811155244"</f>
        <v>201811155244</v>
      </c>
      <c r="F1293" t="str">
        <f>"SILSBEE FORD"</f>
        <v>SILSBEE FORD</v>
      </c>
      <c r="G1293" s="2">
        <v>18963.5</v>
      </c>
      <c r="H1293" t="str">
        <f>"2018 F-150 TRUCK"</f>
        <v>2018 F-150 TRUCK</v>
      </c>
    </row>
    <row r="1294" spans="1:8" x14ac:dyDescent="0.25">
      <c r="E1294" t="str">
        <f>""</f>
        <v/>
      </c>
      <c r="F1294" t="str">
        <f>""</f>
        <v/>
      </c>
      <c r="H1294" t="str">
        <f>"DELIVERY"</f>
        <v>DELIVERY</v>
      </c>
    </row>
    <row r="1295" spans="1:8" x14ac:dyDescent="0.25">
      <c r="E1295" t="str">
        <f>""</f>
        <v/>
      </c>
      <c r="F1295" t="str">
        <f>""</f>
        <v/>
      </c>
      <c r="H1295" t="str">
        <f>"GOODBUY FEE"</f>
        <v>GOODBUY FEE</v>
      </c>
    </row>
    <row r="1296" spans="1:8" x14ac:dyDescent="0.25">
      <c r="A1296" t="s">
        <v>452</v>
      </c>
      <c r="B1296">
        <v>79753</v>
      </c>
      <c r="C1296" s="3">
        <v>1303.79</v>
      </c>
      <c r="D1296" s="1">
        <v>43430</v>
      </c>
      <c r="E1296" t="str">
        <f>"0369867 0370561 03"</f>
        <v>0369867 0370561 03</v>
      </c>
      <c r="F1296" t="str">
        <f>"INV 0369867/0370561/03720"</f>
        <v>INV 0369867/0370561/03720</v>
      </c>
      <c r="G1296" s="2">
        <v>1303.79</v>
      </c>
      <c r="H1296" t="str">
        <f>"INV 0369867"</f>
        <v>INV 0369867</v>
      </c>
    </row>
    <row r="1297" spans="1:8" x14ac:dyDescent="0.25">
      <c r="E1297" t="str">
        <f>""</f>
        <v/>
      </c>
      <c r="F1297" t="str">
        <f>""</f>
        <v/>
      </c>
      <c r="H1297" t="str">
        <f>"INV 0370561"</f>
        <v>INV 0370561</v>
      </c>
    </row>
    <row r="1298" spans="1:8" x14ac:dyDescent="0.25">
      <c r="E1298" t="str">
        <f>""</f>
        <v/>
      </c>
      <c r="F1298" t="str">
        <f>""</f>
        <v/>
      </c>
      <c r="H1298" t="str">
        <f>"INV 0372022"</f>
        <v>INV 0372022</v>
      </c>
    </row>
    <row r="1299" spans="1:8" x14ac:dyDescent="0.25">
      <c r="A1299" t="s">
        <v>453</v>
      </c>
      <c r="B1299">
        <v>79565</v>
      </c>
      <c r="C1299" s="3">
        <v>275.64999999999998</v>
      </c>
      <c r="D1299" s="1">
        <v>43417</v>
      </c>
      <c r="E1299" t="str">
        <f>"11925135"</f>
        <v>11925135</v>
      </c>
      <c r="F1299" t="str">
        <f>"MICROSOFT EXCEL SEMINAR"</f>
        <v>MICROSOFT EXCEL SEMINAR</v>
      </c>
      <c r="G1299" s="2">
        <v>126.65</v>
      </c>
      <c r="H1299" t="str">
        <f>"MICROSOFT EXCEL SEMINAR"</f>
        <v>MICROSOFT EXCEL SEMINAR</v>
      </c>
    </row>
    <row r="1300" spans="1:8" x14ac:dyDescent="0.25">
      <c r="E1300" t="str">
        <f>"11926296"</f>
        <v>11926296</v>
      </c>
      <c r="F1300" t="str">
        <f>"SKILLPATH NATIONAL SEMINARS TR"</f>
        <v>SKILLPATH NATIONAL SEMINARS TR</v>
      </c>
      <c r="G1300" s="2">
        <v>149</v>
      </c>
      <c r="H1300" t="str">
        <f>"Microsoft Excel"</f>
        <v>Microsoft Excel</v>
      </c>
    </row>
    <row r="1301" spans="1:8" x14ac:dyDescent="0.25">
      <c r="A1301" t="s">
        <v>454</v>
      </c>
      <c r="B1301">
        <v>79754</v>
      </c>
      <c r="C1301" s="3">
        <v>967.05</v>
      </c>
      <c r="D1301" s="1">
        <v>43430</v>
      </c>
      <c r="E1301" t="str">
        <f>"201811155225"</f>
        <v>201811155225</v>
      </c>
      <c r="F1301" t="str">
        <f>"STATEMENT#28810/PCT#2"</f>
        <v>STATEMENT#28810/PCT#2</v>
      </c>
      <c r="G1301" s="2">
        <v>967.05</v>
      </c>
      <c r="H1301" t="str">
        <f>"STATEMENT#28810/PCT#2"</f>
        <v>STATEMENT#28810/PCT#2</v>
      </c>
    </row>
    <row r="1302" spans="1:8" x14ac:dyDescent="0.25">
      <c r="E1302" t="str">
        <f>""</f>
        <v/>
      </c>
      <c r="F1302" t="str">
        <f>""</f>
        <v/>
      </c>
      <c r="H1302" t="str">
        <f>"STATEMENT#28810/PCT#2"</f>
        <v>STATEMENT#28810/PCT#2</v>
      </c>
    </row>
    <row r="1303" spans="1:8" x14ac:dyDescent="0.25">
      <c r="A1303" t="s">
        <v>455</v>
      </c>
      <c r="B1303">
        <v>79566</v>
      </c>
      <c r="C1303" s="3">
        <v>1002.19</v>
      </c>
      <c r="D1303" s="1">
        <v>43417</v>
      </c>
      <c r="E1303" t="str">
        <f>"201811074932"</f>
        <v>201811074932</v>
      </c>
      <c r="F1303" t="str">
        <f>"ACCT#260/PCT#2"</f>
        <v>ACCT#260/PCT#2</v>
      </c>
      <c r="G1303" s="2">
        <v>1002.19</v>
      </c>
      <c r="H1303" t="str">
        <f>"ACCT#260/PCT#2"</f>
        <v>ACCT#260/PCT#2</v>
      </c>
    </row>
    <row r="1304" spans="1:8" x14ac:dyDescent="0.25">
      <c r="A1304" t="s">
        <v>146</v>
      </c>
      <c r="B1304">
        <v>79567</v>
      </c>
      <c r="C1304" s="3">
        <v>8500</v>
      </c>
      <c r="D1304" s="1">
        <v>43417</v>
      </c>
      <c r="E1304" t="str">
        <f>"201810264676"</f>
        <v>201810264676</v>
      </c>
      <c r="F1304" t="str">
        <f>"PER BUDGET -  FY'19"</f>
        <v>PER BUDGET -  FY'19</v>
      </c>
      <c r="G1304" s="2">
        <v>8500</v>
      </c>
      <c r="H1304" t="str">
        <f>"PER BUDGET -  FY'19"</f>
        <v>PER BUDGET -  FY'19</v>
      </c>
    </row>
    <row r="1305" spans="1:8" x14ac:dyDescent="0.25">
      <c r="A1305" t="s">
        <v>456</v>
      </c>
      <c r="B1305">
        <v>79755</v>
      </c>
      <c r="C1305" s="3">
        <v>685</v>
      </c>
      <c r="D1305" s="1">
        <v>43430</v>
      </c>
      <c r="E1305" t="str">
        <f>"IN403257"</f>
        <v>IN403257</v>
      </c>
      <c r="F1305" t="str">
        <f>"SolarWinds Renewal"</f>
        <v>SolarWinds Renewal</v>
      </c>
      <c r="G1305" s="2">
        <v>685</v>
      </c>
      <c r="H1305" t="str">
        <f>"SKU# 60221"</f>
        <v>SKU# 60221</v>
      </c>
    </row>
    <row r="1306" spans="1:8" x14ac:dyDescent="0.25">
      <c r="A1306" t="s">
        <v>457</v>
      </c>
      <c r="B1306">
        <v>79568</v>
      </c>
      <c r="C1306" s="3">
        <v>6480.91</v>
      </c>
      <c r="D1306" s="1">
        <v>43417</v>
      </c>
      <c r="E1306" t="str">
        <f>"63262310"</f>
        <v>63262310</v>
      </c>
      <c r="F1306" t="str">
        <f>"CUST#52157/PCT#3"</f>
        <v>CUST#52157/PCT#3</v>
      </c>
      <c r="G1306" s="2">
        <v>968.4</v>
      </c>
      <c r="H1306" t="str">
        <f>"CUST#52157/PCT#3"</f>
        <v>CUST#52157/PCT#3</v>
      </c>
    </row>
    <row r="1307" spans="1:8" x14ac:dyDescent="0.25">
      <c r="E1307" t="str">
        <f>"63264023"</f>
        <v>63264023</v>
      </c>
      <c r="F1307" t="str">
        <f>"CUST#52157/PCT#4"</f>
        <v>CUST#52157/PCT#4</v>
      </c>
      <c r="G1307" s="2">
        <v>455.95</v>
      </c>
      <c r="H1307" t="str">
        <f>"CUST#52157/PCT#4"</f>
        <v>CUST#52157/PCT#4</v>
      </c>
    </row>
    <row r="1308" spans="1:8" x14ac:dyDescent="0.25">
      <c r="E1308" t="str">
        <f>"63264507"</f>
        <v>63264507</v>
      </c>
      <c r="F1308" t="str">
        <f>"CUST#52157/PCT#4"</f>
        <v>CUST#52157/PCT#4</v>
      </c>
      <c r="G1308" s="2">
        <v>1721.85</v>
      </c>
      <c r="H1308" t="str">
        <f>"CUST#52157/PCT#4"</f>
        <v>CUST#52157/PCT#4</v>
      </c>
    </row>
    <row r="1309" spans="1:8" x14ac:dyDescent="0.25">
      <c r="E1309" t="str">
        <f>"63265232"</f>
        <v>63265232</v>
      </c>
      <c r="F1309" t="str">
        <f>"CUST#52157/PCT#4"</f>
        <v>CUST#52157/PCT#4</v>
      </c>
      <c r="G1309" s="2">
        <v>1624</v>
      </c>
      <c r="H1309" t="str">
        <f>"CUST#52157/PCT#4"</f>
        <v>CUST#52157/PCT#4</v>
      </c>
    </row>
    <row r="1310" spans="1:8" x14ac:dyDescent="0.25">
      <c r="E1310" t="str">
        <f>"63265707"</f>
        <v>63265707</v>
      </c>
      <c r="F1310" t="str">
        <f>"CUST#52157/PCT#1"</f>
        <v>CUST#52157/PCT#1</v>
      </c>
      <c r="G1310" s="2">
        <v>138.5</v>
      </c>
      <c r="H1310" t="str">
        <f>"CUST#52157/PCT#1"</f>
        <v>CUST#52157/PCT#1</v>
      </c>
    </row>
    <row r="1311" spans="1:8" x14ac:dyDescent="0.25">
      <c r="E1311" t="str">
        <f>"63265858"</f>
        <v>63265858</v>
      </c>
      <c r="F1311" t="str">
        <f>"CUST#52157/PCT#4"</f>
        <v>CUST#52157/PCT#4</v>
      </c>
      <c r="G1311" s="2">
        <v>234.45</v>
      </c>
      <c r="H1311" t="str">
        <f>"CUST#52157/PCT#4"</f>
        <v>CUST#52157/PCT#4</v>
      </c>
    </row>
    <row r="1312" spans="1:8" x14ac:dyDescent="0.25">
      <c r="E1312" t="str">
        <f>"63265863"</f>
        <v>63265863</v>
      </c>
      <c r="F1312" t="str">
        <f>"CUST#52157/PCT#4"</f>
        <v>CUST#52157/PCT#4</v>
      </c>
      <c r="G1312" s="2">
        <v>756.86</v>
      </c>
      <c r="H1312" t="str">
        <f>"CUST#52157/PCT#4"</f>
        <v>CUST#52157/PCT#4</v>
      </c>
    </row>
    <row r="1313" spans="1:8" x14ac:dyDescent="0.25">
      <c r="E1313" t="str">
        <f>"63266079"</f>
        <v>63266079</v>
      </c>
      <c r="F1313" t="str">
        <f>"CUST#52157/PCT#3"</f>
        <v>CUST#52157/PCT#3</v>
      </c>
      <c r="G1313" s="2">
        <v>194.95</v>
      </c>
      <c r="H1313" t="str">
        <f>"CUST#52157/PCT#3"</f>
        <v>CUST#52157/PCT#3</v>
      </c>
    </row>
    <row r="1314" spans="1:8" x14ac:dyDescent="0.25">
      <c r="E1314" t="str">
        <f>"63266460"</f>
        <v>63266460</v>
      </c>
      <c r="F1314" t="str">
        <f>"CUST#52157/PCT#3"</f>
        <v>CUST#52157/PCT#3</v>
      </c>
      <c r="G1314" s="2">
        <v>385.95</v>
      </c>
      <c r="H1314" t="str">
        <f>"CUST#52157/PCT#3"</f>
        <v>CUST#52157/PCT#3</v>
      </c>
    </row>
    <row r="1315" spans="1:8" x14ac:dyDescent="0.25">
      <c r="A1315" t="s">
        <v>458</v>
      </c>
      <c r="B1315">
        <v>79569</v>
      </c>
      <c r="C1315" s="3">
        <v>23.02</v>
      </c>
      <c r="D1315" s="1">
        <v>43417</v>
      </c>
      <c r="E1315" t="str">
        <f>"11969495 102618"</f>
        <v>11969495 102618</v>
      </c>
      <c r="F1315" t="str">
        <f>"ACCT#556850411969495/DA'S OFF"</f>
        <v>ACCT#556850411969495/DA'S OFF</v>
      </c>
      <c r="G1315" s="2">
        <v>23.02</v>
      </c>
      <c r="H1315" t="str">
        <f>"ACCT#556850411969495/DA'S OFF"</f>
        <v>ACCT#556850411969495/DA'S OFF</v>
      </c>
    </row>
    <row r="1316" spans="1:8" x14ac:dyDescent="0.25">
      <c r="A1316" t="s">
        <v>459</v>
      </c>
      <c r="B1316">
        <v>79570</v>
      </c>
      <c r="C1316" s="3">
        <v>307.38</v>
      </c>
      <c r="D1316" s="1">
        <v>43417</v>
      </c>
      <c r="E1316" t="str">
        <f>"201811074993"</f>
        <v>201811074993</v>
      </c>
      <c r="F1316" t="str">
        <f>"INDIGENT HEALTH"</f>
        <v>INDIGENT HEALTH</v>
      </c>
      <c r="G1316" s="2">
        <v>307.38</v>
      </c>
      <c r="H1316" t="str">
        <f t="shared" ref="H1316:H1325" si="19">"INDIGENT HEALTH"</f>
        <v>INDIGENT HEALTH</v>
      </c>
    </row>
    <row r="1317" spans="1:8" x14ac:dyDescent="0.25">
      <c r="A1317" t="s">
        <v>460</v>
      </c>
      <c r="B1317">
        <v>79571</v>
      </c>
      <c r="C1317" s="3">
        <v>36201.25</v>
      </c>
      <c r="D1317" s="1">
        <v>43417</v>
      </c>
      <c r="E1317" t="str">
        <f>"201811074990"</f>
        <v>201811074990</v>
      </c>
      <c r="F1317" t="str">
        <f>"INDIGENT HEALTH"</f>
        <v>INDIGENT HEALTH</v>
      </c>
      <c r="G1317" s="2">
        <v>5679.88</v>
      </c>
      <c r="H1317" t="str">
        <f t="shared" si="19"/>
        <v>INDIGENT HEALTH</v>
      </c>
    </row>
    <row r="1318" spans="1:8" x14ac:dyDescent="0.25">
      <c r="E1318" t="str">
        <f>""</f>
        <v/>
      </c>
      <c r="F1318" t="str">
        <f>""</f>
        <v/>
      </c>
      <c r="H1318" t="str">
        <f t="shared" si="19"/>
        <v>INDIGENT HEALTH</v>
      </c>
    </row>
    <row r="1319" spans="1:8" x14ac:dyDescent="0.25">
      <c r="E1319" t="str">
        <f>"201811074991"</f>
        <v>201811074991</v>
      </c>
      <c r="F1319" t="str">
        <f>"INDIGENT HEALTH"</f>
        <v>INDIGENT HEALTH</v>
      </c>
      <c r="G1319" s="2">
        <v>30108.81</v>
      </c>
      <c r="H1319" t="str">
        <f t="shared" si="19"/>
        <v>INDIGENT HEALTH</v>
      </c>
    </row>
    <row r="1320" spans="1:8" x14ac:dyDescent="0.25">
      <c r="E1320" t="str">
        <f>""</f>
        <v/>
      </c>
      <c r="F1320" t="str">
        <f>""</f>
        <v/>
      </c>
      <c r="H1320" t="str">
        <f t="shared" si="19"/>
        <v>INDIGENT HEALTH</v>
      </c>
    </row>
    <row r="1321" spans="1:8" x14ac:dyDescent="0.25">
      <c r="E1321" t="str">
        <f>"201811074992"</f>
        <v>201811074992</v>
      </c>
      <c r="F1321" t="str">
        <f>"INDIGENT HEALTH"</f>
        <v>INDIGENT HEALTH</v>
      </c>
      <c r="G1321" s="2">
        <v>412.56</v>
      </c>
      <c r="H1321" t="str">
        <f t="shared" si="19"/>
        <v>INDIGENT HEALTH</v>
      </c>
    </row>
    <row r="1322" spans="1:8" x14ac:dyDescent="0.25">
      <c r="A1322" t="s">
        <v>460</v>
      </c>
      <c r="B1322">
        <v>79756</v>
      </c>
      <c r="C1322" s="3">
        <v>465.27</v>
      </c>
      <c r="D1322" s="1">
        <v>43430</v>
      </c>
      <c r="E1322" t="str">
        <f>"201811155242"</f>
        <v>201811155242</v>
      </c>
      <c r="F1322" t="str">
        <f>"INDIGENT HEALTH"</f>
        <v>INDIGENT HEALTH</v>
      </c>
      <c r="G1322" s="2">
        <v>119.76</v>
      </c>
      <c r="H1322" t="str">
        <f t="shared" si="19"/>
        <v>INDIGENT HEALTH</v>
      </c>
    </row>
    <row r="1323" spans="1:8" x14ac:dyDescent="0.25">
      <c r="E1323" t="str">
        <f>"201811155243"</f>
        <v>201811155243</v>
      </c>
      <c r="F1323" t="str">
        <f>"INDIGENT HEALTH"</f>
        <v>INDIGENT HEALTH</v>
      </c>
      <c r="G1323" s="2">
        <v>345.51</v>
      </c>
      <c r="H1323" t="str">
        <f t="shared" si="19"/>
        <v>INDIGENT HEALTH</v>
      </c>
    </row>
    <row r="1324" spans="1:8" x14ac:dyDescent="0.25">
      <c r="A1324" t="s">
        <v>461</v>
      </c>
      <c r="B1324">
        <v>79572</v>
      </c>
      <c r="C1324" s="3">
        <v>311.86</v>
      </c>
      <c r="D1324" s="1">
        <v>43417</v>
      </c>
      <c r="E1324" t="str">
        <f>"201811074989"</f>
        <v>201811074989</v>
      </c>
      <c r="F1324" t="str">
        <f>"INDIGENT HEALTH"</f>
        <v>INDIGENT HEALTH</v>
      </c>
      <c r="G1324" s="2">
        <v>311.86</v>
      </c>
      <c r="H1324" t="str">
        <f t="shared" si="19"/>
        <v>INDIGENT HEALTH</v>
      </c>
    </row>
    <row r="1325" spans="1:8" x14ac:dyDescent="0.25">
      <c r="A1325" t="s">
        <v>461</v>
      </c>
      <c r="B1325">
        <v>79757</v>
      </c>
      <c r="C1325" s="3">
        <v>136.01</v>
      </c>
      <c r="D1325" s="1">
        <v>43430</v>
      </c>
      <c r="E1325" t="str">
        <f>"201811155241"</f>
        <v>201811155241</v>
      </c>
      <c r="F1325" t="str">
        <f>"INDIGENT HEALTH"</f>
        <v>INDIGENT HEALTH</v>
      </c>
      <c r="G1325" s="2">
        <v>136.01</v>
      </c>
      <c r="H1325" t="str">
        <f t="shared" si="19"/>
        <v>INDIGENT HEALTH</v>
      </c>
    </row>
    <row r="1326" spans="1:8" x14ac:dyDescent="0.25">
      <c r="A1326" t="s">
        <v>462</v>
      </c>
      <c r="B1326">
        <v>79573</v>
      </c>
      <c r="C1326" s="3">
        <v>350.73</v>
      </c>
      <c r="D1326" s="1">
        <v>43417</v>
      </c>
      <c r="E1326" t="str">
        <f>"15887046"</f>
        <v>15887046</v>
      </c>
      <c r="F1326" t="str">
        <f>"INV 15887046"</f>
        <v>INV 15887046</v>
      </c>
      <c r="G1326" s="2">
        <v>350.73</v>
      </c>
      <c r="H1326" t="str">
        <f>"INV 15887046"</f>
        <v>INV 15887046</v>
      </c>
    </row>
    <row r="1327" spans="1:8" x14ac:dyDescent="0.25">
      <c r="A1327" t="s">
        <v>463</v>
      </c>
      <c r="B1327">
        <v>79574</v>
      </c>
      <c r="C1327" s="3">
        <v>1996.89</v>
      </c>
      <c r="D1327" s="1">
        <v>43417</v>
      </c>
      <c r="E1327" t="str">
        <f>"8051806664"</f>
        <v>8051806664</v>
      </c>
      <c r="F1327" t="str">
        <f>"Sum inv# 8051806664"</f>
        <v>Sum inv# 8051806664</v>
      </c>
      <c r="G1327" s="2">
        <v>1996.89</v>
      </c>
      <c r="H1327" t="str">
        <f>"Inv# 3393362528"</f>
        <v>Inv# 3393362528</v>
      </c>
    </row>
    <row r="1328" spans="1:8" x14ac:dyDescent="0.25">
      <c r="E1328" t="str">
        <f>""</f>
        <v/>
      </c>
      <c r="F1328" t="str">
        <f>""</f>
        <v/>
      </c>
      <c r="H1328" t="str">
        <f>"Inv# 3393362535"</f>
        <v>Inv# 3393362535</v>
      </c>
    </row>
    <row r="1329" spans="1:8" x14ac:dyDescent="0.25">
      <c r="E1329" t="str">
        <f>""</f>
        <v/>
      </c>
      <c r="F1329" t="str">
        <f>""</f>
        <v/>
      </c>
      <c r="H1329" t="str">
        <f>"Inv# 3393362537"</f>
        <v>Inv# 3393362537</v>
      </c>
    </row>
    <row r="1330" spans="1:8" x14ac:dyDescent="0.25">
      <c r="E1330" t="str">
        <f>""</f>
        <v/>
      </c>
      <c r="F1330" t="str">
        <f>""</f>
        <v/>
      </c>
      <c r="H1330" t="str">
        <f>"Inv# 3393362538"</f>
        <v>Inv# 3393362538</v>
      </c>
    </row>
    <row r="1331" spans="1:8" x14ac:dyDescent="0.25">
      <c r="E1331" t="str">
        <f>""</f>
        <v/>
      </c>
      <c r="F1331" t="str">
        <f>""</f>
        <v/>
      </c>
      <c r="H1331" t="str">
        <f>"Inv# 3393362539"</f>
        <v>Inv# 3393362539</v>
      </c>
    </row>
    <row r="1332" spans="1:8" x14ac:dyDescent="0.25">
      <c r="E1332" t="str">
        <f>""</f>
        <v/>
      </c>
      <c r="F1332" t="str">
        <f>""</f>
        <v/>
      </c>
      <c r="H1332" t="str">
        <f>"Inv# 3393362529"</f>
        <v>Inv# 3393362529</v>
      </c>
    </row>
    <row r="1333" spans="1:8" x14ac:dyDescent="0.25">
      <c r="E1333" t="str">
        <f>""</f>
        <v/>
      </c>
      <c r="F1333" t="str">
        <f>""</f>
        <v/>
      </c>
      <c r="H1333" t="str">
        <f>"Inv# 3393362530"</f>
        <v>Inv# 3393362530</v>
      </c>
    </row>
    <row r="1334" spans="1:8" x14ac:dyDescent="0.25">
      <c r="E1334" t="str">
        <f>""</f>
        <v/>
      </c>
      <c r="F1334" t="str">
        <f>""</f>
        <v/>
      </c>
      <c r="H1334" t="str">
        <f>"Inv# 3393362531"</f>
        <v>Inv# 3393362531</v>
      </c>
    </row>
    <row r="1335" spans="1:8" x14ac:dyDescent="0.25">
      <c r="E1335" t="str">
        <f>""</f>
        <v/>
      </c>
      <c r="F1335" t="str">
        <f>""</f>
        <v/>
      </c>
      <c r="H1335" t="str">
        <f>"Inv# 3393362532"</f>
        <v>Inv# 3393362532</v>
      </c>
    </row>
    <row r="1336" spans="1:8" x14ac:dyDescent="0.25">
      <c r="E1336" t="str">
        <f>""</f>
        <v/>
      </c>
      <c r="F1336" t="str">
        <f>""</f>
        <v/>
      </c>
      <c r="H1336" t="str">
        <f>"Inv# 3393362540"</f>
        <v>Inv# 3393362540</v>
      </c>
    </row>
    <row r="1337" spans="1:8" x14ac:dyDescent="0.25">
      <c r="E1337" t="str">
        <f>""</f>
        <v/>
      </c>
      <c r="F1337" t="str">
        <f>""</f>
        <v/>
      </c>
      <c r="H1337" t="str">
        <f>"Inv# 3393362533"</f>
        <v>Inv# 3393362533</v>
      </c>
    </row>
    <row r="1338" spans="1:8" x14ac:dyDescent="0.25">
      <c r="E1338" t="str">
        <f>""</f>
        <v/>
      </c>
      <c r="F1338" t="str">
        <f>""</f>
        <v/>
      </c>
      <c r="H1338" t="str">
        <f>"Inv# 3393362534"</f>
        <v>Inv# 3393362534</v>
      </c>
    </row>
    <row r="1339" spans="1:8" x14ac:dyDescent="0.25">
      <c r="E1339" t="str">
        <f>""</f>
        <v/>
      </c>
      <c r="F1339" t="str">
        <f>""</f>
        <v/>
      </c>
      <c r="H1339" t="str">
        <f>"Inv# 3393362525"</f>
        <v>Inv# 3393362525</v>
      </c>
    </row>
    <row r="1340" spans="1:8" x14ac:dyDescent="0.25">
      <c r="E1340" t="str">
        <f>""</f>
        <v/>
      </c>
      <c r="F1340" t="str">
        <f>""</f>
        <v/>
      </c>
      <c r="H1340" t="str">
        <f>"Inv# 3393362526"</f>
        <v>Inv# 3393362526</v>
      </c>
    </row>
    <row r="1341" spans="1:8" x14ac:dyDescent="0.25">
      <c r="E1341" t="str">
        <f>""</f>
        <v/>
      </c>
      <c r="F1341" t="str">
        <f>""</f>
        <v/>
      </c>
      <c r="H1341" t="str">
        <f>"Inv# 3393362527"</f>
        <v>Inv# 3393362527</v>
      </c>
    </row>
    <row r="1342" spans="1:8" x14ac:dyDescent="0.25">
      <c r="E1342" t="str">
        <f>""</f>
        <v/>
      </c>
      <c r="F1342" t="str">
        <f>""</f>
        <v/>
      </c>
      <c r="H1342" t="str">
        <f>"Inv# 3393362536"</f>
        <v>Inv# 3393362536</v>
      </c>
    </row>
    <row r="1343" spans="1:8" x14ac:dyDescent="0.25">
      <c r="A1343" t="s">
        <v>463</v>
      </c>
      <c r="B1343">
        <v>79758</v>
      </c>
      <c r="C1343" s="3">
        <v>3017</v>
      </c>
      <c r="D1343" s="1">
        <v>43430</v>
      </c>
      <c r="E1343" t="str">
        <f>"8051994967"</f>
        <v>8051994967</v>
      </c>
      <c r="F1343" t="str">
        <f>"Sum Inv# 8051994967"</f>
        <v>Sum Inv# 8051994967</v>
      </c>
      <c r="G1343" s="2">
        <v>3017</v>
      </c>
      <c r="H1343" t="str">
        <f>"Inv# 3395064571"</f>
        <v>Inv# 3395064571</v>
      </c>
    </row>
    <row r="1344" spans="1:8" x14ac:dyDescent="0.25">
      <c r="E1344" t="str">
        <f>""</f>
        <v/>
      </c>
      <c r="F1344" t="str">
        <f>""</f>
        <v/>
      </c>
      <c r="H1344" t="str">
        <f>"Inv# 3395064572"</f>
        <v>Inv# 3395064572</v>
      </c>
    </row>
    <row r="1345" spans="5:8" x14ac:dyDescent="0.25">
      <c r="E1345" t="str">
        <f>""</f>
        <v/>
      </c>
      <c r="F1345" t="str">
        <f>""</f>
        <v/>
      </c>
      <c r="H1345" t="str">
        <f>"Inv# 3395064569"</f>
        <v>Inv# 3395064569</v>
      </c>
    </row>
    <row r="1346" spans="5:8" x14ac:dyDescent="0.25">
      <c r="E1346" t="str">
        <f>""</f>
        <v/>
      </c>
      <c r="F1346" t="str">
        <f>""</f>
        <v/>
      </c>
      <c r="H1346" t="str">
        <f>"Inv# 3395064566"</f>
        <v>Inv# 3395064566</v>
      </c>
    </row>
    <row r="1347" spans="5:8" x14ac:dyDescent="0.25">
      <c r="E1347" t="str">
        <f>""</f>
        <v/>
      </c>
      <c r="F1347" t="str">
        <f>""</f>
        <v/>
      </c>
      <c r="H1347" t="str">
        <f>"Inv# 3395064567"</f>
        <v>Inv# 3395064567</v>
      </c>
    </row>
    <row r="1348" spans="5:8" x14ac:dyDescent="0.25">
      <c r="E1348" t="str">
        <f>""</f>
        <v/>
      </c>
      <c r="F1348" t="str">
        <f>""</f>
        <v/>
      </c>
      <c r="H1348" t="str">
        <f>"Inv# 3395064568"</f>
        <v>Inv# 3395064568</v>
      </c>
    </row>
    <row r="1349" spans="5:8" x14ac:dyDescent="0.25">
      <c r="E1349" t="str">
        <f>""</f>
        <v/>
      </c>
      <c r="F1349" t="str">
        <f>""</f>
        <v/>
      </c>
      <c r="H1349" t="str">
        <f>"Inv# 3395064575"</f>
        <v>Inv# 3395064575</v>
      </c>
    </row>
    <row r="1350" spans="5:8" x14ac:dyDescent="0.25">
      <c r="E1350" t="str">
        <f>""</f>
        <v/>
      </c>
      <c r="F1350" t="str">
        <f>""</f>
        <v/>
      </c>
      <c r="H1350" t="str">
        <f>"Inv# 3395064576"</f>
        <v>Inv# 3395064576</v>
      </c>
    </row>
    <row r="1351" spans="5:8" x14ac:dyDescent="0.25">
      <c r="E1351" t="str">
        <f>""</f>
        <v/>
      </c>
      <c r="F1351" t="str">
        <f>""</f>
        <v/>
      </c>
      <c r="H1351" t="str">
        <f>"Inv# 3395064558"</f>
        <v>Inv# 3395064558</v>
      </c>
    </row>
    <row r="1352" spans="5:8" x14ac:dyDescent="0.25">
      <c r="E1352" t="str">
        <f>""</f>
        <v/>
      </c>
      <c r="F1352" t="str">
        <f>""</f>
        <v/>
      </c>
      <c r="H1352" t="str">
        <f>"Inv# 3395064559"</f>
        <v>Inv# 3395064559</v>
      </c>
    </row>
    <row r="1353" spans="5:8" x14ac:dyDescent="0.25">
      <c r="E1353" t="str">
        <f>""</f>
        <v/>
      </c>
      <c r="F1353" t="str">
        <f>""</f>
        <v/>
      </c>
      <c r="H1353" t="str">
        <f>"Inv# 3395064573"</f>
        <v>Inv# 3395064573</v>
      </c>
    </row>
    <row r="1354" spans="5:8" x14ac:dyDescent="0.25">
      <c r="E1354" t="str">
        <f>""</f>
        <v/>
      </c>
      <c r="F1354" t="str">
        <f>""</f>
        <v/>
      </c>
      <c r="H1354" t="str">
        <f>"Inv# 3395064574"</f>
        <v>Inv# 3395064574</v>
      </c>
    </row>
    <row r="1355" spans="5:8" x14ac:dyDescent="0.25">
      <c r="E1355" t="str">
        <f>""</f>
        <v/>
      </c>
      <c r="F1355" t="str">
        <f>""</f>
        <v/>
      </c>
      <c r="H1355" t="str">
        <f>"Inv# 3395064577"</f>
        <v>Inv# 3395064577</v>
      </c>
    </row>
    <row r="1356" spans="5:8" x14ac:dyDescent="0.25">
      <c r="E1356" t="str">
        <f>""</f>
        <v/>
      </c>
      <c r="F1356" t="str">
        <f>""</f>
        <v/>
      </c>
      <c r="H1356" t="str">
        <f>"Inv# 3395064561"</f>
        <v>Inv# 3395064561</v>
      </c>
    </row>
    <row r="1357" spans="5:8" x14ac:dyDescent="0.25">
      <c r="E1357" t="str">
        <f>""</f>
        <v/>
      </c>
      <c r="F1357" t="str">
        <f>""</f>
        <v/>
      </c>
      <c r="H1357" t="str">
        <f>"Inv# 3395064562"</f>
        <v>Inv# 3395064562</v>
      </c>
    </row>
    <row r="1358" spans="5:8" x14ac:dyDescent="0.25">
      <c r="E1358" t="str">
        <f>""</f>
        <v/>
      </c>
      <c r="F1358" t="str">
        <f>""</f>
        <v/>
      </c>
      <c r="H1358" t="str">
        <f>"Inv# 3395064563"</f>
        <v>Inv# 3395064563</v>
      </c>
    </row>
    <row r="1359" spans="5:8" x14ac:dyDescent="0.25">
      <c r="E1359" t="str">
        <f>""</f>
        <v/>
      </c>
      <c r="F1359" t="str">
        <f>""</f>
        <v/>
      </c>
      <c r="H1359" t="str">
        <f>"Inv# 3395064564"</f>
        <v>Inv# 3395064564</v>
      </c>
    </row>
    <row r="1360" spans="5:8" x14ac:dyDescent="0.25">
      <c r="E1360" t="str">
        <f>""</f>
        <v/>
      </c>
      <c r="F1360" t="str">
        <f>""</f>
        <v/>
      </c>
      <c r="H1360" t="str">
        <f>"Inv# 3395064565"</f>
        <v>Inv# 3395064565</v>
      </c>
    </row>
    <row r="1361" spans="1:8" x14ac:dyDescent="0.25">
      <c r="E1361" t="str">
        <f>""</f>
        <v/>
      </c>
      <c r="F1361" t="str">
        <f>""</f>
        <v/>
      </c>
      <c r="H1361" t="str">
        <f>"Inv# 3395064560"</f>
        <v>Inv# 3395064560</v>
      </c>
    </row>
    <row r="1362" spans="1:8" x14ac:dyDescent="0.25">
      <c r="A1362" t="s">
        <v>464</v>
      </c>
      <c r="B1362">
        <v>79759</v>
      </c>
      <c r="C1362" s="3">
        <v>105</v>
      </c>
      <c r="D1362" s="1">
        <v>43430</v>
      </c>
      <c r="E1362" t="str">
        <f>"SALES000000336385"</f>
        <v>SALES000000336385</v>
      </c>
      <c r="F1362" t="str">
        <f>"TX CRIMINAL PJC-CRIMINAL DEFEN"</f>
        <v>TX CRIMINAL PJC-CRIMINAL DEFEN</v>
      </c>
      <c r="G1362" s="2">
        <v>105</v>
      </c>
      <c r="H1362" t="str">
        <f>"TX CRIMINAL PJC-CRIMINAL DEFEN"</f>
        <v>TX CRIMINAL PJC-CRIMINAL DEFEN</v>
      </c>
    </row>
    <row r="1363" spans="1:8" x14ac:dyDescent="0.25">
      <c r="A1363" t="s">
        <v>465</v>
      </c>
      <c r="B1363">
        <v>79760</v>
      </c>
      <c r="C1363" s="3">
        <v>50</v>
      </c>
      <c r="D1363" s="1">
        <v>43430</v>
      </c>
      <c r="E1363" t="str">
        <f>"201811165267"</f>
        <v>201811165267</v>
      </c>
      <c r="F1363" t="str">
        <f>"POLICY#90-EL-R871-6 J ENSINGER"</f>
        <v>POLICY#90-EL-R871-6 J ENSINGER</v>
      </c>
      <c r="G1363" s="2">
        <v>50</v>
      </c>
      <c r="H1363" t="str">
        <f>"POLICY#90-EL-R871-6 J ENSINGER"</f>
        <v>POLICY#90-EL-R871-6 J ENSINGER</v>
      </c>
    </row>
    <row r="1364" spans="1:8" x14ac:dyDescent="0.25">
      <c r="A1364" t="s">
        <v>466</v>
      </c>
      <c r="B1364">
        <v>79761</v>
      </c>
      <c r="C1364" s="3">
        <v>900</v>
      </c>
      <c r="D1364" s="1">
        <v>43430</v>
      </c>
      <c r="E1364" t="str">
        <f>"201811155157"</f>
        <v>201811155157</v>
      </c>
      <c r="F1364" t="str">
        <f>"OCTOBER 2018"</f>
        <v>OCTOBER 2018</v>
      </c>
      <c r="G1364" s="2">
        <v>900</v>
      </c>
      <c r="H1364" t="str">
        <f>"OCTOBER 2018"</f>
        <v>OCTOBER 2018</v>
      </c>
    </row>
    <row r="1365" spans="1:8" x14ac:dyDescent="0.25">
      <c r="A1365" t="s">
        <v>467</v>
      </c>
      <c r="B1365">
        <v>79575</v>
      </c>
      <c r="C1365" s="3">
        <v>758.72</v>
      </c>
      <c r="D1365" s="1">
        <v>43417</v>
      </c>
      <c r="E1365" t="str">
        <f>"4008167680"</f>
        <v>4008167680</v>
      </c>
      <c r="F1365" t="str">
        <f>"INV 4008167680"</f>
        <v>INV 4008167680</v>
      </c>
      <c r="G1365" s="2">
        <v>758.72</v>
      </c>
      <c r="H1365" t="str">
        <f>"INV 4008167680"</f>
        <v>INV 4008167680</v>
      </c>
    </row>
    <row r="1366" spans="1:8" x14ac:dyDescent="0.25">
      <c r="A1366" t="s">
        <v>468</v>
      </c>
      <c r="B1366">
        <v>79576</v>
      </c>
      <c r="C1366" s="3">
        <v>650</v>
      </c>
      <c r="D1366" s="1">
        <v>43417</v>
      </c>
      <c r="E1366" t="str">
        <f>"201811064871"</f>
        <v>201811064871</v>
      </c>
      <c r="F1366" t="str">
        <f>"TRASH REMOVAL 10/22-10/31/P4"</f>
        <v>TRASH REMOVAL 10/22-10/31/P4</v>
      </c>
      <c r="G1366" s="2">
        <v>364</v>
      </c>
      <c r="H1366" t="str">
        <f>"TRASH REMOVAL 10/22-10/31/P4"</f>
        <v>TRASH REMOVAL 10/22-10/31/P4</v>
      </c>
    </row>
    <row r="1367" spans="1:8" x14ac:dyDescent="0.25">
      <c r="E1367" t="str">
        <f>"201811064872"</f>
        <v>201811064872</v>
      </c>
      <c r="F1367" t="str">
        <f>"TRASH REMOVAL 11/1-11/9/P4"</f>
        <v>TRASH REMOVAL 11/1-11/9/P4</v>
      </c>
      <c r="G1367" s="2">
        <v>286</v>
      </c>
      <c r="H1367" t="str">
        <f>"TRASH REMOVAL 11/1-11/9/P4"</f>
        <v>TRASH REMOVAL 11/1-11/9/P4</v>
      </c>
    </row>
    <row r="1368" spans="1:8" x14ac:dyDescent="0.25">
      <c r="A1368" t="s">
        <v>468</v>
      </c>
      <c r="B1368">
        <v>79762</v>
      </c>
      <c r="C1368" s="3">
        <v>286</v>
      </c>
      <c r="D1368" s="1">
        <v>43430</v>
      </c>
      <c r="E1368" t="str">
        <f>"201811195274"</f>
        <v>201811195274</v>
      </c>
      <c r="F1368" t="str">
        <f>"TRASH REMOVAL 11/12-11/23/P4"</f>
        <v>TRASH REMOVAL 11/12-11/23/P4</v>
      </c>
      <c r="G1368" s="2">
        <v>286</v>
      </c>
      <c r="H1368" t="str">
        <f>"TRASH REMOVAL 11/12-11/23/P4"</f>
        <v>TRASH REMOVAL 11/12-11/23/P4</v>
      </c>
    </row>
    <row r="1369" spans="1:8" x14ac:dyDescent="0.25">
      <c r="A1369" t="s">
        <v>469</v>
      </c>
      <c r="B1369">
        <v>79577</v>
      </c>
      <c r="C1369" s="3">
        <v>175</v>
      </c>
      <c r="D1369" s="1">
        <v>43417</v>
      </c>
      <c r="E1369" t="str">
        <f>"201811074953"</f>
        <v>201811074953</v>
      </c>
      <c r="F1369" t="str">
        <f>"OCTOBER INVOICE"</f>
        <v>OCTOBER INVOICE</v>
      </c>
      <c r="G1369" s="2">
        <v>175</v>
      </c>
      <c r="H1369" t="str">
        <f>"OCTOBER INVOICE"</f>
        <v>OCTOBER INVOICE</v>
      </c>
    </row>
    <row r="1370" spans="1:8" x14ac:dyDescent="0.25">
      <c r="A1370" t="s">
        <v>470</v>
      </c>
      <c r="B1370">
        <v>79578</v>
      </c>
      <c r="C1370" s="3">
        <v>170</v>
      </c>
      <c r="D1370" s="1">
        <v>43417</v>
      </c>
      <c r="E1370" t="str">
        <f>"201811024808"</f>
        <v>201811024808</v>
      </c>
      <c r="F1370" t="str">
        <f>"REIMBURSE MTUG MEMBERSHIP"</f>
        <v>REIMBURSE MTUG MEMBERSHIP</v>
      </c>
      <c r="G1370" s="2">
        <v>170</v>
      </c>
      <c r="H1370" t="str">
        <f>"REIMBURSE MTUG MEMBERSHIP"</f>
        <v>REIMBURSE MTUG MEMBERSHIP</v>
      </c>
    </row>
    <row r="1371" spans="1:8" x14ac:dyDescent="0.25">
      <c r="A1371" t="s">
        <v>470</v>
      </c>
      <c r="B1371">
        <v>79763</v>
      </c>
      <c r="C1371" s="3">
        <v>247.7</v>
      </c>
      <c r="D1371" s="1">
        <v>43430</v>
      </c>
      <c r="E1371" t="str">
        <f>"201811165266"</f>
        <v>201811165266</v>
      </c>
      <c r="F1371" t="str">
        <f>"REIMBURSE HOTEL"</f>
        <v>REIMBURSE HOTEL</v>
      </c>
      <c r="G1371" s="2">
        <v>247.7</v>
      </c>
      <c r="H1371" t="str">
        <f>"REIMBURSE HOTEL"</f>
        <v>REIMBURSE HOTEL</v>
      </c>
    </row>
    <row r="1372" spans="1:8" x14ac:dyDescent="0.25">
      <c r="A1372" t="s">
        <v>471</v>
      </c>
      <c r="B1372">
        <v>79579</v>
      </c>
      <c r="C1372" s="3">
        <v>216.45</v>
      </c>
      <c r="D1372" s="1">
        <v>43417</v>
      </c>
      <c r="E1372" t="str">
        <f>"201811064864"</f>
        <v>201811064864</v>
      </c>
      <c r="F1372" t="str">
        <f>"REIMBURSE UNIFORM JEANS"</f>
        <v>REIMBURSE UNIFORM JEANS</v>
      </c>
      <c r="G1372" s="2">
        <v>216.45</v>
      </c>
      <c r="H1372" t="str">
        <f>"REIMBURSE UNIFORM JEANS"</f>
        <v>REIMBURSE UNIFORM JEANS</v>
      </c>
    </row>
    <row r="1373" spans="1:8" x14ac:dyDescent="0.25">
      <c r="A1373" t="s">
        <v>472</v>
      </c>
      <c r="B1373">
        <v>79580</v>
      </c>
      <c r="C1373" s="3">
        <v>500</v>
      </c>
      <c r="D1373" s="1">
        <v>43417</v>
      </c>
      <c r="E1373" t="str">
        <f>"1067"</f>
        <v>1067</v>
      </c>
      <c r="F1373" t="str">
        <f>"EVENT SPONSOR-AUSTIN  FILM FES"</f>
        <v>EVENT SPONSOR-AUSTIN  FILM FES</v>
      </c>
      <c r="G1373" s="2">
        <v>500</v>
      </c>
      <c r="H1373" t="str">
        <f>"EVENT SPONSOR-AUSTIN  FILM FES"</f>
        <v>EVENT SPONSOR-AUSTIN  FILM FES</v>
      </c>
    </row>
    <row r="1374" spans="1:8" x14ac:dyDescent="0.25">
      <c r="A1374" t="s">
        <v>473</v>
      </c>
      <c r="B1374">
        <v>999999</v>
      </c>
      <c r="C1374" s="3">
        <v>12480</v>
      </c>
      <c r="D1374" s="1">
        <v>43418</v>
      </c>
      <c r="E1374" t="str">
        <f>"245"</f>
        <v>245</v>
      </c>
      <c r="F1374" t="str">
        <f>"SHREDDING/MOWING/PCT#2"</f>
        <v>SHREDDING/MOWING/PCT#2</v>
      </c>
      <c r="G1374" s="2">
        <v>12480</v>
      </c>
      <c r="H1374" t="str">
        <f>"SHREDDING/MOWING/PCT#2"</f>
        <v>SHREDDING/MOWING/PCT#2</v>
      </c>
    </row>
    <row r="1375" spans="1:8" x14ac:dyDescent="0.25">
      <c r="A1375" t="s">
        <v>474</v>
      </c>
      <c r="B1375">
        <v>999999</v>
      </c>
      <c r="C1375" s="3">
        <v>3946.75</v>
      </c>
      <c r="D1375" s="1">
        <v>43418</v>
      </c>
      <c r="E1375" t="str">
        <f>"95021526"</f>
        <v>95021526</v>
      </c>
      <c r="F1375" t="str">
        <f>"ACCT#10187718/PCT#2"</f>
        <v>ACCT#10187718/PCT#2</v>
      </c>
      <c r="G1375" s="2">
        <v>3946.75</v>
      </c>
      <c r="H1375" t="str">
        <f>"ACCT#10187718/PCT#2"</f>
        <v>ACCT#10187718/PCT#2</v>
      </c>
    </row>
    <row r="1376" spans="1:8" x14ac:dyDescent="0.25">
      <c r="A1376" t="s">
        <v>474</v>
      </c>
      <c r="B1376">
        <v>999999</v>
      </c>
      <c r="C1376" s="3">
        <v>4382.16</v>
      </c>
      <c r="D1376" s="1">
        <v>43431</v>
      </c>
      <c r="E1376" t="str">
        <f>"95050522"</f>
        <v>95050522</v>
      </c>
      <c r="F1376" t="str">
        <f>"ACCT#10187718/PCT#2"</f>
        <v>ACCT#10187718/PCT#2</v>
      </c>
      <c r="G1376" s="2">
        <v>4382.16</v>
      </c>
      <c r="H1376" t="str">
        <f>"ACCT#10187718/PCT#2"</f>
        <v>ACCT#10187718/PCT#2</v>
      </c>
    </row>
    <row r="1377" spans="1:8" x14ac:dyDescent="0.25">
      <c r="A1377" t="s">
        <v>475</v>
      </c>
      <c r="B1377">
        <v>79581</v>
      </c>
      <c r="C1377" s="3">
        <v>205.56</v>
      </c>
      <c r="D1377" s="1">
        <v>43417</v>
      </c>
      <c r="E1377" t="str">
        <f>"201811074943"</f>
        <v>201811074943</v>
      </c>
      <c r="F1377" t="str">
        <f>"PER DIEM/MILEAGE"</f>
        <v>PER DIEM/MILEAGE</v>
      </c>
      <c r="G1377" s="2">
        <v>205.56</v>
      </c>
      <c r="H1377" t="str">
        <f>"PER DIEM"</f>
        <v>PER DIEM</v>
      </c>
    </row>
    <row r="1378" spans="1:8" x14ac:dyDescent="0.25">
      <c r="E1378" t="str">
        <f>""</f>
        <v/>
      </c>
      <c r="F1378" t="str">
        <f>""</f>
        <v/>
      </c>
      <c r="H1378" t="str">
        <f>"PER MILEAGE"</f>
        <v>PER MILEAGE</v>
      </c>
    </row>
    <row r="1379" spans="1:8" x14ac:dyDescent="0.25">
      <c r="A1379" t="s">
        <v>476</v>
      </c>
      <c r="B1379">
        <v>79582</v>
      </c>
      <c r="C1379" s="3">
        <v>60</v>
      </c>
      <c r="D1379" s="1">
        <v>43417</v>
      </c>
      <c r="E1379" t="str">
        <f>"201811074958"</f>
        <v>201811074958</v>
      </c>
      <c r="F1379" t="str">
        <f>"TAMMY GOODSON"</f>
        <v>TAMMY GOODSON</v>
      </c>
      <c r="G1379" s="2">
        <v>60</v>
      </c>
      <c r="H1379" t="str">
        <f>""</f>
        <v/>
      </c>
    </row>
    <row r="1380" spans="1:8" x14ac:dyDescent="0.25">
      <c r="A1380" t="s">
        <v>477</v>
      </c>
      <c r="B1380">
        <v>79764</v>
      </c>
      <c r="C1380" s="3">
        <v>75</v>
      </c>
      <c r="D1380" s="1">
        <v>43430</v>
      </c>
      <c r="E1380" t="str">
        <f>"12722"</f>
        <v>12722</v>
      </c>
      <c r="F1380" t="str">
        <f>"SERVICE"</f>
        <v>SERVICE</v>
      </c>
      <c r="G1380" s="2">
        <v>75</v>
      </c>
      <c r="H1380" t="str">
        <f>"SERVICE"</f>
        <v>SERVICE</v>
      </c>
    </row>
    <row r="1381" spans="1:8" x14ac:dyDescent="0.25">
      <c r="A1381" t="s">
        <v>478</v>
      </c>
      <c r="B1381">
        <v>79765</v>
      </c>
      <c r="C1381" s="3">
        <v>1500</v>
      </c>
      <c r="D1381" s="1">
        <v>43430</v>
      </c>
      <c r="E1381" t="str">
        <f>"15-00810"</f>
        <v>15-00810</v>
      </c>
      <c r="F1381" t="str">
        <f>"HAZARDOUS MATERIAL"</f>
        <v>HAZARDOUS MATERIAL</v>
      </c>
      <c r="G1381" s="2">
        <v>1500</v>
      </c>
      <c r="H1381" t="str">
        <f>"Waste Packing  Trans"</f>
        <v>Waste Packing  Trans</v>
      </c>
    </row>
    <row r="1382" spans="1:8" x14ac:dyDescent="0.25">
      <c r="A1382" t="s">
        <v>479</v>
      </c>
      <c r="B1382">
        <v>999999</v>
      </c>
      <c r="C1382" s="3">
        <v>86.16</v>
      </c>
      <c r="D1382" s="1">
        <v>43418</v>
      </c>
      <c r="E1382" t="str">
        <f>"18110103"</f>
        <v>18110103</v>
      </c>
      <c r="F1382" t="str">
        <f>"SERVICE CONTRACT USAGE"</f>
        <v>SERVICE CONTRACT USAGE</v>
      </c>
      <c r="G1382" s="2">
        <v>86.16</v>
      </c>
      <c r="H1382" t="str">
        <f>"SERVICE CONTRACT USAGE"</f>
        <v>SERVICE CONTRACT USAGE</v>
      </c>
    </row>
    <row r="1383" spans="1:8" x14ac:dyDescent="0.25">
      <c r="A1383" t="s">
        <v>480</v>
      </c>
      <c r="B1383">
        <v>79583</v>
      </c>
      <c r="C1383" s="3">
        <v>310</v>
      </c>
      <c r="D1383" s="1">
        <v>43417</v>
      </c>
      <c r="E1383" t="str">
        <f>"76532"</f>
        <v>76532</v>
      </c>
      <c r="F1383" t="str">
        <f>"ACCT#60-03-0970F/CTHOUSE ANNEX"</f>
        <v>ACCT#60-03-0970F/CTHOUSE ANNEX</v>
      </c>
      <c r="G1383" s="2">
        <v>310</v>
      </c>
      <c r="H1383" t="str">
        <f>"ACCT#60-03-0970F/CTHOUSE ANNEX"</f>
        <v>ACCT#60-03-0970F/CTHOUSE ANNEX</v>
      </c>
    </row>
    <row r="1384" spans="1:8" x14ac:dyDescent="0.25">
      <c r="A1384" t="s">
        <v>481</v>
      </c>
      <c r="B1384">
        <v>999999</v>
      </c>
      <c r="C1384" s="3">
        <v>201</v>
      </c>
      <c r="D1384" s="1">
        <v>43418</v>
      </c>
      <c r="E1384" t="str">
        <f>"1811054"</f>
        <v>1811054</v>
      </c>
      <c r="F1384" t="str">
        <f>"MONTHLY CONTRACT BILLING"</f>
        <v>MONTHLY CONTRACT BILLING</v>
      </c>
      <c r="G1384" s="2">
        <v>201</v>
      </c>
      <c r="H1384" t="str">
        <f>"MONTHLY CONTRACT BILLING"</f>
        <v>MONTHLY CONTRACT BILLING</v>
      </c>
    </row>
    <row r="1385" spans="1:8" x14ac:dyDescent="0.25">
      <c r="A1385" t="s">
        <v>482</v>
      </c>
      <c r="B1385">
        <v>999999</v>
      </c>
      <c r="C1385" s="3">
        <v>34</v>
      </c>
      <c r="D1385" s="1">
        <v>43418</v>
      </c>
      <c r="E1385" t="str">
        <f>"201811054834"</f>
        <v>201811054834</v>
      </c>
      <c r="F1385" t="str">
        <f>"ACCT#63275/CUST ID:BASCO1/P2"</f>
        <v>ACCT#63275/CUST ID:BASCO1/P2</v>
      </c>
      <c r="G1385" s="2">
        <v>17</v>
      </c>
      <c r="H1385" t="str">
        <f>"ACCT#63275/CUST ID:BASCO1/P2"</f>
        <v>ACCT#63275/CUST ID:BASCO1/P2</v>
      </c>
    </row>
    <row r="1386" spans="1:8" x14ac:dyDescent="0.25">
      <c r="E1386" t="str">
        <f>"78523"</f>
        <v>78523</v>
      </c>
      <c r="F1386" t="str">
        <f>"ACCT#63275/CUST ID:BASCO1/P1"</f>
        <v>ACCT#63275/CUST ID:BASCO1/P1</v>
      </c>
      <c r="G1386" s="2">
        <v>17</v>
      </c>
      <c r="H1386" t="str">
        <f>"ACCT#63275/CUST ID:BASCO1/P1"</f>
        <v>ACCT#63275/CUST ID:BASCO1/P1</v>
      </c>
    </row>
    <row r="1387" spans="1:8" x14ac:dyDescent="0.25">
      <c r="A1387" t="s">
        <v>483</v>
      </c>
      <c r="B1387">
        <v>79584</v>
      </c>
      <c r="C1387" s="3">
        <v>11191.94</v>
      </c>
      <c r="D1387" s="1">
        <v>43417</v>
      </c>
      <c r="E1387" t="str">
        <f>"0797758-IN"</f>
        <v>0797758-IN</v>
      </c>
      <c r="F1387" t="str">
        <f>"ACCT#01-0112917/BOL#288719/P3"</f>
        <v>ACCT#01-0112917/BOL#288719/P3</v>
      </c>
      <c r="G1387" s="2">
        <v>4763.3100000000004</v>
      </c>
      <c r="H1387" t="str">
        <f>"ACCT#01-0112917/BOL#288719/P3"</f>
        <v>ACCT#01-0112917/BOL#288719/P3</v>
      </c>
    </row>
    <row r="1388" spans="1:8" x14ac:dyDescent="0.25">
      <c r="E1388" t="str">
        <f>"0797768-IN"</f>
        <v>0797768-IN</v>
      </c>
      <c r="F1388" t="str">
        <f>"ACCT#010112917/FUEL/PCT#1"</f>
        <v>ACCT#010112917/FUEL/PCT#1</v>
      </c>
      <c r="G1388" s="2">
        <v>6428.63</v>
      </c>
      <c r="H1388" t="str">
        <f>"ACCT#010112917/FUEL/PCT#1"</f>
        <v>ACCT#010112917/FUEL/PCT#1</v>
      </c>
    </row>
    <row r="1389" spans="1:8" x14ac:dyDescent="0.25">
      <c r="A1389" t="s">
        <v>483</v>
      </c>
      <c r="B1389">
        <v>79766</v>
      </c>
      <c r="C1389" s="3">
        <v>5091.24</v>
      </c>
      <c r="D1389" s="1">
        <v>43430</v>
      </c>
      <c r="E1389" t="str">
        <f>"0800988-IN"</f>
        <v>0800988-IN</v>
      </c>
      <c r="F1389" t="str">
        <f>"BOL #289921 / PRECINCT #3"</f>
        <v>BOL #289921 / PRECINCT #3</v>
      </c>
      <c r="G1389" s="2">
        <v>4542.8100000000004</v>
      </c>
      <c r="H1389" t="str">
        <f>"BOL #289921 / PRECINCT #3"</f>
        <v>BOL #289921 / PRECINCT #3</v>
      </c>
    </row>
    <row r="1390" spans="1:8" x14ac:dyDescent="0.25">
      <c r="E1390" t="str">
        <f>"801618R-IN"</f>
        <v>801618R-IN</v>
      </c>
      <c r="F1390" t="str">
        <f>"INV 801618R-IN"</f>
        <v>INV 801618R-IN</v>
      </c>
      <c r="G1390" s="2">
        <v>548.42999999999995</v>
      </c>
      <c r="H1390" t="str">
        <f>"INV 801618R-IN"</f>
        <v>INV 801618R-IN</v>
      </c>
    </row>
    <row r="1391" spans="1:8" x14ac:dyDescent="0.25">
      <c r="A1391" t="s">
        <v>484</v>
      </c>
      <c r="B1391">
        <v>79585</v>
      </c>
      <c r="C1391" s="3">
        <v>3043.25</v>
      </c>
      <c r="D1391" s="1">
        <v>43417</v>
      </c>
      <c r="E1391" t="str">
        <f>"97149"</f>
        <v>97149</v>
      </c>
      <c r="F1391" t="str">
        <f>"TICKET#1099597/RIP RAP/PCT#4"</f>
        <v>TICKET#1099597/RIP RAP/PCT#4</v>
      </c>
      <c r="G1391" s="2">
        <v>491.75</v>
      </c>
      <c r="H1391" t="str">
        <f>"TICKET#1099597/RIP RAP/PCT#4"</f>
        <v>TICKET#1099597/RIP RAP/PCT#4</v>
      </c>
    </row>
    <row r="1392" spans="1:8" x14ac:dyDescent="0.25">
      <c r="E1392" t="str">
        <f>"97207"</f>
        <v>97207</v>
      </c>
      <c r="F1392" t="str">
        <f>"RIP RAP/PCT#4"</f>
        <v>RIP RAP/PCT#4</v>
      </c>
      <c r="G1392" s="2">
        <v>1548.4</v>
      </c>
      <c r="H1392" t="str">
        <f>"RIP RAP/PCT#4"</f>
        <v>RIP RAP/PCT#4</v>
      </c>
    </row>
    <row r="1393" spans="1:9" x14ac:dyDescent="0.25">
      <c r="E1393" t="str">
        <f>"97262"</f>
        <v>97262</v>
      </c>
      <c r="F1393" t="str">
        <f>"RIP RAP/PCT#4"</f>
        <v>RIP RAP/PCT#4</v>
      </c>
      <c r="G1393" s="2">
        <v>1003.1</v>
      </c>
      <c r="H1393" t="str">
        <f>"RIP RAP/PCT#4"</f>
        <v>RIP RAP/PCT#4</v>
      </c>
    </row>
    <row r="1394" spans="1:9" x14ac:dyDescent="0.25">
      <c r="A1394" t="s">
        <v>485</v>
      </c>
      <c r="B1394">
        <v>79586</v>
      </c>
      <c r="C1394" s="3">
        <v>450</v>
      </c>
      <c r="D1394" s="1">
        <v>43417</v>
      </c>
      <c r="E1394" t="str">
        <f>"2014"</f>
        <v>2014</v>
      </c>
      <c r="F1394" t="str">
        <f>"ITEM#43174/BON REN-R ETHEREDGE"</f>
        <v>ITEM#43174/BON REN-R ETHEREDGE</v>
      </c>
      <c r="G1394" s="2">
        <v>50</v>
      </c>
      <c r="H1394" t="str">
        <f>"ITEM#43174/BON REN-R ETHEREDGE"</f>
        <v>ITEM#43174/BON REN-R ETHEREDGE</v>
      </c>
    </row>
    <row r="1395" spans="1:9" x14ac:dyDescent="0.25">
      <c r="E1395" t="str">
        <f>"201811074952"</f>
        <v>201811074952</v>
      </c>
      <c r="F1395" t="str">
        <f>"NOV BONDS"</f>
        <v>NOV BONDS</v>
      </c>
      <c r="G1395" s="2">
        <v>250</v>
      </c>
      <c r="H1395" t="str">
        <f>"NOV BONDS"</f>
        <v>NOV BONDS</v>
      </c>
    </row>
    <row r="1396" spans="1:9" x14ac:dyDescent="0.25">
      <c r="E1396" t="str">
        <f>"2162"</f>
        <v>2162</v>
      </c>
      <c r="F1396" t="str">
        <f>"ITEM#46535/BOND REN-J. PACHECO"</f>
        <v>ITEM#46535/BOND REN-J. PACHECO</v>
      </c>
      <c r="G1396" s="2">
        <v>50</v>
      </c>
      <c r="H1396" t="str">
        <f>"ACCT#BASTCOU-08/BOND RENEWAL"</f>
        <v>ACCT#BASTCOU-08/BOND RENEWAL</v>
      </c>
    </row>
    <row r="1397" spans="1:9" x14ac:dyDescent="0.25">
      <c r="E1397" t="str">
        <f>"2163"</f>
        <v>2163</v>
      </c>
      <c r="F1397" t="str">
        <f>"ITEM#46536/BOND REN-M. KINCAID"</f>
        <v>ITEM#46536/BOND REN-M. KINCAID</v>
      </c>
      <c r="G1397" s="2">
        <v>50</v>
      </c>
      <c r="H1397" t="str">
        <f>"ACCT#BASTCOU-08/BOND RENEWAL"</f>
        <v>ACCT#BASTCOU-08/BOND RENEWAL</v>
      </c>
    </row>
    <row r="1398" spans="1:9" x14ac:dyDescent="0.25">
      <c r="E1398" t="str">
        <f>"2179"</f>
        <v>2179</v>
      </c>
      <c r="F1398" t="str">
        <f>"ACCT#BASTCOU-08/BOND-D.CARTER"</f>
        <v>ACCT#BASTCOU-08/BOND-D.CARTER</v>
      </c>
      <c r="G1398" s="2">
        <v>50</v>
      </c>
      <c r="H1398" t="str">
        <f>"ACCT#BASTCOU-08/BOND-D.CARTER"</f>
        <v>ACCT#BASTCOU-08/BOND-D.CARTER</v>
      </c>
    </row>
    <row r="1399" spans="1:9" x14ac:dyDescent="0.25">
      <c r="A1399" t="s">
        <v>486</v>
      </c>
      <c r="B1399">
        <v>999999</v>
      </c>
      <c r="C1399" s="3">
        <v>277.60000000000002</v>
      </c>
      <c r="D1399" s="1">
        <v>43418</v>
      </c>
      <c r="E1399" t="str">
        <f>"201811074934"</f>
        <v>201811074934</v>
      </c>
      <c r="F1399" t="str">
        <f>"ACCT#0005/PCT#4"</f>
        <v>ACCT#0005/PCT#4</v>
      </c>
      <c r="G1399" s="2">
        <v>277.60000000000002</v>
      </c>
      <c r="H1399" t="str">
        <f>"ACCT#0005/PCT#4"</f>
        <v>ACCT#0005/PCT#4</v>
      </c>
    </row>
    <row r="1400" spans="1:9" x14ac:dyDescent="0.25">
      <c r="A1400" t="s">
        <v>487</v>
      </c>
      <c r="B1400">
        <v>79767</v>
      </c>
      <c r="C1400" s="3">
        <v>6151.62</v>
      </c>
      <c r="D1400" s="1">
        <v>43430</v>
      </c>
      <c r="E1400" t="str">
        <f>"201811195277"</f>
        <v>201811195277</v>
      </c>
      <c r="F1400" t="str">
        <f>"GRANT REIMBURSEMENT FY17/18"</f>
        <v>GRANT REIMBURSEMENT FY17/18</v>
      </c>
      <c r="G1400" s="2">
        <v>6151.62</v>
      </c>
      <c r="H1400" t="str">
        <f>"GRANT REIMBURSEMENT FY17/18"</f>
        <v>GRANT REIMBURSEMENT FY17/18</v>
      </c>
    </row>
    <row r="1401" spans="1:9" x14ac:dyDescent="0.25">
      <c r="A1401" t="s">
        <v>488</v>
      </c>
      <c r="B1401">
        <v>79587</v>
      </c>
      <c r="C1401" s="3">
        <v>23</v>
      </c>
      <c r="D1401" s="1">
        <v>43417</v>
      </c>
      <c r="E1401" t="str">
        <f>"CRS-201809-154955"</f>
        <v>CRS-201809-154955</v>
      </c>
      <c r="F1401" t="str">
        <f>"SECURE SITE CCH NAME SEARCH"</f>
        <v>SECURE SITE CCH NAME SEARCH</v>
      </c>
      <c r="G1401" s="2">
        <v>23</v>
      </c>
      <c r="H1401" t="str">
        <f>"SECURE SITE CCH NAME SEARCH"</f>
        <v>SECURE SITE CCH NAME SEARCH</v>
      </c>
    </row>
    <row r="1402" spans="1:9" x14ac:dyDescent="0.25">
      <c r="A1402" t="s">
        <v>488</v>
      </c>
      <c r="B1402">
        <v>79768</v>
      </c>
      <c r="C1402" s="3">
        <v>50</v>
      </c>
      <c r="D1402" s="1">
        <v>43430</v>
      </c>
      <c r="E1402" t="s">
        <v>263</v>
      </c>
      <c r="F1402" t="s">
        <v>489</v>
      </c>
      <c r="G1402" s="2" t="str">
        <f>"RESTITUTION-S. RIDDLE"</f>
        <v>RESTITUTION-S. RIDDLE</v>
      </c>
      <c r="H1402" t="str">
        <f>"210-0000"</f>
        <v>210-0000</v>
      </c>
      <c r="I1402" t="str">
        <f>""</f>
        <v/>
      </c>
    </row>
    <row r="1403" spans="1:9" x14ac:dyDescent="0.25">
      <c r="A1403" t="s">
        <v>490</v>
      </c>
      <c r="B1403">
        <v>79588</v>
      </c>
      <c r="C1403" s="3">
        <v>79</v>
      </c>
      <c r="D1403" s="1">
        <v>43417</v>
      </c>
      <c r="E1403" t="str">
        <f>"9262"</f>
        <v>9262</v>
      </c>
      <c r="F1403" t="str">
        <f>"2018 WEBINAR-OPPORTUNITY ZONES"</f>
        <v>2018 WEBINAR-OPPORTUNITY ZONES</v>
      </c>
      <c r="G1403" s="2">
        <v>79</v>
      </c>
      <c r="H1403" t="str">
        <f>"2018 WEBINAR-OPPORTUNITY ZONES"</f>
        <v>2018 WEBINAR-OPPORTUNITY ZONES</v>
      </c>
    </row>
    <row r="1404" spans="1:9" x14ac:dyDescent="0.25">
      <c r="A1404" t="s">
        <v>491</v>
      </c>
      <c r="B1404">
        <v>79589</v>
      </c>
      <c r="C1404" s="3">
        <v>764.75</v>
      </c>
      <c r="D1404" s="1">
        <v>43417</v>
      </c>
      <c r="E1404" t="str">
        <f>"1069732-0001"</f>
        <v>1069732-0001</v>
      </c>
      <c r="F1404" t="str">
        <f>"CUST#1003592/PCT#2"</f>
        <v>CUST#1003592/PCT#2</v>
      </c>
      <c r="G1404" s="2">
        <v>764.75</v>
      </c>
      <c r="H1404" t="str">
        <f>"CUST#1003592/PCT#2"</f>
        <v>CUST#1003592/PCT#2</v>
      </c>
    </row>
    <row r="1405" spans="1:9" x14ac:dyDescent="0.25">
      <c r="A1405" t="s">
        <v>492</v>
      </c>
      <c r="B1405">
        <v>79590</v>
      </c>
      <c r="C1405" s="3">
        <v>200</v>
      </c>
      <c r="D1405" s="1">
        <v>43417</v>
      </c>
      <c r="E1405" t="str">
        <f>" 236245"</f>
        <v xml:space="preserve"> 236245</v>
      </c>
      <c r="F1405" t="str">
        <f>"MEMBERSHIP DUES 9/1/18-8/31/19"</f>
        <v>MEMBERSHIP DUES 9/1/18-8/31/19</v>
      </c>
      <c r="G1405" s="2">
        <v>200</v>
      </c>
      <c r="H1405" t="str">
        <f>"MEMBERSHIP DUES 9/1/18-8/31/19"</f>
        <v>MEMBERSHIP DUES 9/1/18-8/31/19</v>
      </c>
    </row>
    <row r="1406" spans="1:9" x14ac:dyDescent="0.25">
      <c r="A1406" t="s">
        <v>493</v>
      </c>
      <c r="B1406">
        <v>79769</v>
      </c>
      <c r="C1406" s="3">
        <v>750</v>
      </c>
      <c r="D1406" s="1">
        <v>43430</v>
      </c>
      <c r="E1406" t="str">
        <f>"201811155146"</f>
        <v>201811155146</v>
      </c>
      <c r="F1406" t="str">
        <f>"FY_19 CT RM SEC-MATTHEW BLOOM"</f>
        <v>FY_19 CT RM SEC-MATTHEW BLOOM</v>
      </c>
      <c r="G1406" s="2">
        <v>150</v>
      </c>
      <c r="H1406" t="str">
        <f>"FY_19 CT RM SEC-MATTHEW BLOOM"</f>
        <v>FY_19 CT RM SEC-MATTHEW BLOOM</v>
      </c>
    </row>
    <row r="1407" spans="1:9" x14ac:dyDescent="0.25">
      <c r="E1407" t="str">
        <f>"201811155147"</f>
        <v>201811155147</v>
      </c>
      <c r="F1407" t="str">
        <f>"FY_19 CT RM SEC-VERNON LANGHAM"</f>
        <v>FY_19 CT RM SEC-VERNON LANGHAM</v>
      </c>
      <c r="G1407" s="2">
        <v>150</v>
      </c>
      <c r="H1407" t="str">
        <f>"FY_19 CT RM SEC-VERNON LANGHAM"</f>
        <v>FY_19 CT RM SEC-VERNON LANGHAM</v>
      </c>
    </row>
    <row r="1408" spans="1:9" x14ac:dyDescent="0.25">
      <c r="E1408" t="str">
        <f>"201811155148"</f>
        <v>201811155148</v>
      </c>
      <c r="F1408" t="str">
        <f>"FY_19 CT RM SEC-GARY BONNETTE"</f>
        <v>FY_19 CT RM SEC-GARY BONNETTE</v>
      </c>
      <c r="G1408" s="2">
        <v>150</v>
      </c>
      <c r="H1408" t="str">
        <f>"FY_19 CT RM SEC-GARY BONNETTE"</f>
        <v>FY_19 CT RM SEC-GARY BONNETTE</v>
      </c>
    </row>
    <row r="1409" spans="1:8" x14ac:dyDescent="0.25">
      <c r="E1409" t="str">
        <f>"201811155149"</f>
        <v>201811155149</v>
      </c>
      <c r="F1409" t="str">
        <f>"FY_19 CT RM SEC-FRANK BUENTELL"</f>
        <v>FY_19 CT RM SEC-FRANK BUENTELL</v>
      </c>
      <c r="G1409" s="2">
        <v>150</v>
      </c>
      <c r="H1409" t="str">
        <f>"FY_19 CT RM SEC-FRANK BUENTELL"</f>
        <v>FY_19 CT RM SEC-FRANK BUENTELL</v>
      </c>
    </row>
    <row r="1410" spans="1:8" x14ac:dyDescent="0.25">
      <c r="E1410" t="str">
        <f>"44131"</f>
        <v>44131</v>
      </c>
      <c r="F1410" t="str">
        <f>"FY_19 JP SEMINAR-K. HANNA"</f>
        <v>FY_19 JP SEMINAR-K. HANNA</v>
      </c>
      <c r="G1410" s="2">
        <v>150</v>
      </c>
      <c r="H1410" t="str">
        <f>"FY_19 JP SEMINAR-K. HANNA"</f>
        <v>FY_19 JP SEMINAR-K. HANNA</v>
      </c>
    </row>
    <row r="1411" spans="1:8" x14ac:dyDescent="0.25">
      <c r="A1411" t="s">
        <v>494</v>
      </c>
      <c r="B1411">
        <v>79770</v>
      </c>
      <c r="C1411" s="3">
        <v>1018.64</v>
      </c>
      <c r="D1411" s="1">
        <v>43430</v>
      </c>
      <c r="E1411" t="str">
        <f>"17-2702J4"</f>
        <v>17-2702J4</v>
      </c>
      <c r="F1411" t="str">
        <f>"A8193646 - M.S. RUIZ"</f>
        <v>A8193646 - M.S. RUIZ</v>
      </c>
      <c r="G1411" s="2">
        <v>81.09</v>
      </c>
      <c r="H1411" t="str">
        <f>"A8193646 - M.S. RUIZ"</f>
        <v>A8193646 - M.S. RUIZ</v>
      </c>
    </row>
    <row r="1412" spans="1:8" x14ac:dyDescent="0.25">
      <c r="E1412" t="str">
        <f>"18-3500J4"</f>
        <v>18-3500J4</v>
      </c>
      <c r="F1412" t="str">
        <f>"A8245829 - R. BREWER-VOGT"</f>
        <v>A8245829 - R. BREWER-VOGT</v>
      </c>
      <c r="G1412" s="2">
        <v>113.05</v>
      </c>
      <c r="H1412" t="str">
        <f>"A8245829 - R. BREWER-VOGT"</f>
        <v>A8245829 - R. BREWER-VOGT</v>
      </c>
    </row>
    <row r="1413" spans="1:8" x14ac:dyDescent="0.25">
      <c r="E1413" t="str">
        <f>"3CO-2687-18"</f>
        <v>3CO-2687-18</v>
      </c>
      <c r="F1413" t="str">
        <f>"A8243971-T. BRITZ"</f>
        <v>A8243971-T. BRITZ</v>
      </c>
      <c r="G1413" s="2">
        <v>114.75</v>
      </c>
      <c r="H1413" t="str">
        <f>"A8243971-T. BRITZ"</f>
        <v>A8243971-T. BRITZ</v>
      </c>
    </row>
    <row r="1414" spans="1:8" x14ac:dyDescent="0.25">
      <c r="E1414" t="str">
        <f>"3CO-3906-18"</f>
        <v>3CO-3906-18</v>
      </c>
      <c r="F1414" t="str">
        <f>"A8245769-B. URBANSKI"</f>
        <v>A8245769-B. URBANSKI</v>
      </c>
      <c r="G1414" s="2">
        <v>157.25</v>
      </c>
      <c r="H1414" t="str">
        <f>"A8245769-B. URBANSKI"</f>
        <v>A8245769-B. URBANSKI</v>
      </c>
    </row>
    <row r="1415" spans="1:8" x14ac:dyDescent="0.25">
      <c r="E1415" t="str">
        <f>"3CO-3907-18"</f>
        <v>3CO-3907-18</v>
      </c>
      <c r="F1415" t="str">
        <f>"A8245832-J. URBANSKI"</f>
        <v>A8245832-J. URBANSKI</v>
      </c>
      <c r="G1415" s="2">
        <v>157.25</v>
      </c>
      <c r="H1415" t="str">
        <f>"A8245832-J. URBANSKI"</f>
        <v>A8245832-J. URBANSKI</v>
      </c>
    </row>
    <row r="1416" spans="1:8" x14ac:dyDescent="0.25">
      <c r="E1416" t="str">
        <f>"3CO-3912-18"</f>
        <v>3CO-3912-18</v>
      </c>
      <c r="F1416" t="str">
        <f>"A8245833-R. MENDOZA"</f>
        <v>A8245833-R. MENDOZA</v>
      </c>
      <c r="G1416" s="2">
        <v>157.25</v>
      </c>
      <c r="H1416" t="str">
        <f>"A8245833-R. MENDOZA"</f>
        <v>A8245833-R. MENDOZA</v>
      </c>
    </row>
    <row r="1417" spans="1:8" x14ac:dyDescent="0.25">
      <c r="E1417" t="str">
        <f>"3CO-4433-17"</f>
        <v>3CO-4433-17</v>
      </c>
      <c r="F1417" t="str">
        <f>"A8210957-C. MORENO"</f>
        <v>A8210957-C. MORENO</v>
      </c>
      <c r="G1417" s="2">
        <v>80.75</v>
      </c>
      <c r="H1417" t="str">
        <f>"A8210957-C. MORENO"</f>
        <v>A8210957-C. MORENO</v>
      </c>
    </row>
    <row r="1418" spans="1:8" x14ac:dyDescent="0.25">
      <c r="E1418" t="str">
        <f>"J2-48471"</f>
        <v>J2-48471</v>
      </c>
      <c r="F1418" t="str">
        <f>"A-13093 - L.D. GRUJO"</f>
        <v>A-13093 - L.D. GRUJO</v>
      </c>
      <c r="G1418" s="2">
        <v>157.25</v>
      </c>
      <c r="H1418" t="str">
        <f>"A-13093 - L.D. GRUJO"</f>
        <v>A-13093 - L.D. GRUJO</v>
      </c>
    </row>
    <row r="1419" spans="1:8" x14ac:dyDescent="0.25">
      <c r="A1419" t="s">
        <v>495</v>
      </c>
      <c r="B1419">
        <v>79591</v>
      </c>
      <c r="C1419" s="3">
        <v>403</v>
      </c>
      <c r="D1419" s="1">
        <v>43417</v>
      </c>
      <c r="E1419" t="str">
        <f>"10222"</f>
        <v>10222</v>
      </c>
      <c r="F1419" t="str">
        <f>"INV 10222"</f>
        <v>INV 10222</v>
      </c>
      <c r="G1419" s="2">
        <v>403</v>
      </c>
      <c r="H1419" t="str">
        <f>"INV 10222"</f>
        <v>INV 10222</v>
      </c>
    </row>
    <row r="1420" spans="1:8" x14ac:dyDescent="0.25">
      <c r="A1420" t="s">
        <v>496</v>
      </c>
      <c r="B1420">
        <v>79771</v>
      </c>
      <c r="C1420" s="3">
        <v>600</v>
      </c>
      <c r="D1420" s="1">
        <v>43430</v>
      </c>
      <c r="E1420" t="str">
        <f>"200002396"</f>
        <v>200002396</v>
      </c>
      <c r="F1420" t="str">
        <f>"PARTICIPANT-KRISTA BARTSCH"</f>
        <v>PARTICIPANT-KRISTA BARTSCH</v>
      </c>
      <c r="G1420" s="2">
        <v>300</v>
      </c>
      <c r="H1420" t="str">
        <f>"PARTICIPANT-KRISTA BARTSCH"</f>
        <v>PARTICIPANT-KRISTA BARTSCH</v>
      </c>
    </row>
    <row r="1421" spans="1:8" x14ac:dyDescent="0.25">
      <c r="E1421" t="str">
        <f>"200002397"</f>
        <v>200002397</v>
      </c>
      <c r="F1421" t="str">
        <f>"PARTICIPANT-SUE GURKA"</f>
        <v>PARTICIPANT-SUE GURKA</v>
      </c>
      <c r="G1421" s="2">
        <v>300</v>
      </c>
      <c r="H1421" t="str">
        <f>"PARTICIPANT-SUE GURKA"</f>
        <v>PARTICIPANT-SUE GURKA</v>
      </c>
    </row>
    <row r="1422" spans="1:8" x14ac:dyDescent="0.25">
      <c r="A1422" t="s">
        <v>497</v>
      </c>
      <c r="B1422">
        <v>79592</v>
      </c>
      <c r="C1422" s="3">
        <v>318.67</v>
      </c>
      <c r="D1422" s="1">
        <v>43417</v>
      </c>
      <c r="E1422" t="str">
        <f>"201811074994"</f>
        <v>201811074994</v>
      </c>
      <c r="F1422" t="str">
        <f>"INDIGENT HEALTH"</f>
        <v>INDIGENT HEALTH</v>
      </c>
      <c r="G1422" s="2">
        <v>318.67</v>
      </c>
      <c r="H1422" t="str">
        <f>"INDIGENT HEALTH"</f>
        <v>INDIGENT HEALTH</v>
      </c>
    </row>
    <row r="1423" spans="1:8" x14ac:dyDescent="0.25">
      <c r="A1423" t="s">
        <v>498</v>
      </c>
      <c r="B1423">
        <v>79593</v>
      </c>
      <c r="C1423" s="3">
        <v>1446.5</v>
      </c>
      <c r="D1423" s="1">
        <v>43417</v>
      </c>
      <c r="E1423" t="str">
        <f>"79788"</f>
        <v>79788</v>
      </c>
      <c r="F1423" t="str">
        <f>"ACCT#188757/JUVENILE PROBATION"</f>
        <v>ACCT#188757/JUVENILE PROBATION</v>
      </c>
      <c r="G1423" s="2">
        <v>132</v>
      </c>
      <c r="H1423" t="str">
        <f>"ACCT#188757/JUVENILE PROBATION"</f>
        <v>ACCT#188757/JUVENILE PROBATION</v>
      </c>
    </row>
    <row r="1424" spans="1:8" x14ac:dyDescent="0.25">
      <c r="E1424" t="str">
        <f>"79802"</f>
        <v>79802</v>
      </c>
      <c r="F1424" t="str">
        <f>"ACCT#188757/DPS/TDL-AQUA WATER"</f>
        <v>ACCT#188757/DPS/TDL-AQUA WATER</v>
      </c>
      <c r="G1424" s="2">
        <v>76</v>
      </c>
      <c r="H1424" t="str">
        <f>"ACCT#188757/DPS/TDL-AQUA WATER"</f>
        <v>ACCT#188757/DPS/TDL-AQUA WATER</v>
      </c>
    </row>
    <row r="1425" spans="1:8" x14ac:dyDescent="0.25">
      <c r="E1425" t="str">
        <f>"79835"</f>
        <v>79835</v>
      </c>
      <c r="F1425" t="str">
        <f>"ACCT#188757/EXTENSION/HABITAT"</f>
        <v>ACCT#188757/EXTENSION/HABITAT</v>
      </c>
      <c r="G1425" s="2">
        <v>89</v>
      </c>
      <c r="H1425" t="str">
        <f>"ACCT#188757/EXTENSION/HABITAT"</f>
        <v>ACCT#188757/EXTENSION/HABITAT</v>
      </c>
    </row>
    <row r="1426" spans="1:8" x14ac:dyDescent="0.25">
      <c r="E1426" t="str">
        <f>"79862"</f>
        <v>79862</v>
      </c>
      <c r="F1426" t="str">
        <f>"ACCT#188757/HISTORIC JAIL"</f>
        <v>ACCT#188757/HISTORIC JAIL</v>
      </c>
      <c r="G1426" s="2">
        <v>76</v>
      </c>
      <c r="H1426" t="str">
        <f>"ACCT#188757/HISTORIC JAIL"</f>
        <v>ACCT#188757/HISTORIC JAIL</v>
      </c>
    </row>
    <row r="1427" spans="1:8" x14ac:dyDescent="0.25">
      <c r="E1427" t="str">
        <f>"79863"</f>
        <v>79863</v>
      </c>
      <c r="F1427" t="str">
        <f>"ACCT#188757/COURTHOUSE"</f>
        <v>ACCT#188757/COURTHOUSE</v>
      </c>
      <c r="G1427" s="2">
        <v>137</v>
      </c>
      <c r="H1427" t="str">
        <f>"ACCT#188757/COURTHOUSE"</f>
        <v>ACCT#188757/COURTHOUSE</v>
      </c>
    </row>
    <row r="1428" spans="1:8" x14ac:dyDescent="0.25">
      <c r="E1428" t="str">
        <f>"79883"</f>
        <v>79883</v>
      </c>
      <c r="F1428" t="str">
        <f>"ACCT#188757/PCT#3 WAREHOUSE"</f>
        <v>ACCT#188757/PCT#3 WAREHOUSE</v>
      </c>
      <c r="G1428" s="2">
        <v>95</v>
      </c>
      <c r="H1428" t="str">
        <f>"ACCT#188757/PCT#3 WAREHOUSE"</f>
        <v>ACCT#188757/PCT#3 WAREHOUSE</v>
      </c>
    </row>
    <row r="1429" spans="1:8" x14ac:dyDescent="0.25">
      <c r="E1429" t="str">
        <f>"80134"</f>
        <v>80134</v>
      </c>
      <c r="F1429" t="str">
        <f>"ACCT#188757/LBJ BLDG/HLTH DEPT"</f>
        <v>ACCT#188757/LBJ BLDG/HLTH DEPT</v>
      </c>
      <c r="G1429" s="2">
        <v>69</v>
      </c>
      <c r="H1429" t="str">
        <f>"ACCT#188757/LBJ BLDG/HEALTH DE"</f>
        <v>ACCT#188757/LBJ BLDG/HEALTH DE</v>
      </c>
    </row>
    <row r="1430" spans="1:8" x14ac:dyDescent="0.25">
      <c r="E1430" t="str">
        <f>"80144"</f>
        <v>80144</v>
      </c>
      <c r="F1430" t="str">
        <f>"ACCT#188757/PCT#4 RD &amp; BRIDGE"</f>
        <v>ACCT#188757/PCT#4 RD &amp; BRIDGE</v>
      </c>
      <c r="G1430" s="2">
        <v>95.5</v>
      </c>
      <c r="H1430" t="str">
        <f>"ACCT#188757/PCT#4 RD &amp; BRIDGE"</f>
        <v>ACCT#188757/PCT#4 RD &amp; BRIDGE</v>
      </c>
    </row>
    <row r="1431" spans="1:8" x14ac:dyDescent="0.25">
      <c r="E1431" t="str">
        <f>"80176"</f>
        <v>80176</v>
      </c>
      <c r="F1431" t="str">
        <f>"ACCT#188757/STONY POINT PARK"</f>
        <v>ACCT#188757/STONY POINT PARK</v>
      </c>
      <c r="G1431" s="2">
        <v>95</v>
      </c>
      <c r="H1431" t="str">
        <f>"ACCT#188757/STONY POINT PARK"</f>
        <v>ACCT#188757/STONY POINT PARK</v>
      </c>
    </row>
    <row r="1432" spans="1:8" x14ac:dyDescent="0.25">
      <c r="E1432" t="str">
        <f>"80199"</f>
        <v>80199</v>
      </c>
      <c r="F1432" t="str">
        <f>"ACCT#188757/TAX OFFICE"</f>
        <v>ACCT#188757/TAX OFFICE</v>
      </c>
      <c r="G1432" s="2">
        <v>102</v>
      </c>
      <c r="H1432" t="str">
        <f>"ACCT#188757/TAX OFFICE"</f>
        <v>ACCT#188757/TAX OFFICE</v>
      </c>
    </row>
    <row r="1433" spans="1:8" x14ac:dyDescent="0.25">
      <c r="E1433" t="str">
        <f>"80273"</f>
        <v>80273</v>
      </c>
      <c r="F1433" t="str">
        <f>"ACCT#188757/PCT#2 MAINT BARN"</f>
        <v>ACCT#188757/PCT#2 MAINT BARN</v>
      </c>
      <c r="G1433" s="2">
        <v>95</v>
      </c>
      <c r="H1433" t="str">
        <f>"ACCT#188757/PCT#2 MAINT BARN"</f>
        <v>ACCT#188757/PCT#2 MAINT BARN</v>
      </c>
    </row>
    <row r="1434" spans="1:8" x14ac:dyDescent="0.25">
      <c r="E1434" t="str">
        <f>"80282"</f>
        <v>80282</v>
      </c>
      <c r="F1434" t="str">
        <f>"ACCT#188757/JP2 ANNEX BLDG"</f>
        <v>ACCT#188757/JP2 ANNEX BLDG</v>
      </c>
      <c r="G1434" s="2">
        <v>95</v>
      </c>
      <c r="H1434" t="str">
        <f>"ACCT#188757/JP2 ANNEX BLDG"</f>
        <v>ACCT#188757/JP2 ANNEX BLDG</v>
      </c>
    </row>
    <row r="1435" spans="1:8" x14ac:dyDescent="0.25">
      <c r="E1435" t="str">
        <f>"81049"</f>
        <v>81049</v>
      </c>
      <c r="F1435" t="str">
        <f>"ACCT#188757/ANIMAL SHELTER"</f>
        <v>ACCT#188757/ANIMAL SHELTER</v>
      </c>
      <c r="G1435" s="2">
        <v>290</v>
      </c>
      <c r="H1435" t="str">
        <f>"ACCT#188757/ANIMAL SHELTER"</f>
        <v>ACCT#188757/ANIMAL SHELTER</v>
      </c>
    </row>
    <row r="1436" spans="1:8" x14ac:dyDescent="0.25">
      <c r="A1436" t="s">
        <v>498</v>
      </c>
      <c r="B1436">
        <v>79772</v>
      </c>
      <c r="C1436" s="3">
        <v>1430.5</v>
      </c>
      <c r="D1436" s="1">
        <v>43430</v>
      </c>
      <c r="E1436" t="str">
        <f>"79140"</f>
        <v>79140</v>
      </c>
      <c r="F1436" t="str">
        <f>"ACCT#188757/EXT HABITAT OFFICE"</f>
        <v>ACCT#188757/EXT HABITAT OFFICE</v>
      </c>
      <c r="G1436" s="2">
        <v>420</v>
      </c>
      <c r="H1436" t="str">
        <f>"ACCT#188757/EXT HABITAT OFFICE"</f>
        <v>ACCT#188757/EXT HABITAT OFFICE</v>
      </c>
    </row>
    <row r="1437" spans="1:8" x14ac:dyDescent="0.25">
      <c r="E1437" t="str">
        <f>"79207"</f>
        <v>79207</v>
      </c>
      <c r="F1437" t="str">
        <f>"ACCT#188757/RD &amp; BRIDGE/SIGN/M"</f>
        <v>ACCT#188757/RD &amp; BRIDGE/SIGN/M</v>
      </c>
      <c r="G1437" s="2">
        <v>95</v>
      </c>
      <c r="H1437" t="str">
        <f>"ACCT#188757/RD &amp; BRIDGE/SIGN/M"</f>
        <v>ACCT#188757/RD &amp; BRIDGE/SIGN/M</v>
      </c>
    </row>
    <row r="1438" spans="1:8" x14ac:dyDescent="0.25">
      <c r="E1438" t="str">
        <f>"79215"</f>
        <v>79215</v>
      </c>
      <c r="F1438" t="str">
        <f>"ACCT#188757/JUVENILE BOOT CAMP"</f>
        <v>ACCT#188757/JUVENILE BOOT CAMP</v>
      </c>
      <c r="G1438" s="2">
        <v>118.5</v>
      </c>
      <c r="H1438" t="str">
        <f>"ACCT#188757/JUVENILE BOOT CAMP"</f>
        <v>ACCT#188757/JUVENILE BOOT CAMP</v>
      </c>
    </row>
    <row r="1439" spans="1:8" x14ac:dyDescent="0.25">
      <c r="E1439" t="str">
        <f>"79330"</f>
        <v>79330</v>
      </c>
      <c r="F1439" t="str">
        <f>"ACCT#188757/JP4/TAX OFFICE"</f>
        <v>ACCT#188757/JP4/TAX OFFICE</v>
      </c>
      <c r="G1439" s="2">
        <v>95</v>
      </c>
      <c r="H1439" t="str">
        <f>"ACCT#188757/JP4/TAX OFFICE"</f>
        <v>ACCT#188757/JP4/TAX OFFICE</v>
      </c>
    </row>
    <row r="1440" spans="1:8" x14ac:dyDescent="0.25">
      <c r="E1440" t="str">
        <f>"79360"</f>
        <v>79360</v>
      </c>
      <c r="F1440" t="str">
        <f>"ACCT#188757/MIKE FISHER BLDG"</f>
        <v>ACCT#188757/MIKE FISHER BLDG</v>
      </c>
      <c r="G1440" s="2">
        <v>112</v>
      </c>
      <c r="H1440" t="str">
        <f>"ACCT#188757/MIKE FISHER BLDG"</f>
        <v>ACCT#188757/MIKE FISHER BLDG</v>
      </c>
    </row>
    <row r="1441" spans="1:8" x14ac:dyDescent="0.25">
      <c r="E1441" t="str">
        <f>"79593"</f>
        <v>79593</v>
      </c>
      <c r="F1441" t="str">
        <f>"ACCT#188757/JP3 TAX OFFICE"</f>
        <v>ACCT#188757/JP3 TAX OFFICE</v>
      </c>
      <c r="G1441" s="2">
        <v>95</v>
      </c>
      <c r="H1441" t="str">
        <f>"ACCT#188757/JP3 TAX OFFICE"</f>
        <v>ACCT#188757/JP3 TAX OFFICE</v>
      </c>
    </row>
    <row r="1442" spans="1:8" x14ac:dyDescent="0.25">
      <c r="E1442" t="str">
        <f>"81752"</f>
        <v>81752</v>
      </c>
      <c r="F1442" t="str">
        <f>"ACCT#188757/COUNTY OFFICE"</f>
        <v>ACCT#188757/COUNTY OFFICE</v>
      </c>
      <c r="G1442" s="2">
        <v>420</v>
      </c>
      <c r="H1442" t="str">
        <f>"ACCT#188757/COUNTY OFFICE"</f>
        <v>ACCT#188757/COUNTY OFFICE</v>
      </c>
    </row>
    <row r="1443" spans="1:8" x14ac:dyDescent="0.25">
      <c r="E1443" t="str">
        <f>"82423"</f>
        <v>82423</v>
      </c>
      <c r="F1443" t="str">
        <f>"ACCT#188757/LOST PINES PARK"</f>
        <v>ACCT#188757/LOST PINES PARK</v>
      </c>
      <c r="G1443" s="2">
        <v>75</v>
      </c>
      <c r="H1443" t="str">
        <f>"ACCT#188757/LOST PINES PARK"</f>
        <v>ACCT#188757/LOST PINES PARK</v>
      </c>
    </row>
    <row r="1444" spans="1:8" x14ac:dyDescent="0.25">
      <c r="A1444" t="s">
        <v>499</v>
      </c>
      <c r="B1444">
        <v>79773</v>
      </c>
      <c r="C1444" s="3">
        <v>750</v>
      </c>
      <c r="D1444" s="1">
        <v>43430</v>
      </c>
      <c r="E1444" t="str">
        <f>"201811145097"</f>
        <v>201811145097</v>
      </c>
      <c r="F1444" t="str">
        <f>"56136"</f>
        <v>56136</v>
      </c>
      <c r="G1444" s="2">
        <v>250</v>
      </c>
      <c r="H1444" t="str">
        <f>"56136"</f>
        <v>56136</v>
      </c>
    </row>
    <row r="1445" spans="1:8" x14ac:dyDescent="0.25">
      <c r="E1445" t="str">
        <f>"201811145098"</f>
        <v>201811145098</v>
      </c>
      <c r="F1445" t="str">
        <f>"56 028"</f>
        <v>56 028</v>
      </c>
      <c r="G1445" s="2">
        <v>250</v>
      </c>
      <c r="H1445" t="str">
        <f>"56 028"</f>
        <v>56 028</v>
      </c>
    </row>
    <row r="1446" spans="1:8" x14ac:dyDescent="0.25">
      <c r="E1446" t="str">
        <f>"201811145099"</f>
        <v>201811145099</v>
      </c>
      <c r="F1446" t="str">
        <f>"54 104"</f>
        <v>54 104</v>
      </c>
      <c r="G1446" s="2">
        <v>250</v>
      </c>
      <c r="H1446" t="str">
        <f>"54 104"</f>
        <v>54 104</v>
      </c>
    </row>
    <row r="1447" spans="1:8" x14ac:dyDescent="0.25">
      <c r="A1447" t="s">
        <v>500</v>
      </c>
      <c r="B1447">
        <v>79594</v>
      </c>
      <c r="C1447" s="3">
        <v>398</v>
      </c>
      <c r="D1447" s="1">
        <v>43417</v>
      </c>
      <c r="E1447" t="str">
        <f>"201810254653"</f>
        <v>201810254653</v>
      </c>
      <c r="F1447" t="str">
        <f>"REGISTRATION-MANDY VOIGT"</f>
        <v>REGISTRATION-MANDY VOIGT</v>
      </c>
      <c r="G1447" s="2">
        <v>199</v>
      </c>
      <c r="H1447" t="str">
        <f>"REGISTRATION-MANDY VOIGT"</f>
        <v>REGISTRATION-MANDY VOIGT</v>
      </c>
    </row>
    <row r="1448" spans="1:8" x14ac:dyDescent="0.25">
      <c r="E1448" t="str">
        <f>"201810254654"</f>
        <v>201810254654</v>
      </c>
      <c r="F1448" t="str">
        <f>"REGISTRATION-ETTA WILEY"</f>
        <v>REGISTRATION-ETTA WILEY</v>
      </c>
      <c r="G1448" s="2">
        <v>199</v>
      </c>
      <c r="H1448" t="str">
        <f>"REGISTRATION-ETTA WILEY"</f>
        <v>REGISTRATION-ETTA WILEY</v>
      </c>
    </row>
    <row r="1449" spans="1:8" x14ac:dyDescent="0.25">
      <c r="A1449" t="s">
        <v>501</v>
      </c>
      <c r="B1449">
        <v>79595</v>
      </c>
      <c r="C1449" s="3">
        <v>2350.4</v>
      </c>
      <c r="D1449" s="1">
        <v>43417</v>
      </c>
      <c r="E1449" t="str">
        <f>"IN92615"</f>
        <v>IN92615</v>
      </c>
      <c r="F1449" t="str">
        <f>"ACCT#MFAF1982991/MICROCHIP"</f>
        <v>ACCT#MFAF1982991/MICROCHIP</v>
      </c>
      <c r="G1449" s="2">
        <v>2350.4</v>
      </c>
      <c r="H1449" t="str">
        <f>"ACCT#MFAF1982991/MICROCHIP"</f>
        <v>ACCT#MFAF1982991/MICROCHIP</v>
      </c>
    </row>
    <row r="1450" spans="1:8" x14ac:dyDescent="0.25">
      <c r="A1450" t="s">
        <v>502</v>
      </c>
      <c r="B1450">
        <v>999999</v>
      </c>
      <c r="C1450" s="3">
        <v>100</v>
      </c>
      <c r="D1450" s="1">
        <v>43418</v>
      </c>
      <c r="E1450" t="str">
        <f>"201810234635"</f>
        <v>201810234635</v>
      </c>
      <c r="F1450" t="str">
        <f>"JP3307162018-A"</f>
        <v>JP3307162018-A</v>
      </c>
      <c r="G1450" s="2">
        <v>100</v>
      </c>
      <c r="H1450" t="str">
        <f>"JP3307162018-A"</f>
        <v>JP3307162018-A</v>
      </c>
    </row>
    <row r="1451" spans="1:8" x14ac:dyDescent="0.25">
      <c r="A1451" t="s">
        <v>502</v>
      </c>
      <c r="B1451">
        <v>999999</v>
      </c>
      <c r="C1451" s="3">
        <v>2787.5</v>
      </c>
      <c r="D1451" s="1">
        <v>43431</v>
      </c>
      <c r="E1451" t="str">
        <f>"201811145083"</f>
        <v>201811145083</v>
      </c>
      <c r="F1451" t="str">
        <f>"17-18738"</f>
        <v>17-18738</v>
      </c>
      <c r="G1451" s="2">
        <v>250</v>
      </c>
      <c r="H1451" t="str">
        <f>"17-18738"</f>
        <v>17-18738</v>
      </c>
    </row>
    <row r="1452" spans="1:8" x14ac:dyDescent="0.25">
      <c r="E1452" t="str">
        <f>"201811145084"</f>
        <v>201811145084</v>
      </c>
      <c r="F1452" t="str">
        <f>"16-17977"</f>
        <v>16-17977</v>
      </c>
      <c r="G1452" s="2">
        <v>250</v>
      </c>
      <c r="H1452" t="str">
        <f>"16-17977"</f>
        <v>16-17977</v>
      </c>
    </row>
    <row r="1453" spans="1:8" x14ac:dyDescent="0.25">
      <c r="E1453" t="str">
        <f>"201811145085"</f>
        <v>201811145085</v>
      </c>
      <c r="F1453" t="str">
        <f>"17-18786"</f>
        <v>17-18786</v>
      </c>
      <c r="G1453" s="2">
        <v>287.5</v>
      </c>
      <c r="H1453" t="str">
        <f>"17-18786"</f>
        <v>17-18786</v>
      </c>
    </row>
    <row r="1454" spans="1:8" x14ac:dyDescent="0.25">
      <c r="E1454" t="str">
        <f>"201811145113"</f>
        <v>201811145113</v>
      </c>
      <c r="F1454" t="str">
        <f>"1JP8918  423-6141"</f>
        <v>1JP8918  423-6141</v>
      </c>
      <c r="G1454" s="2">
        <v>200</v>
      </c>
      <c r="H1454" t="str">
        <f>"1JP8918  423-6141"</f>
        <v>1JP8918  423-6141</v>
      </c>
    </row>
    <row r="1455" spans="1:8" x14ac:dyDescent="0.25">
      <c r="E1455" t="str">
        <f>"201811145114"</f>
        <v>201811145114</v>
      </c>
      <c r="F1455" t="str">
        <f>"18-19013"</f>
        <v>18-19013</v>
      </c>
      <c r="G1455" s="2">
        <v>150</v>
      </c>
      <c r="H1455" t="str">
        <f>"18-19013"</f>
        <v>18-19013</v>
      </c>
    </row>
    <row r="1456" spans="1:8" x14ac:dyDescent="0.25">
      <c r="E1456" t="str">
        <f>"201811145115"</f>
        <v>201811145115</v>
      </c>
      <c r="F1456" t="str">
        <f>"16 664  JP3 307212018"</f>
        <v>16 664  JP3 307212018</v>
      </c>
      <c r="G1456" s="2">
        <v>600</v>
      </c>
      <c r="H1456" t="str">
        <f>"16 664  JP3 307212018"</f>
        <v>16 664  JP3 307212018</v>
      </c>
    </row>
    <row r="1457" spans="1:8" x14ac:dyDescent="0.25">
      <c r="E1457" t="str">
        <f>"201811155179"</f>
        <v>201811155179</v>
      </c>
      <c r="F1457" t="str">
        <f>"16 672"</f>
        <v>16 672</v>
      </c>
      <c r="G1457" s="2">
        <v>400</v>
      </c>
      <c r="H1457" t="str">
        <f>"16 672"</f>
        <v>16 672</v>
      </c>
    </row>
    <row r="1458" spans="1:8" x14ac:dyDescent="0.25">
      <c r="E1458" t="str">
        <f>"201811155180"</f>
        <v>201811155180</v>
      </c>
      <c r="F1458" t="str">
        <f>"16 498"</f>
        <v>16 498</v>
      </c>
      <c r="G1458" s="2">
        <v>400</v>
      </c>
      <c r="H1458" t="str">
        <f>"16 498"</f>
        <v>16 498</v>
      </c>
    </row>
    <row r="1459" spans="1:8" x14ac:dyDescent="0.25">
      <c r="E1459" t="str">
        <f>"201811155207"</f>
        <v>201811155207</v>
      </c>
      <c r="F1459" t="str">
        <f>"20170477"</f>
        <v>20170477</v>
      </c>
      <c r="G1459" s="2">
        <v>250</v>
      </c>
      <c r="H1459" t="str">
        <f>"20170477"</f>
        <v>20170477</v>
      </c>
    </row>
    <row r="1460" spans="1:8" x14ac:dyDescent="0.25">
      <c r="A1460" t="s">
        <v>503</v>
      </c>
      <c r="B1460">
        <v>999999</v>
      </c>
      <c r="C1460" s="3">
        <v>837192.55</v>
      </c>
      <c r="D1460" s="1">
        <v>43418</v>
      </c>
      <c r="E1460" t="str">
        <f>"201811074963"</f>
        <v>201811074963</v>
      </c>
      <c r="F1460" t="str">
        <f>"ACCT#BASTRCOU"</f>
        <v>ACCT#BASTRCOU</v>
      </c>
      <c r="G1460" s="2">
        <v>837192.55</v>
      </c>
      <c r="H1460" t="str">
        <f>"ACCT#BASTRCOU"</f>
        <v>ACCT#BASTRCOU</v>
      </c>
    </row>
    <row r="1461" spans="1:8" x14ac:dyDescent="0.25">
      <c r="A1461" t="s">
        <v>504</v>
      </c>
      <c r="B1461">
        <v>79596</v>
      </c>
      <c r="C1461" s="3">
        <v>342</v>
      </c>
      <c r="D1461" s="1">
        <v>43417</v>
      </c>
      <c r="E1461" t="str">
        <f>"839100956"</f>
        <v>839100956</v>
      </c>
      <c r="F1461" t="str">
        <f>"ACCT#1003035377/SUBSCRIP CHRGS"</f>
        <v>ACCT#1003035377/SUBSCRIP CHRGS</v>
      </c>
      <c r="G1461" s="2">
        <v>342</v>
      </c>
      <c r="H1461" t="str">
        <f>"ACCT#1003035377/SUBSCRIP CHRGS"</f>
        <v>ACCT#1003035377/SUBSCRIP CHRGS</v>
      </c>
    </row>
    <row r="1462" spans="1:8" x14ac:dyDescent="0.25">
      <c r="A1462" t="s">
        <v>504</v>
      </c>
      <c r="B1462">
        <v>79774</v>
      </c>
      <c r="C1462" s="3">
        <v>1398</v>
      </c>
      <c r="D1462" s="1">
        <v>43430</v>
      </c>
      <c r="E1462" t="str">
        <f>"839150854"</f>
        <v>839150854</v>
      </c>
      <c r="F1462" t="str">
        <f>"ACCT#1000648597/WEST INFO CHRG"</f>
        <v>ACCT#1000648597/WEST INFO CHRG</v>
      </c>
      <c r="G1462" s="2">
        <v>548</v>
      </c>
      <c r="H1462" t="str">
        <f>"ACCT#1000648597/WEST INFO CHRG"</f>
        <v>ACCT#1000648597/WEST INFO CHRG</v>
      </c>
    </row>
    <row r="1463" spans="1:8" x14ac:dyDescent="0.25">
      <c r="E1463" t="str">
        <f>"839168229"</f>
        <v>839168229</v>
      </c>
      <c r="F1463" t="str">
        <f>"ACCT#1005022937/WEST INFO CHRG"</f>
        <v>ACCT#1005022937/WEST INFO CHRG</v>
      </c>
      <c r="G1463" s="2">
        <v>850</v>
      </c>
      <c r="H1463" t="str">
        <f>"ACCT#1005022937/WEST INFO CHRG"</f>
        <v>ACCT#1005022937/WEST INFO CHRG</v>
      </c>
    </row>
    <row r="1464" spans="1:8" x14ac:dyDescent="0.25">
      <c r="A1464" t="s">
        <v>505</v>
      </c>
      <c r="B1464">
        <v>79597</v>
      </c>
      <c r="C1464" s="3">
        <v>1199.2</v>
      </c>
      <c r="D1464" s="1">
        <v>43417</v>
      </c>
      <c r="E1464" t="str">
        <f>"201811014783"</f>
        <v>201811014783</v>
      </c>
      <c r="F1464" t="str">
        <f>"423-2327"</f>
        <v>423-2327</v>
      </c>
      <c r="G1464" s="2">
        <v>1199.2</v>
      </c>
      <c r="H1464" t="str">
        <f>"423-2327"</f>
        <v>423-2327</v>
      </c>
    </row>
    <row r="1465" spans="1:8" x14ac:dyDescent="0.25">
      <c r="A1465" t="s">
        <v>505</v>
      </c>
      <c r="B1465">
        <v>79775</v>
      </c>
      <c r="C1465" s="3">
        <v>1367.95</v>
      </c>
      <c r="D1465" s="1">
        <v>43430</v>
      </c>
      <c r="E1465" t="str">
        <f>"201811155168"</f>
        <v>201811155168</v>
      </c>
      <c r="F1465" t="str">
        <f>"423-2327"</f>
        <v>423-2327</v>
      </c>
      <c r="G1465" s="2">
        <v>1367.95</v>
      </c>
      <c r="H1465" t="str">
        <f>"423-2327"</f>
        <v>423-2327</v>
      </c>
    </row>
    <row r="1466" spans="1:8" x14ac:dyDescent="0.25">
      <c r="A1466" t="s">
        <v>506</v>
      </c>
      <c r="B1466">
        <v>79598</v>
      </c>
      <c r="C1466" s="3">
        <v>11399.9</v>
      </c>
      <c r="D1466" s="1">
        <v>43417</v>
      </c>
      <c r="E1466" t="str">
        <f>"0003669102818"</f>
        <v>0003669102818</v>
      </c>
      <c r="F1466" t="str">
        <f>"ACCT#8260163000003669"</f>
        <v>ACCT#8260163000003669</v>
      </c>
      <c r="G1466" s="2">
        <v>11399.9</v>
      </c>
      <c r="H1466" t="str">
        <f>"ACCT#8260163000003669"</f>
        <v>ACCT#8260163000003669</v>
      </c>
    </row>
    <row r="1467" spans="1:8" x14ac:dyDescent="0.25">
      <c r="E1467" t="str">
        <f>""</f>
        <v/>
      </c>
      <c r="F1467" t="str">
        <f>""</f>
        <v/>
      </c>
      <c r="H1467" t="str">
        <f>"ACCT#8260163000003669"</f>
        <v>ACCT#8260163000003669</v>
      </c>
    </row>
    <row r="1468" spans="1:8" x14ac:dyDescent="0.25">
      <c r="E1468" t="str">
        <f>""</f>
        <v/>
      </c>
      <c r="F1468" t="str">
        <f>""</f>
        <v/>
      </c>
      <c r="H1468" t="str">
        <f>"ACCT#8260163000003669"</f>
        <v>ACCT#8260163000003669</v>
      </c>
    </row>
    <row r="1469" spans="1:8" x14ac:dyDescent="0.25">
      <c r="A1469" t="s">
        <v>507</v>
      </c>
      <c r="B1469">
        <v>79599</v>
      </c>
      <c r="C1469" s="3">
        <v>213.45</v>
      </c>
      <c r="D1469" s="1">
        <v>43417</v>
      </c>
      <c r="E1469" t="str">
        <f>"201811064861"</f>
        <v>201811064861</v>
      </c>
      <c r="F1469" t="str">
        <f>"REIMBURSE UNIFORM JEANS"</f>
        <v>REIMBURSE UNIFORM JEANS</v>
      </c>
      <c r="G1469" s="2">
        <v>213.45</v>
      </c>
      <c r="H1469" t="str">
        <f>"REIMBURSE UNIFORM JEANS"</f>
        <v>REIMBURSE UNIFORM JEANS</v>
      </c>
    </row>
    <row r="1470" spans="1:8" x14ac:dyDescent="0.25">
      <c r="A1470" t="s">
        <v>508</v>
      </c>
      <c r="B1470">
        <v>79600</v>
      </c>
      <c r="C1470" s="3">
        <v>732.6</v>
      </c>
      <c r="D1470" s="1">
        <v>43417</v>
      </c>
      <c r="E1470" t="str">
        <f>"200521077 20052199"</f>
        <v>200521077 20052199</v>
      </c>
      <c r="F1470" t="str">
        <f>"acct# 6035301200160982"</f>
        <v>acct# 6035301200160982</v>
      </c>
      <c r="G1470" s="2">
        <v>70.97</v>
      </c>
      <c r="H1470" t="str">
        <f>"Inv# 200521077"</f>
        <v>Inv# 200521077</v>
      </c>
    </row>
    <row r="1471" spans="1:8" x14ac:dyDescent="0.25">
      <c r="E1471" t="str">
        <f>""</f>
        <v/>
      </c>
      <c r="F1471" t="str">
        <f>""</f>
        <v/>
      </c>
      <c r="H1471" t="str">
        <f>"Inv# 200521993"</f>
        <v>Inv# 200521993</v>
      </c>
    </row>
    <row r="1472" spans="1:8" x14ac:dyDescent="0.25">
      <c r="E1472" t="str">
        <f>"201811064845"</f>
        <v>201811064845</v>
      </c>
      <c r="F1472" t="str">
        <f>"acct# 6035301200160982"</f>
        <v>acct# 6035301200160982</v>
      </c>
      <c r="G1472" s="2">
        <v>661.63</v>
      </c>
      <c r="H1472" t="str">
        <f>"Inv# 300494739"</f>
        <v>Inv# 300494739</v>
      </c>
    </row>
    <row r="1473" spans="1:8" x14ac:dyDescent="0.25">
      <c r="E1473" t="str">
        <f>""</f>
        <v/>
      </c>
      <c r="F1473" t="str">
        <f>""</f>
        <v/>
      </c>
      <c r="H1473" t="str">
        <f>"Inv# 300497912"</f>
        <v>Inv# 300497912</v>
      </c>
    </row>
    <row r="1474" spans="1:8" x14ac:dyDescent="0.25">
      <c r="E1474" t="str">
        <f>""</f>
        <v/>
      </c>
      <c r="F1474" t="str">
        <f>""</f>
        <v/>
      </c>
      <c r="H1474" t="str">
        <f>"Inv# 100566451"</f>
        <v>Inv# 100566451</v>
      </c>
    </row>
    <row r="1475" spans="1:8" x14ac:dyDescent="0.25">
      <c r="E1475" t="str">
        <f>""</f>
        <v/>
      </c>
      <c r="F1475" t="str">
        <f>""</f>
        <v/>
      </c>
      <c r="H1475" t="str">
        <f>"Inv# 200526705"</f>
        <v>Inv# 200526705</v>
      </c>
    </row>
    <row r="1476" spans="1:8" x14ac:dyDescent="0.25">
      <c r="E1476" t="str">
        <f>""</f>
        <v/>
      </c>
      <c r="F1476" t="str">
        <f>""</f>
        <v/>
      </c>
      <c r="H1476" t="str">
        <f>"Inv# 200526706"</f>
        <v>Inv# 200526706</v>
      </c>
    </row>
    <row r="1477" spans="1:8" x14ac:dyDescent="0.25">
      <c r="E1477" t="str">
        <f>""</f>
        <v/>
      </c>
      <c r="F1477" t="str">
        <f>""</f>
        <v/>
      </c>
      <c r="H1477" t="str">
        <f>"Inv# 200526811"</f>
        <v>Inv# 200526811</v>
      </c>
    </row>
    <row r="1478" spans="1:8" x14ac:dyDescent="0.25">
      <c r="E1478" t="str">
        <f>""</f>
        <v/>
      </c>
      <c r="F1478" t="str">
        <f>""</f>
        <v/>
      </c>
      <c r="H1478" t="str">
        <f>"Inv# 300497528"</f>
        <v>Inv# 300497528</v>
      </c>
    </row>
    <row r="1479" spans="1:8" x14ac:dyDescent="0.25">
      <c r="E1479" t="str">
        <f>""</f>
        <v/>
      </c>
      <c r="F1479" t="str">
        <f>""</f>
        <v/>
      </c>
      <c r="H1479" t="str">
        <f>"Inv# 300497660"</f>
        <v>Inv# 300497660</v>
      </c>
    </row>
    <row r="1480" spans="1:8" x14ac:dyDescent="0.25">
      <c r="E1480" t="str">
        <f>""</f>
        <v/>
      </c>
      <c r="F1480" t="str">
        <f>""</f>
        <v/>
      </c>
      <c r="H1480" t="str">
        <f>"Inv# 100057376"</f>
        <v>Inv# 100057376</v>
      </c>
    </row>
    <row r="1481" spans="1:8" x14ac:dyDescent="0.25">
      <c r="E1481" t="str">
        <f>""</f>
        <v/>
      </c>
      <c r="F1481" t="str">
        <f>""</f>
        <v/>
      </c>
      <c r="H1481" t="str">
        <f>"Inv# 300494037"</f>
        <v>Inv# 300494037</v>
      </c>
    </row>
    <row r="1482" spans="1:8" x14ac:dyDescent="0.25">
      <c r="E1482" t="str">
        <f>""</f>
        <v/>
      </c>
      <c r="F1482" t="str">
        <f>""</f>
        <v/>
      </c>
      <c r="H1482" t="str">
        <f>"Inv# 100060983"</f>
        <v>Inv# 100060983</v>
      </c>
    </row>
    <row r="1483" spans="1:8" x14ac:dyDescent="0.25">
      <c r="A1483" t="s">
        <v>509</v>
      </c>
      <c r="B1483">
        <v>79601</v>
      </c>
      <c r="C1483" s="3">
        <v>260</v>
      </c>
      <c r="D1483" s="1">
        <v>43417</v>
      </c>
      <c r="E1483" t="str">
        <f>"11314  09/19/18"</f>
        <v>11314  09/19/18</v>
      </c>
      <c r="F1483" t="str">
        <f t="shared" ref="F1483:F1491" si="20">"SERVICE"</f>
        <v>SERVICE</v>
      </c>
      <c r="G1483" s="2">
        <v>95</v>
      </c>
      <c r="H1483" t="str">
        <f t="shared" ref="H1483:H1491" si="21">"SERVICE"</f>
        <v>SERVICE</v>
      </c>
    </row>
    <row r="1484" spans="1:8" x14ac:dyDescent="0.25">
      <c r="E1484" t="str">
        <f>"12777"</f>
        <v>12777</v>
      </c>
      <c r="F1484" t="str">
        <f t="shared" si="20"/>
        <v>SERVICE</v>
      </c>
      <c r="G1484" s="2">
        <v>75</v>
      </c>
      <c r="H1484" t="str">
        <f t="shared" si="21"/>
        <v>SERVICE</v>
      </c>
    </row>
    <row r="1485" spans="1:8" x14ac:dyDescent="0.25">
      <c r="E1485" t="str">
        <f>"8206"</f>
        <v>8206</v>
      </c>
      <c r="F1485" t="str">
        <f t="shared" si="20"/>
        <v>SERVICE</v>
      </c>
      <c r="G1485" s="2">
        <v>90</v>
      </c>
      <c r="H1485" t="str">
        <f t="shared" si="21"/>
        <v>SERVICE</v>
      </c>
    </row>
    <row r="1486" spans="1:8" x14ac:dyDescent="0.25">
      <c r="A1486" t="s">
        <v>509</v>
      </c>
      <c r="B1486">
        <v>79776</v>
      </c>
      <c r="C1486" s="3">
        <v>600</v>
      </c>
      <c r="D1486" s="1">
        <v>43430</v>
      </c>
      <c r="E1486" t="str">
        <f>"12490"</f>
        <v>12490</v>
      </c>
      <c r="F1486" t="str">
        <f t="shared" si="20"/>
        <v>SERVICE</v>
      </c>
      <c r="G1486" s="2">
        <v>150</v>
      </c>
      <c r="H1486" t="str">
        <f t="shared" si="21"/>
        <v>SERVICE</v>
      </c>
    </row>
    <row r="1487" spans="1:8" x14ac:dyDescent="0.25">
      <c r="E1487" t="str">
        <f>"12754"</f>
        <v>12754</v>
      </c>
      <c r="F1487" t="str">
        <f t="shared" si="20"/>
        <v>SERVICE</v>
      </c>
      <c r="G1487" s="2">
        <v>75</v>
      </c>
      <c r="H1487" t="str">
        <f t="shared" si="21"/>
        <v>SERVICE</v>
      </c>
    </row>
    <row r="1488" spans="1:8" x14ac:dyDescent="0.25">
      <c r="E1488" t="str">
        <f>"12767"</f>
        <v>12767</v>
      </c>
      <c r="F1488" t="str">
        <f t="shared" si="20"/>
        <v>SERVICE</v>
      </c>
      <c r="G1488" s="2">
        <v>75</v>
      </c>
      <c r="H1488" t="str">
        <f t="shared" si="21"/>
        <v>SERVICE</v>
      </c>
    </row>
    <row r="1489" spans="1:8" x14ac:dyDescent="0.25">
      <c r="E1489" t="str">
        <f>"12774"</f>
        <v>12774</v>
      </c>
      <c r="F1489" t="str">
        <f t="shared" si="20"/>
        <v>SERVICE</v>
      </c>
      <c r="G1489" s="2">
        <v>150</v>
      </c>
      <c r="H1489" t="str">
        <f t="shared" si="21"/>
        <v>SERVICE</v>
      </c>
    </row>
    <row r="1490" spans="1:8" x14ac:dyDescent="0.25">
      <c r="E1490" t="str">
        <f>"12924"</f>
        <v>12924</v>
      </c>
      <c r="F1490" t="str">
        <f t="shared" si="20"/>
        <v>SERVICE</v>
      </c>
      <c r="G1490" s="2">
        <v>75</v>
      </c>
      <c r="H1490" t="str">
        <f t="shared" si="21"/>
        <v>SERVICE</v>
      </c>
    </row>
    <row r="1491" spans="1:8" x14ac:dyDescent="0.25">
      <c r="E1491" t="str">
        <f>"12992"</f>
        <v>12992</v>
      </c>
      <c r="F1491" t="str">
        <f t="shared" si="20"/>
        <v>SERVICE</v>
      </c>
      <c r="G1491" s="2">
        <v>75</v>
      </c>
      <c r="H1491" t="str">
        <f t="shared" si="21"/>
        <v>SERVICE</v>
      </c>
    </row>
    <row r="1492" spans="1:8" x14ac:dyDescent="0.25">
      <c r="A1492" t="s">
        <v>510</v>
      </c>
      <c r="B1492">
        <v>79777</v>
      </c>
      <c r="C1492" s="3">
        <v>454</v>
      </c>
      <c r="D1492" s="1">
        <v>43430</v>
      </c>
      <c r="E1492" t="str">
        <f>"18-002008"</f>
        <v>18-002008</v>
      </c>
      <c r="F1492" t="str">
        <f>"C-1-MH-18-002008"</f>
        <v>C-1-MH-18-002008</v>
      </c>
      <c r="G1492" s="2">
        <v>454</v>
      </c>
      <c r="H1492" t="str">
        <f>"C-1-MH-18-002008"</f>
        <v>C-1-MH-18-002008</v>
      </c>
    </row>
    <row r="1493" spans="1:8" x14ac:dyDescent="0.25">
      <c r="A1493" t="s">
        <v>511</v>
      </c>
      <c r="B1493">
        <v>79602</v>
      </c>
      <c r="C1493" s="3">
        <v>8700</v>
      </c>
      <c r="D1493" s="1">
        <v>43417</v>
      </c>
      <c r="E1493" t="str">
        <f>"3300001748"</f>
        <v>3300001748</v>
      </c>
      <c r="F1493" t="str">
        <f>"INV#3300001748/CUST#100010"</f>
        <v>INV#3300001748/CUST#100010</v>
      </c>
      <c r="G1493" s="2">
        <v>8700</v>
      </c>
      <c r="H1493" t="str">
        <f>"INV#3300001748/CUST#100010"</f>
        <v>INV#3300001748/CUST#100010</v>
      </c>
    </row>
    <row r="1494" spans="1:8" x14ac:dyDescent="0.25">
      <c r="A1494" t="s">
        <v>512</v>
      </c>
      <c r="B1494">
        <v>999999</v>
      </c>
      <c r="C1494" s="3">
        <v>691.2</v>
      </c>
      <c r="D1494" s="1">
        <v>43418</v>
      </c>
      <c r="E1494" t="str">
        <f>"734966"</f>
        <v>734966</v>
      </c>
      <c r="F1494" t="str">
        <f>"INV 734966 / UNIT 0126"</f>
        <v>INV 734966 / UNIT 0126</v>
      </c>
      <c r="G1494" s="2">
        <v>138.24</v>
      </c>
      <c r="H1494" t="str">
        <f>"INV 734966"</f>
        <v>INV 734966</v>
      </c>
    </row>
    <row r="1495" spans="1:8" x14ac:dyDescent="0.25">
      <c r="E1495" t="str">
        <f>"734967"</f>
        <v>734967</v>
      </c>
      <c r="F1495" t="str">
        <f>"INV 734967"</f>
        <v>INV 734967</v>
      </c>
      <c r="G1495" s="2">
        <v>552.96</v>
      </c>
      <c r="H1495" t="str">
        <f>"INV 734967"</f>
        <v>INV 734967</v>
      </c>
    </row>
    <row r="1496" spans="1:8" x14ac:dyDescent="0.25">
      <c r="A1496" t="s">
        <v>512</v>
      </c>
      <c r="B1496">
        <v>999999</v>
      </c>
      <c r="C1496" s="3">
        <v>966.26</v>
      </c>
      <c r="D1496" s="1">
        <v>43431</v>
      </c>
      <c r="E1496" t="str">
        <f>"735755"</f>
        <v>735755</v>
      </c>
      <c r="F1496" t="str">
        <f>"INV 735755 / UNIT 0124"</f>
        <v>INV 735755 / UNIT 0124</v>
      </c>
      <c r="G1496" s="2">
        <v>139.24</v>
      </c>
      <c r="H1496" t="str">
        <f>"INV 735755 / UNIT 0124"</f>
        <v>INV 735755 / UNIT 0124</v>
      </c>
    </row>
    <row r="1497" spans="1:8" x14ac:dyDescent="0.25">
      <c r="E1497" t="str">
        <f>"736729"</f>
        <v>736729</v>
      </c>
      <c r="F1497" t="str">
        <f>"INV 736729 / UNIT 6520"</f>
        <v>INV 736729 / UNIT 6520</v>
      </c>
      <c r="G1497" s="2">
        <v>138.24</v>
      </c>
      <c r="H1497" t="str">
        <f>"INV 736729 / UNIT 6520"</f>
        <v>INV 736729 / UNIT 6520</v>
      </c>
    </row>
    <row r="1498" spans="1:8" x14ac:dyDescent="0.25">
      <c r="E1498" t="str">
        <f>"736730"</f>
        <v>736730</v>
      </c>
      <c r="F1498" t="str">
        <f>"INV 736730 / UNIT 0126"</f>
        <v>INV 736730 / UNIT 0126</v>
      </c>
      <c r="G1498" s="2">
        <v>138.24</v>
      </c>
      <c r="H1498" t="str">
        <f>"INV 736730 / UNIT 0126"</f>
        <v>INV 736730 / UNIT 0126</v>
      </c>
    </row>
    <row r="1499" spans="1:8" x14ac:dyDescent="0.25">
      <c r="E1499" t="str">
        <f>"736731"</f>
        <v>736731</v>
      </c>
      <c r="F1499" t="str">
        <f>"INV 736731 / UNIT 0118"</f>
        <v>INV 736731 / UNIT 0118</v>
      </c>
      <c r="G1499" s="2">
        <v>138.24</v>
      </c>
      <c r="H1499" t="str">
        <f>"INV 736731 / UNIT 0118"</f>
        <v>INV 736731 / UNIT 0118</v>
      </c>
    </row>
    <row r="1500" spans="1:8" x14ac:dyDescent="0.25">
      <c r="E1500" t="str">
        <f>"736732"</f>
        <v>736732</v>
      </c>
      <c r="F1500" t="str">
        <f>"INV 736732 / UNIT 1668"</f>
        <v>INV 736732 / UNIT 1668</v>
      </c>
      <c r="G1500" s="2">
        <v>138.24</v>
      </c>
      <c r="H1500" t="str">
        <f>"INV 736732 / UNIT 1668"</f>
        <v>INV 736732 / UNIT 1668</v>
      </c>
    </row>
    <row r="1501" spans="1:8" x14ac:dyDescent="0.25">
      <c r="E1501" t="str">
        <f>"738033"</f>
        <v>738033</v>
      </c>
      <c r="F1501" t="str">
        <f>"INV 738033 / UNIT 9379"</f>
        <v>INV 738033 / UNIT 9379</v>
      </c>
      <c r="G1501" s="2">
        <v>274.06</v>
      </c>
      <c r="H1501" t="str">
        <f>"INV 738033 / UNIT 9379"</f>
        <v>INV 738033 / UNIT 9379</v>
      </c>
    </row>
    <row r="1502" spans="1:8" x14ac:dyDescent="0.25">
      <c r="A1502" t="s">
        <v>513</v>
      </c>
      <c r="B1502">
        <v>79603</v>
      </c>
      <c r="C1502" s="3">
        <v>68.02</v>
      </c>
      <c r="D1502" s="1">
        <v>43417</v>
      </c>
      <c r="E1502" t="str">
        <f>"201811074986"</f>
        <v>201811074986</v>
      </c>
      <c r="F1502" t="str">
        <f>"INDIGENT HEALTH"</f>
        <v>INDIGENT HEALTH</v>
      </c>
      <c r="G1502" s="2">
        <v>68.02</v>
      </c>
      <c r="H1502" t="str">
        <f>"INDIGENT HEALTH"</f>
        <v>INDIGENT HEALTH</v>
      </c>
    </row>
    <row r="1503" spans="1:8" x14ac:dyDescent="0.25">
      <c r="A1503" t="s">
        <v>514</v>
      </c>
      <c r="B1503">
        <v>79604</v>
      </c>
      <c r="C1503" s="3">
        <v>84.74</v>
      </c>
      <c r="D1503" s="1">
        <v>43417</v>
      </c>
      <c r="E1503" t="str">
        <f>"201811014785"</f>
        <v>201811014785</v>
      </c>
      <c r="F1503" t="str">
        <f>"REIMBURSE-MEALS"</f>
        <v>REIMBURSE-MEALS</v>
      </c>
      <c r="G1503" s="2">
        <v>84.74</v>
      </c>
      <c r="H1503" t="str">
        <f>"REIMBURSE-MEALS"</f>
        <v>REIMBURSE-MEALS</v>
      </c>
    </row>
    <row r="1504" spans="1:8" x14ac:dyDescent="0.25">
      <c r="A1504" t="s">
        <v>515</v>
      </c>
      <c r="B1504">
        <v>79605</v>
      </c>
      <c r="C1504" s="3">
        <v>420</v>
      </c>
      <c r="D1504" s="1">
        <v>43417</v>
      </c>
      <c r="E1504" t="str">
        <f>"6915"</f>
        <v>6915</v>
      </c>
      <c r="F1504" t="str">
        <f>"2019 MEMBERSHIP DUES INVESTMEN"</f>
        <v>2019 MEMBERSHIP DUES INVESTMEN</v>
      </c>
      <c r="G1504" s="2">
        <v>420</v>
      </c>
      <c r="H1504" t="str">
        <f>"2019 MEMBERSHIP DUES INVESTMEN"</f>
        <v>2019 MEMBERSHIP DUES INVESTMEN</v>
      </c>
    </row>
    <row r="1505" spans="1:8" x14ac:dyDescent="0.25">
      <c r="A1505" t="s">
        <v>516</v>
      </c>
      <c r="B1505">
        <v>999999</v>
      </c>
      <c r="C1505" s="3">
        <v>1600</v>
      </c>
      <c r="D1505" s="1">
        <v>43431</v>
      </c>
      <c r="E1505" t="str">
        <f>"201811155174"</f>
        <v>201811155174</v>
      </c>
      <c r="F1505" t="str">
        <f>"16 550"</f>
        <v>16 550</v>
      </c>
      <c r="G1505" s="2">
        <v>400</v>
      </c>
      <c r="H1505" t="str">
        <f>"16 550"</f>
        <v>16 550</v>
      </c>
    </row>
    <row r="1506" spans="1:8" x14ac:dyDescent="0.25">
      <c r="E1506" t="str">
        <f>"201811155175"</f>
        <v>201811155175</v>
      </c>
      <c r="F1506" t="str">
        <f>"16 645  JP2 02.0309.06"</f>
        <v>16 645  JP2 02.0309.06</v>
      </c>
      <c r="G1506" s="2">
        <v>600</v>
      </c>
      <c r="H1506" t="str">
        <f>"16 645  JP2 02.0309.06"</f>
        <v>16 645  JP2 02.0309.06</v>
      </c>
    </row>
    <row r="1507" spans="1:8" x14ac:dyDescent="0.25">
      <c r="E1507" t="str">
        <f>"201811155176"</f>
        <v>201811155176</v>
      </c>
      <c r="F1507" t="str">
        <f>"16 542  EPD-RICA-1711161-12"</f>
        <v>16 542  EPD-RICA-1711161-12</v>
      </c>
      <c r="G1507" s="2">
        <v>600</v>
      </c>
      <c r="H1507" t="str">
        <f>"16 542  EPD-RICA-1711161-12"</f>
        <v>16 542  EPD-RICA-1711161-12</v>
      </c>
    </row>
    <row r="1508" spans="1:8" x14ac:dyDescent="0.25">
      <c r="A1508" t="s">
        <v>517</v>
      </c>
      <c r="B1508">
        <v>79606</v>
      </c>
      <c r="C1508" s="3">
        <v>5087.12</v>
      </c>
      <c r="D1508" s="1">
        <v>43417</v>
      </c>
      <c r="E1508" t="str">
        <f>"025-239136"</f>
        <v>025-239136</v>
      </c>
      <c r="F1508" t="str">
        <f>"CUST#42161/ORD#99637"</f>
        <v>CUST#42161/ORD#99637</v>
      </c>
      <c r="G1508" s="2">
        <v>1056.73</v>
      </c>
      <c r="H1508" t="str">
        <f>"CUST#42161/ORD#99637"</f>
        <v>CUST#42161/ORD#99637</v>
      </c>
    </row>
    <row r="1509" spans="1:8" x14ac:dyDescent="0.25">
      <c r="E1509" t="str">
        <f>"130-3323"</f>
        <v>130-3323</v>
      </c>
      <c r="F1509" t="str">
        <f>"CUST#42161/ORD#2919"</f>
        <v>CUST#42161/ORD#2919</v>
      </c>
      <c r="G1509" s="2">
        <v>1970.39</v>
      </c>
      <c r="H1509" t="str">
        <f>"CUST#42161/ORD#2919"</f>
        <v>CUST#42161/ORD#2919</v>
      </c>
    </row>
    <row r="1510" spans="1:8" x14ac:dyDescent="0.25">
      <c r="E1510" t="str">
        <f>"130-3324"</f>
        <v>130-3324</v>
      </c>
      <c r="F1510" t="str">
        <f>"CUST#42161/ORD#2920"</f>
        <v>CUST#42161/ORD#2920</v>
      </c>
      <c r="G1510" s="2">
        <v>2060</v>
      </c>
      <c r="H1510" t="str">
        <f>"CUST#42161/ORD#2920"</f>
        <v>CUST#42161/ORD#2920</v>
      </c>
    </row>
    <row r="1511" spans="1:8" x14ac:dyDescent="0.25">
      <c r="A1511" t="s">
        <v>518</v>
      </c>
      <c r="B1511">
        <v>79607</v>
      </c>
      <c r="C1511" s="3">
        <v>286.23</v>
      </c>
      <c r="D1511" s="1">
        <v>43417</v>
      </c>
      <c r="E1511" t="str">
        <f>"102088047"</f>
        <v>102088047</v>
      </c>
      <c r="F1511" t="str">
        <f>"Bogus Paper"</f>
        <v>Bogus Paper</v>
      </c>
      <c r="G1511" s="2">
        <v>286.23</v>
      </c>
      <c r="H1511" t="str">
        <f>"Bogus Paper"</f>
        <v>Bogus Paper</v>
      </c>
    </row>
    <row r="1512" spans="1:8" x14ac:dyDescent="0.25">
      <c r="E1512" t="str">
        <f>""</f>
        <v/>
      </c>
      <c r="F1512" t="str">
        <f>""</f>
        <v/>
      </c>
      <c r="H1512" t="str">
        <f>"Freight"</f>
        <v>Freight</v>
      </c>
    </row>
    <row r="1513" spans="1:8" x14ac:dyDescent="0.25">
      <c r="A1513" t="s">
        <v>518</v>
      </c>
      <c r="B1513">
        <v>79778</v>
      </c>
      <c r="C1513" s="3">
        <v>322.52999999999997</v>
      </c>
      <c r="D1513" s="1">
        <v>43430</v>
      </c>
      <c r="E1513" t="str">
        <f>"102802156"</f>
        <v>102802156</v>
      </c>
      <c r="F1513" t="str">
        <f>"INV 102802156"</f>
        <v>INV 102802156</v>
      </c>
      <c r="G1513" s="2">
        <v>322.52999999999997</v>
      </c>
      <c r="H1513" t="str">
        <f>"INV 102802156"</f>
        <v>INV 102802156</v>
      </c>
    </row>
    <row r="1514" spans="1:8" x14ac:dyDescent="0.25">
      <c r="A1514" t="s">
        <v>519</v>
      </c>
      <c r="B1514">
        <v>999999</v>
      </c>
      <c r="C1514" s="3">
        <v>227.04</v>
      </c>
      <c r="D1514" s="1">
        <v>43433</v>
      </c>
      <c r="E1514" t="str">
        <f>"10080072 Reissue"</f>
        <v>10080072 Reissue</v>
      </c>
      <c r="F1514" t="str">
        <f>"ACCT#38049 / PCT #4"</f>
        <v>ACCT#38049 / PCT #4</v>
      </c>
      <c r="G1514" s="2">
        <v>137.63999999999999</v>
      </c>
      <c r="H1514" t="str">
        <f>"ACCT#38049 / PCT #4"</f>
        <v>ACCT#38049 / PCT #4</v>
      </c>
    </row>
    <row r="1515" spans="1:8" x14ac:dyDescent="0.25">
      <c r="E1515" t="str">
        <f>"10088433 Reissue"</f>
        <v>10088433 Reissue</v>
      </c>
      <c r="F1515" t="str">
        <f>"ACCT#38049 / PCT #4"</f>
        <v>ACCT#38049 / PCT #4</v>
      </c>
      <c r="G1515" s="2">
        <v>35</v>
      </c>
      <c r="H1515" t="str">
        <f>"ACCT#38049 / PCT #4"</f>
        <v>ACCT#38049 / PCT #4</v>
      </c>
    </row>
    <row r="1516" spans="1:8" x14ac:dyDescent="0.25">
      <c r="E1516" t="str">
        <f>"10094878 Reissue"</f>
        <v>10094878 Reissue</v>
      </c>
      <c r="F1516" t="str">
        <f>"ACCT#38049 / PCT #4"</f>
        <v>ACCT#38049 / PCT #4</v>
      </c>
      <c r="G1516" s="2">
        <v>54.4</v>
      </c>
      <c r="H1516" t="str">
        <f>"ACCT#38049 / PCT #4"</f>
        <v>ACCT#38049 / PCT #4</v>
      </c>
    </row>
    <row r="1517" spans="1:8" x14ac:dyDescent="0.25">
      <c r="A1517" t="s">
        <v>520</v>
      </c>
      <c r="B1517">
        <v>79608</v>
      </c>
      <c r="C1517" s="3">
        <v>1888.75</v>
      </c>
      <c r="D1517" s="1">
        <v>43417</v>
      </c>
      <c r="E1517" t="str">
        <f>"65082052-00"</f>
        <v>65082052-00</v>
      </c>
      <c r="F1517" t="str">
        <f>"TAAG Box and Pan Brake"</f>
        <v>TAAG Box and Pan Brake</v>
      </c>
      <c r="G1517" s="2">
        <v>1888.75</v>
      </c>
      <c r="H1517" t="str">
        <f>"TK1648"</f>
        <v>TK1648</v>
      </c>
    </row>
    <row r="1518" spans="1:8" x14ac:dyDescent="0.25">
      <c r="E1518" t="str">
        <f>""</f>
        <v/>
      </c>
      <c r="F1518" t="str">
        <f>""</f>
        <v/>
      </c>
      <c r="H1518" t="str">
        <f>"stand for TK1648"</f>
        <v>stand for TK1648</v>
      </c>
    </row>
    <row r="1519" spans="1:8" x14ac:dyDescent="0.25">
      <c r="E1519" t="str">
        <f>""</f>
        <v/>
      </c>
      <c r="F1519" t="str">
        <f>""</f>
        <v/>
      </c>
      <c r="H1519" t="str">
        <f>"Freight"</f>
        <v>Freight</v>
      </c>
    </row>
    <row r="1520" spans="1:8" x14ac:dyDescent="0.25">
      <c r="A1520" t="s">
        <v>521</v>
      </c>
      <c r="B1520">
        <v>79609</v>
      </c>
      <c r="C1520" s="3">
        <v>17.16</v>
      </c>
      <c r="D1520" s="1">
        <v>43417</v>
      </c>
      <c r="E1520" t="str">
        <f>"000018VW63428"</f>
        <v>000018VW63428</v>
      </c>
      <c r="F1520" t="str">
        <f>"INV 000018VW63428"</f>
        <v>INV 000018VW63428</v>
      </c>
      <c r="G1520" s="2">
        <v>17.16</v>
      </c>
      <c r="H1520" t="str">
        <f>"INV 000018VW63428"</f>
        <v>INV 000018VW63428</v>
      </c>
    </row>
    <row r="1521" spans="1:8" x14ac:dyDescent="0.25">
      <c r="A1521" t="s">
        <v>521</v>
      </c>
      <c r="B1521">
        <v>79779</v>
      </c>
      <c r="C1521" s="3">
        <v>20.7</v>
      </c>
      <c r="D1521" s="1">
        <v>43430</v>
      </c>
      <c r="E1521" t="str">
        <f>"000018VW63448"</f>
        <v>000018VW63448</v>
      </c>
      <c r="F1521" t="str">
        <f>"INV 000018VW63448"</f>
        <v>INV 000018VW63448</v>
      </c>
      <c r="G1521" s="2">
        <v>20.7</v>
      </c>
      <c r="H1521" t="str">
        <f>"INV 000018VW63448"</f>
        <v>INV 000018VW63448</v>
      </c>
    </row>
    <row r="1522" spans="1:8" x14ac:dyDescent="0.25">
      <c r="A1522" t="s">
        <v>522</v>
      </c>
      <c r="B1522">
        <v>79780</v>
      </c>
      <c r="C1522" s="3">
        <v>160</v>
      </c>
      <c r="D1522" s="1">
        <v>43430</v>
      </c>
      <c r="E1522" t="str">
        <f>"12165"</f>
        <v>12165</v>
      </c>
      <c r="F1522" t="str">
        <f>"SERVICE"</f>
        <v>SERVICE</v>
      </c>
      <c r="G1522" s="2">
        <v>80</v>
      </c>
      <c r="H1522" t="str">
        <f>"SERVICE"</f>
        <v>SERVICE</v>
      </c>
    </row>
    <row r="1523" spans="1:8" x14ac:dyDescent="0.25">
      <c r="E1523" t="str">
        <f>"12490"</f>
        <v>12490</v>
      </c>
      <c r="F1523" t="str">
        <f>"SERVICE"</f>
        <v>SERVICE</v>
      </c>
      <c r="G1523" s="2">
        <v>80</v>
      </c>
      <c r="H1523" t="str">
        <f>"SERVICE"</f>
        <v>SERVICE</v>
      </c>
    </row>
    <row r="1524" spans="1:8" x14ac:dyDescent="0.25">
      <c r="A1524" t="s">
        <v>523</v>
      </c>
      <c r="B1524">
        <v>79610</v>
      </c>
      <c r="C1524" s="3">
        <v>100.65</v>
      </c>
      <c r="D1524" s="1">
        <v>43417</v>
      </c>
      <c r="E1524" t="str">
        <f>"2006920"</f>
        <v>2006920</v>
      </c>
      <c r="F1524" t="str">
        <f>"REMOTE BIRTH ACCESS OCT1-31"</f>
        <v>REMOTE BIRTH ACCESS OCT1-31</v>
      </c>
      <c r="G1524" s="2">
        <v>100.65</v>
      </c>
      <c r="H1524" t="str">
        <f>"REMOTE BIRTH ACCESS OCT1-31"</f>
        <v>REMOTE BIRTH ACCESS OCT1-31</v>
      </c>
    </row>
    <row r="1525" spans="1:8" x14ac:dyDescent="0.25">
      <c r="A1525" t="s">
        <v>524</v>
      </c>
      <c r="B1525">
        <v>999999</v>
      </c>
      <c r="C1525" s="3">
        <v>46784.76</v>
      </c>
      <c r="D1525" s="1">
        <v>43418</v>
      </c>
      <c r="E1525" t="str">
        <f>"201811064883"</f>
        <v>201811064883</v>
      </c>
      <c r="F1525" t="str">
        <f>"Inv# 869395921843"</f>
        <v>Inv# 869395921843</v>
      </c>
      <c r="G1525" s="2">
        <v>46784.76</v>
      </c>
      <c r="H1525" t="str">
        <f>"Fuel"</f>
        <v>Fuel</v>
      </c>
    </row>
    <row r="1526" spans="1:8" x14ac:dyDescent="0.25">
      <c r="E1526" t="str">
        <f>""</f>
        <v/>
      </c>
      <c r="F1526" t="str">
        <f>""</f>
        <v/>
      </c>
      <c r="H1526" t="str">
        <f>"Less Tax"</f>
        <v>Less Tax</v>
      </c>
    </row>
    <row r="1527" spans="1:8" x14ac:dyDescent="0.25">
      <c r="E1527" t="str">
        <f>""</f>
        <v/>
      </c>
      <c r="F1527" t="str">
        <f>""</f>
        <v/>
      </c>
      <c r="H1527" t="str">
        <f>"Fuel"</f>
        <v>Fuel</v>
      </c>
    </row>
    <row r="1528" spans="1:8" x14ac:dyDescent="0.25">
      <c r="E1528" t="str">
        <f>""</f>
        <v/>
      </c>
      <c r="F1528" t="str">
        <f>""</f>
        <v/>
      </c>
      <c r="H1528" t="str">
        <f>"Less Tax"</f>
        <v>Less Tax</v>
      </c>
    </row>
    <row r="1529" spans="1:8" x14ac:dyDescent="0.25">
      <c r="E1529" t="str">
        <f>""</f>
        <v/>
      </c>
      <c r="F1529" t="str">
        <f>""</f>
        <v/>
      </c>
      <c r="H1529" t="str">
        <f>"Maintenance"</f>
        <v>Maintenance</v>
      </c>
    </row>
    <row r="1530" spans="1:8" x14ac:dyDescent="0.25">
      <c r="E1530" t="str">
        <f>""</f>
        <v/>
      </c>
      <c r="F1530" t="str">
        <f>""</f>
        <v/>
      </c>
      <c r="H1530" t="str">
        <f>"Maintenance"</f>
        <v>Maintenance</v>
      </c>
    </row>
    <row r="1531" spans="1:8" x14ac:dyDescent="0.25">
      <c r="E1531" t="str">
        <f>""</f>
        <v/>
      </c>
      <c r="F1531" t="str">
        <f>""</f>
        <v/>
      </c>
      <c r="H1531" t="str">
        <f>"Fuel"</f>
        <v>Fuel</v>
      </c>
    </row>
    <row r="1532" spans="1:8" x14ac:dyDescent="0.25">
      <c r="E1532" t="str">
        <f>""</f>
        <v/>
      </c>
      <c r="F1532" t="str">
        <f>""</f>
        <v/>
      </c>
      <c r="H1532" t="str">
        <f>"Less Tax"</f>
        <v>Less Tax</v>
      </c>
    </row>
    <row r="1533" spans="1:8" x14ac:dyDescent="0.25">
      <c r="E1533" t="str">
        <f>""</f>
        <v/>
      </c>
      <c r="F1533" t="str">
        <f>""</f>
        <v/>
      </c>
      <c r="H1533" t="str">
        <f>"Fuel"</f>
        <v>Fuel</v>
      </c>
    </row>
    <row r="1534" spans="1:8" x14ac:dyDescent="0.25">
      <c r="E1534" t="str">
        <f>""</f>
        <v/>
      </c>
      <c r="F1534" t="str">
        <f>""</f>
        <v/>
      </c>
      <c r="H1534" t="str">
        <f>"Less Tax"</f>
        <v>Less Tax</v>
      </c>
    </row>
    <row r="1535" spans="1:8" x14ac:dyDescent="0.25">
      <c r="E1535" t="str">
        <f>""</f>
        <v/>
      </c>
      <c r="F1535" t="str">
        <f>""</f>
        <v/>
      </c>
      <c r="H1535" t="str">
        <f>"Fuel"</f>
        <v>Fuel</v>
      </c>
    </row>
    <row r="1536" spans="1:8" x14ac:dyDescent="0.25">
      <c r="E1536" t="str">
        <f>""</f>
        <v/>
      </c>
      <c r="F1536" t="str">
        <f>""</f>
        <v/>
      </c>
      <c r="H1536" t="str">
        <f>"Less Tax"</f>
        <v>Less Tax</v>
      </c>
    </row>
    <row r="1537" spans="1:9" x14ac:dyDescent="0.25">
      <c r="E1537" t="str">
        <f>""</f>
        <v/>
      </c>
      <c r="F1537" t="str">
        <f>""</f>
        <v/>
      </c>
      <c r="H1537" t="str">
        <f>"Fuel"</f>
        <v>Fuel</v>
      </c>
    </row>
    <row r="1538" spans="1:9" x14ac:dyDescent="0.25">
      <c r="E1538" t="str">
        <f>""</f>
        <v/>
      </c>
      <c r="F1538" t="str">
        <f>""</f>
        <v/>
      </c>
      <c r="H1538" t="str">
        <f>"less tax"</f>
        <v>less tax</v>
      </c>
    </row>
    <row r="1539" spans="1:9" x14ac:dyDescent="0.25">
      <c r="E1539" t="str">
        <f>""</f>
        <v/>
      </c>
      <c r="F1539" t="str">
        <f>""</f>
        <v/>
      </c>
      <c r="H1539" t="str">
        <f>"Maintenance"</f>
        <v>Maintenance</v>
      </c>
    </row>
    <row r="1540" spans="1:9" x14ac:dyDescent="0.25">
      <c r="E1540" t="str">
        <f>""</f>
        <v/>
      </c>
      <c r="F1540" t="str">
        <f>""</f>
        <v/>
      </c>
      <c r="H1540" t="str">
        <f>"Fuel"</f>
        <v>Fuel</v>
      </c>
    </row>
    <row r="1541" spans="1:9" x14ac:dyDescent="0.25">
      <c r="E1541" t="str">
        <f>""</f>
        <v/>
      </c>
      <c r="F1541" t="str">
        <f>""</f>
        <v/>
      </c>
      <c r="H1541" t="str">
        <f>"Less Tax"</f>
        <v>Less Tax</v>
      </c>
    </row>
    <row r="1542" spans="1:9" x14ac:dyDescent="0.25">
      <c r="E1542" t="str">
        <f>""</f>
        <v/>
      </c>
      <c r="F1542" t="str">
        <f>""</f>
        <v/>
      </c>
      <c r="H1542" t="str">
        <f>"Maintenace"</f>
        <v>Maintenace</v>
      </c>
    </row>
    <row r="1543" spans="1:9" x14ac:dyDescent="0.25">
      <c r="E1543" t="str">
        <f>""</f>
        <v/>
      </c>
      <c r="F1543" t="str">
        <f>""</f>
        <v/>
      </c>
      <c r="H1543" t="str">
        <f>"Fuel"</f>
        <v>Fuel</v>
      </c>
    </row>
    <row r="1544" spans="1:9" x14ac:dyDescent="0.25">
      <c r="E1544" t="str">
        <f>""</f>
        <v/>
      </c>
      <c r="F1544" t="str">
        <f>""</f>
        <v/>
      </c>
      <c r="H1544" t="str">
        <f>"Less Tax"</f>
        <v>Less Tax</v>
      </c>
    </row>
    <row r="1545" spans="1:9" x14ac:dyDescent="0.25">
      <c r="E1545" t="str">
        <f>""</f>
        <v/>
      </c>
      <c r="F1545" t="str">
        <f>""</f>
        <v/>
      </c>
      <c r="H1545" t="str">
        <f>"Fuel"</f>
        <v>Fuel</v>
      </c>
    </row>
    <row r="1546" spans="1:9" x14ac:dyDescent="0.25">
      <c r="E1546" t="str">
        <f>""</f>
        <v/>
      </c>
      <c r="F1546" t="str">
        <f>""</f>
        <v/>
      </c>
      <c r="H1546" t="str">
        <f>"Less Tax"</f>
        <v>Less Tax</v>
      </c>
    </row>
    <row r="1547" spans="1:9" x14ac:dyDescent="0.25">
      <c r="E1547" t="str">
        <f>""</f>
        <v/>
      </c>
      <c r="F1547" t="str">
        <f>""</f>
        <v/>
      </c>
      <c r="H1547" t="str">
        <f>"Fuel"</f>
        <v>Fuel</v>
      </c>
    </row>
    <row r="1548" spans="1:9" x14ac:dyDescent="0.25">
      <c r="E1548" t="str">
        <f>""</f>
        <v/>
      </c>
      <c r="F1548" t="str">
        <f>""</f>
        <v/>
      </c>
      <c r="H1548" t="str">
        <f>"Less Tax"</f>
        <v>Less Tax</v>
      </c>
    </row>
    <row r="1549" spans="1:9" x14ac:dyDescent="0.25">
      <c r="E1549" t="str">
        <f>""</f>
        <v/>
      </c>
      <c r="F1549" t="str">
        <f>""</f>
        <v/>
      </c>
      <c r="H1549" t="str">
        <f>"Fuel Rebate"</f>
        <v>Fuel Rebate</v>
      </c>
    </row>
    <row r="1550" spans="1:9" x14ac:dyDescent="0.25">
      <c r="E1550" t="str">
        <f>""</f>
        <v/>
      </c>
      <c r="F1550" t="str">
        <f>""</f>
        <v/>
      </c>
      <c r="H1550" t="str">
        <f>"Fuel"</f>
        <v>Fuel</v>
      </c>
    </row>
    <row r="1551" spans="1:9" x14ac:dyDescent="0.25">
      <c r="E1551" t="str">
        <f>""</f>
        <v/>
      </c>
      <c r="F1551" t="str">
        <f>""</f>
        <v/>
      </c>
      <c r="H1551" t="str">
        <f>"Less Tax"</f>
        <v>Less Tax</v>
      </c>
    </row>
    <row r="1552" spans="1:9" x14ac:dyDescent="0.25">
      <c r="A1552" t="s">
        <v>525</v>
      </c>
      <c r="B1552">
        <v>79781</v>
      </c>
      <c r="C1552" s="3">
        <v>60</v>
      </c>
      <c r="D1552" s="1">
        <v>43430</v>
      </c>
      <c r="E1552" t="s">
        <v>88</v>
      </c>
      <c r="F1552" t="s">
        <v>526</v>
      </c>
      <c r="G1552" s="2" t="str">
        <f>"RESTITUTION-A. VILLEGAS"</f>
        <v>RESTITUTION-A. VILLEGAS</v>
      </c>
      <c r="H1552" t="str">
        <f>"210-0000"</f>
        <v>210-0000</v>
      </c>
      <c r="I1552" t="str">
        <f>""</f>
        <v/>
      </c>
    </row>
    <row r="1553" spans="1:8" x14ac:dyDescent="0.25">
      <c r="A1553" t="s">
        <v>527</v>
      </c>
      <c r="B1553">
        <v>999999</v>
      </c>
      <c r="C1553" s="3">
        <v>2721.9</v>
      </c>
      <c r="D1553" s="1">
        <v>43418</v>
      </c>
      <c r="E1553" t="str">
        <f>"15649"</f>
        <v>15649</v>
      </c>
      <c r="F1553" t="str">
        <f>"COLD MIX/FREIGHT/PCT#3"</f>
        <v>COLD MIX/FREIGHT/PCT#3</v>
      </c>
      <c r="G1553" s="2">
        <v>2721.9</v>
      </c>
      <c r="H1553" t="str">
        <f>"COLD MIX/FREIGHT/PCT#3"</f>
        <v>COLD MIX/FREIGHT/PCT#3</v>
      </c>
    </row>
    <row r="1554" spans="1:8" x14ac:dyDescent="0.25">
      <c r="A1554" t="s">
        <v>527</v>
      </c>
      <c r="B1554">
        <v>999999</v>
      </c>
      <c r="C1554" s="3">
        <v>2613.75</v>
      </c>
      <c r="D1554" s="1">
        <v>43431</v>
      </c>
      <c r="E1554" t="str">
        <f>"15727"</f>
        <v>15727</v>
      </c>
      <c r="F1554" t="str">
        <f>"COLD MIX FREIGHT/PCT#4"</f>
        <v>COLD MIX FREIGHT/PCT#4</v>
      </c>
      <c r="G1554" s="2">
        <v>2613.75</v>
      </c>
      <c r="H1554" t="str">
        <f>"COLD MIX FREIGHT/PCT#4"</f>
        <v>COLD MIX FREIGHT/PCT#4</v>
      </c>
    </row>
    <row r="1555" spans="1:8" x14ac:dyDescent="0.25">
      <c r="A1555" t="s">
        <v>528</v>
      </c>
      <c r="B1555">
        <v>79611</v>
      </c>
      <c r="C1555" s="3">
        <v>928.44</v>
      </c>
      <c r="D1555" s="1">
        <v>43417</v>
      </c>
      <c r="E1555" t="str">
        <f>"005978 006549 0013"</f>
        <v>005978 006549 0013</v>
      </c>
      <c r="F1555" t="str">
        <f>"Acct#6032202005312476"</f>
        <v>Acct#6032202005312476</v>
      </c>
      <c r="G1555" s="2">
        <v>228.71</v>
      </c>
      <c r="H1555" t="str">
        <f>"Inv#006549"</f>
        <v>Inv#006549</v>
      </c>
    </row>
    <row r="1556" spans="1:8" x14ac:dyDescent="0.25">
      <c r="E1556" t="str">
        <f>""</f>
        <v/>
      </c>
      <c r="F1556" t="str">
        <f>""</f>
        <v/>
      </c>
      <c r="H1556" t="str">
        <f>"Inv#005978"</f>
        <v>Inv#005978</v>
      </c>
    </row>
    <row r="1557" spans="1:8" x14ac:dyDescent="0.25">
      <c r="E1557" t="str">
        <f>""</f>
        <v/>
      </c>
      <c r="F1557" t="str">
        <f>""</f>
        <v/>
      </c>
      <c r="H1557" t="str">
        <f>"Inv#001331"</f>
        <v>Inv#001331</v>
      </c>
    </row>
    <row r="1558" spans="1:8" x14ac:dyDescent="0.25">
      <c r="E1558" t="str">
        <f>"201811064844"</f>
        <v>201811064844</v>
      </c>
      <c r="F1558" t="str">
        <f>"Acct#6032202005312476"</f>
        <v>Acct#6032202005312476</v>
      </c>
      <c r="G1558" s="2">
        <v>699.73</v>
      </c>
      <c r="H1558" t="str">
        <f>"Inv# 004687"</f>
        <v>Inv# 004687</v>
      </c>
    </row>
    <row r="1559" spans="1:8" x14ac:dyDescent="0.25">
      <c r="E1559" t="str">
        <f>""</f>
        <v/>
      </c>
      <c r="F1559" t="str">
        <f>""</f>
        <v/>
      </c>
      <c r="H1559" t="str">
        <f>"Inv# 003702"</f>
        <v>Inv# 003702</v>
      </c>
    </row>
    <row r="1560" spans="1:8" x14ac:dyDescent="0.25">
      <c r="E1560" t="str">
        <f>""</f>
        <v/>
      </c>
      <c r="F1560" t="str">
        <f>""</f>
        <v/>
      </c>
      <c r="H1560" t="str">
        <f>"Inv# 003702"</f>
        <v>Inv# 003702</v>
      </c>
    </row>
    <row r="1561" spans="1:8" x14ac:dyDescent="0.25">
      <c r="E1561" t="str">
        <f>""</f>
        <v/>
      </c>
      <c r="F1561" t="str">
        <f>""</f>
        <v/>
      </c>
      <c r="H1561" t="str">
        <f>"Inv# 003702"</f>
        <v>Inv# 003702</v>
      </c>
    </row>
    <row r="1562" spans="1:8" x14ac:dyDescent="0.25">
      <c r="E1562" t="str">
        <f>""</f>
        <v/>
      </c>
      <c r="F1562" t="str">
        <f>""</f>
        <v/>
      </c>
      <c r="H1562" t="str">
        <f>"Inv#004612"</f>
        <v>Inv#004612</v>
      </c>
    </row>
    <row r="1563" spans="1:8" x14ac:dyDescent="0.25">
      <c r="E1563" t="str">
        <f>""</f>
        <v/>
      </c>
      <c r="F1563" t="str">
        <f>""</f>
        <v/>
      </c>
      <c r="H1563" t="str">
        <f>"Inv# 006279"</f>
        <v>Inv# 006279</v>
      </c>
    </row>
    <row r="1564" spans="1:8" x14ac:dyDescent="0.25">
      <c r="E1564" t="str">
        <f>""</f>
        <v/>
      </c>
      <c r="F1564" t="str">
        <f>""</f>
        <v/>
      </c>
      <c r="H1564" t="str">
        <f>"Inv# 006313"</f>
        <v>Inv# 006313</v>
      </c>
    </row>
    <row r="1565" spans="1:8" x14ac:dyDescent="0.25">
      <c r="E1565" t="str">
        <f>""</f>
        <v/>
      </c>
      <c r="F1565" t="str">
        <f>""</f>
        <v/>
      </c>
      <c r="H1565" t="str">
        <f>"Inv# 008075"</f>
        <v>Inv# 008075</v>
      </c>
    </row>
    <row r="1566" spans="1:8" x14ac:dyDescent="0.25">
      <c r="E1566" t="str">
        <f>""</f>
        <v/>
      </c>
      <c r="F1566" t="str">
        <f>""</f>
        <v/>
      </c>
      <c r="H1566" t="str">
        <f>"Inv#007380"</f>
        <v>Inv#007380</v>
      </c>
    </row>
    <row r="1567" spans="1:8" x14ac:dyDescent="0.25">
      <c r="E1567" t="str">
        <f>""</f>
        <v/>
      </c>
      <c r="F1567" t="str">
        <f>""</f>
        <v/>
      </c>
      <c r="H1567" t="str">
        <f>"Inv# 003384"</f>
        <v>Inv# 003384</v>
      </c>
    </row>
    <row r="1568" spans="1:8" x14ac:dyDescent="0.25">
      <c r="E1568" t="str">
        <f>""</f>
        <v/>
      </c>
      <c r="F1568" t="str">
        <f>""</f>
        <v/>
      </c>
      <c r="H1568" t="str">
        <f>"Inv# 003581"</f>
        <v>Inv# 003581</v>
      </c>
    </row>
    <row r="1569" spans="1:9" x14ac:dyDescent="0.25">
      <c r="E1569" t="str">
        <f>""</f>
        <v/>
      </c>
      <c r="F1569" t="str">
        <f>""</f>
        <v/>
      </c>
      <c r="H1569" t="str">
        <f>"Inv# 006699"</f>
        <v>Inv# 006699</v>
      </c>
    </row>
    <row r="1570" spans="1:9" x14ac:dyDescent="0.25">
      <c r="E1570" t="str">
        <f>""</f>
        <v/>
      </c>
      <c r="F1570" t="str">
        <f>""</f>
        <v/>
      </c>
      <c r="H1570" t="str">
        <f>"Inv# 005367"</f>
        <v>Inv# 005367</v>
      </c>
    </row>
    <row r="1571" spans="1:9" x14ac:dyDescent="0.25">
      <c r="A1571" t="s">
        <v>529</v>
      </c>
      <c r="B1571">
        <v>79612</v>
      </c>
      <c r="C1571" s="3">
        <v>108.36</v>
      </c>
      <c r="D1571" s="1">
        <v>43417</v>
      </c>
      <c r="E1571" t="str">
        <f>"0037334-2162-6"</f>
        <v>0037334-2162-6</v>
      </c>
      <c r="F1571" t="str">
        <f>"CUST ID:16-27603-83003/ANIMAL"</f>
        <v>CUST ID:16-27603-83003/ANIMAL</v>
      </c>
      <c r="G1571" s="2">
        <v>108.36</v>
      </c>
      <c r="H1571" t="str">
        <f>"CUST ID:16-27603-83003/ANIMAL"</f>
        <v>CUST ID:16-27603-83003/ANIMAL</v>
      </c>
    </row>
    <row r="1572" spans="1:9" x14ac:dyDescent="0.25">
      <c r="A1572" t="s">
        <v>530</v>
      </c>
      <c r="B1572">
        <v>79782</v>
      </c>
      <c r="C1572" s="3">
        <v>32000</v>
      </c>
      <c r="D1572" s="1">
        <v>43430</v>
      </c>
      <c r="E1572" t="str">
        <f>"4REINV0008161 BCMI"</f>
        <v>4REINV0008161 BCMI</v>
      </c>
      <c r="F1572" t="str">
        <f>"camera system for New Veh"</f>
        <v>camera system for New Veh</v>
      </c>
      <c r="G1572" s="2">
        <v>32000</v>
      </c>
      <c r="H1572" t="str">
        <f>"VIS-EXT-WIF-BUN"</f>
        <v>VIS-EXT-WIF-BUN</v>
      </c>
    </row>
    <row r="1573" spans="1:9" x14ac:dyDescent="0.25">
      <c r="E1573" t="str">
        <f>""</f>
        <v/>
      </c>
      <c r="F1573" t="str">
        <f>""</f>
        <v/>
      </c>
      <c r="H1573" t="str">
        <f>"VIS-CHG-BS2-KIT"</f>
        <v>VIS-CHG-BS2-KIT</v>
      </c>
    </row>
    <row r="1574" spans="1:9" x14ac:dyDescent="0.25">
      <c r="E1574" t="str">
        <f>""</f>
        <v/>
      </c>
      <c r="F1574" t="str">
        <f>""</f>
        <v/>
      </c>
      <c r="H1574" t="str">
        <f>"KEY-EL4-DEV-004"</f>
        <v>KEY-EL4-DEV-004</v>
      </c>
    </row>
    <row r="1575" spans="1:9" x14ac:dyDescent="0.25">
      <c r="E1575" t="str">
        <f>""</f>
        <v/>
      </c>
      <c r="F1575" t="str">
        <f>""</f>
        <v/>
      </c>
      <c r="H1575" t="str">
        <f>"KEY-E;4=DEV-001"</f>
        <v>KEY-E;4=DEV-001</v>
      </c>
    </row>
    <row r="1576" spans="1:9" x14ac:dyDescent="0.25">
      <c r="E1576" t="str">
        <f>""</f>
        <v/>
      </c>
      <c r="F1576" t="str">
        <f>""</f>
        <v/>
      </c>
      <c r="H1576" t="str">
        <f>"CAM-4RE-PAN-NHD"</f>
        <v>CAM-4RE-PAN-NHD</v>
      </c>
    </row>
    <row r="1577" spans="1:9" x14ac:dyDescent="0.25">
      <c r="E1577" t="str">
        <f>""</f>
        <v/>
      </c>
      <c r="F1577" t="str">
        <f>""</f>
        <v/>
      </c>
      <c r="H1577" t="str">
        <f>"CAB-RIA-100-SRY"</f>
        <v>CAB-RIA-100-SRY</v>
      </c>
    </row>
    <row r="1578" spans="1:9" x14ac:dyDescent="0.25">
      <c r="E1578" t="str">
        <f>""</f>
        <v/>
      </c>
      <c r="F1578" t="str">
        <f>""</f>
        <v/>
      </c>
      <c r="H1578" t="str">
        <f>"4RE=WRL-KIT-101"</f>
        <v>4RE=WRL-KIT-101</v>
      </c>
    </row>
    <row r="1579" spans="1:9" x14ac:dyDescent="0.25">
      <c r="E1579" t="str">
        <f>""</f>
        <v/>
      </c>
      <c r="F1579" t="str">
        <f>""</f>
        <v/>
      </c>
      <c r="H1579" t="str">
        <f>"SHIPPING"</f>
        <v>SHIPPING</v>
      </c>
    </row>
    <row r="1580" spans="1:9" x14ac:dyDescent="0.25">
      <c r="A1580" t="s">
        <v>531</v>
      </c>
      <c r="B1580">
        <v>79613</v>
      </c>
      <c r="C1580" s="3">
        <v>419.73</v>
      </c>
      <c r="D1580" s="1">
        <v>43417</v>
      </c>
      <c r="E1580" t="str">
        <f>"CNIV558219"</f>
        <v>CNIV558219</v>
      </c>
      <c r="F1580" t="str">
        <f>"INV CNIV558219"</f>
        <v>INV CNIV558219</v>
      </c>
      <c r="G1580" s="2">
        <v>419.73</v>
      </c>
      <c r="H1580" t="str">
        <f>"LAW ENFORCEMENT"</f>
        <v>LAW ENFORCEMENT</v>
      </c>
    </row>
    <row r="1581" spans="1:9" x14ac:dyDescent="0.25">
      <c r="E1581" t="str">
        <f>""</f>
        <v/>
      </c>
      <c r="F1581" t="str">
        <f>""</f>
        <v/>
      </c>
      <c r="H1581" t="str">
        <f>"JAIL"</f>
        <v>JAIL</v>
      </c>
    </row>
    <row r="1582" spans="1:9" x14ac:dyDescent="0.25">
      <c r="A1582" t="s">
        <v>532</v>
      </c>
      <c r="B1582">
        <v>79783</v>
      </c>
      <c r="C1582" s="3">
        <v>25</v>
      </c>
      <c r="D1582" s="1">
        <v>43430</v>
      </c>
      <c r="E1582" t="s">
        <v>533</v>
      </c>
      <c r="F1582" t="s">
        <v>534</v>
      </c>
      <c r="G1582" s="2" t="str">
        <f>"RESTITUTION-W. BRUNT III"</f>
        <v>RESTITUTION-W. BRUNT III</v>
      </c>
      <c r="H1582" t="str">
        <f>"210-0000"</f>
        <v>210-0000</v>
      </c>
      <c r="I1582" t="str">
        <f>""</f>
        <v/>
      </c>
    </row>
    <row r="1583" spans="1:9" x14ac:dyDescent="0.25">
      <c r="A1583" t="s">
        <v>535</v>
      </c>
      <c r="B1583">
        <v>79382</v>
      </c>
      <c r="C1583" s="3">
        <v>19769.66</v>
      </c>
      <c r="D1583" s="1">
        <v>43411</v>
      </c>
      <c r="E1583" t="str">
        <f>"1702053415"</f>
        <v>1702053415</v>
      </c>
      <c r="F1583" t="str">
        <f>"ACCT#5150-005117630 / 10312018"</f>
        <v>ACCT#5150-005117630 / 10312018</v>
      </c>
      <c r="G1583" s="2">
        <v>250.29</v>
      </c>
      <c r="H1583" t="str">
        <f>"ACCT#5150-005117630 / 10312018"</f>
        <v>ACCT#5150-005117630 / 10312018</v>
      </c>
    </row>
    <row r="1584" spans="1:9" x14ac:dyDescent="0.25">
      <c r="E1584" t="str">
        <f>"1702053416"</f>
        <v>1702053416</v>
      </c>
      <c r="F1584" t="str">
        <f>"ACCT#5150-005117766 / 10312018"</f>
        <v>ACCT#5150-005117766 / 10312018</v>
      </c>
      <c r="G1584" s="2">
        <v>109.87</v>
      </c>
      <c r="H1584" t="str">
        <f>"ACCT#5150-005117766 / 10312018"</f>
        <v>ACCT#5150-005117766 / 10312018</v>
      </c>
    </row>
    <row r="1585" spans="1:8" x14ac:dyDescent="0.25">
      <c r="E1585" t="str">
        <f>"1702053417"</f>
        <v>1702053417</v>
      </c>
      <c r="F1585" t="str">
        <f>"ACCT#5150-005117838 / 10312018"</f>
        <v>ACCT#5150-005117838 / 10312018</v>
      </c>
      <c r="G1585" s="2">
        <v>101.69</v>
      </c>
      <c r="H1585" t="str">
        <f>"ACCT#5150-005117838 / 10312018"</f>
        <v>ACCT#5150-005117838 / 10312018</v>
      </c>
    </row>
    <row r="1586" spans="1:8" x14ac:dyDescent="0.25">
      <c r="E1586" t="str">
        <f>"1702053419"</f>
        <v>1702053419</v>
      </c>
      <c r="F1586" t="str">
        <f>"ACCT#5150-005117882 / 10312018"</f>
        <v>ACCT#5150-005117882 / 10312018</v>
      </c>
      <c r="G1586" s="2">
        <v>137.32</v>
      </c>
      <c r="H1586" t="str">
        <f>"ACCT#5150-005117882 / 10312018"</f>
        <v>ACCT#5150-005117882 / 10312018</v>
      </c>
    </row>
    <row r="1587" spans="1:8" x14ac:dyDescent="0.25">
      <c r="E1587" t="str">
        <f>"1702053421"</f>
        <v>1702053421</v>
      </c>
      <c r="F1587" t="str">
        <f>"ACCT#5150-005118183 / 10312018"</f>
        <v>ACCT#5150-005118183 / 10312018</v>
      </c>
      <c r="G1587" s="2">
        <v>589.49</v>
      </c>
      <c r="H1587" t="str">
        <f>"ACCT#5150-005118183 / 10312018"</f>
        <v>ACCT#5150-005118183 / 10312018</v>
      </c>
    </row>
    <row r="1588" spans="1:8" x14ac:dyDescent="0.25">
      <c r="E1588" t="str">
        <f>"1702053433"</f>
        <v>1702053433</v>
      </c>
      <c r="F1588" t="str">
        <f>"ACCT#5150-005129483 / 10312018"</f>
        <v>ACCT#5150-005129483 / 10312018</v>
      </c>
      <c r="G1588" s="2">
        <v>18581</v>
      </c>
      <c r="H1588" t="str">
        <f>"ACCT#5150-005129483 / 10312018"</f>
        <v>ACCT#5150-005129483 / 10312018</v>
      </c>
    </row>
    <row r="1589" spans="1:8" x14ac:dyDescent="0.25">
      <c r="A1589" t="s">
        <v>536</v>
      </c>
      <c r="B1589">
        <v>999999</v>
      </c>
      <c r="C1589" s="3">
        <v>1081</v>
      </c>
      <c r="D1589" s="1">
        <v>43418</v>
      </c>
      <c r="E1589" t="str">
        <f>"3042"</f>
        <v>3042</v>
      </c>
      <c r="F1589" t="str">
        <f>"EMBROIDERY SERVICES/PCT#3"</f>
        <v>EMBROIDERY SERVICES/PCT#3</v>
      </c>
      <c r="G1589" s="2">
        <v>1081</v>
      </c>
      <c r="H1589" t="str">
        <f>"EMBROIDERY SERVICES/PCT#3"</f>
        <v>EMBROIDERY SERVICES/PCT#3</v>
      </c>
    </row>
    <row r="1590" spans="1:8" x14ac:dyDescent="0.25">
      <c r="A1590" t="s">
        <v>536</v>
      </c>
      <c r="B1590">
        <v>999999</v>
      </c>
      <c r="C1590" s="3">
        <v>140</v>
      </c>
      <c r="D1590" s="1">
        <v>43431</v>
      </c>
      <c r="E1590" t="str">
        <f>"3139"</f>
        <v>3139</v>
      </c>
      <c r="F1590" t="str">
        <f>"WALL GRAPHIC"</f>
        <v>WALL GRAPHIC</v>
      </c>
      <c r="G1590" s="2">
        <v>140</v>
      </c>
      <c r="H1590" t="str">
        <f>"WALL GRAPHIC"</f>
        <v>WALL GRAPHIC</v>
      </c>
    </row>
    <row r="1591" spans="1:8" x14ac:dyDescent="0.25">
      <c r="A1591" t="s">
        <v>537</v>
      </c>
      <c r="B1591">
        <v>79614</v>
      </c>
      <c r="C1591" s="3">
        <v>126.55</v>
      </c>
      <c r="D1591" s="1">
        <v>43417</v>
      </c>
      <c r="E1591" t="str">
        <f>"291758"</f>
        <v>291758</v>
      </c>
      <c r="F1591" t="str">
        <f>"TRANSPORT CHAIN/PCT#1"</f>
        <v>TRANSPORT CHAIN/PCT#1</v>
      </c>
      <c r="G1591" s="2">
        <v>126.55</v>
      </c>
      <c r="H1591" t="str">
        <f>"TRANSPORT CHAIN/PCT#1"</f>
        <v>TRANSPORT CHAIN/PCT#1</v>
      </c>
    </row>
    <row r="1592" spans="1:8" x14ac:dyDescent="0.25">
      <c r="A1592" t="s">
        <v>538</v>
      </c>
      <c r="B1592">
        <v>79615</v>
      </c>
      <c r="C1592" s="3">
        <v>301.37</v>
      </c>
      <c r="D1592" s="1">
        <v>43417</v>
      </c>
      <c r="E1592" t="str">
        <f>"201811074954"</f>
        <v>201811074954</v>
      </c>
      <c r="F1592" t="str">
        <f>"WEI-ANN LIN (REIMBURSEMENTS ON"</f>
        <v>WEI-ANN LIN (REIMBURSEMENTS ON</v>
      </c>
      <c r="G1592" s="2">
        <v>301.37</v>
      </c>
      <c r="H1592" t="str">
        <f>"PER DIEM"</f>
        <v>PER DIEM</v>
      </c>
    </row>
    <row r="1593" spans="1:8" x14ac:dyDescent="0.25">
      <c r="E1593" t="str">
        <f>""</f>
        <v/>
      </c>
      <c r="F1593" t="str">
        <f>""</f>
        <v/>
      </c>
      <c r="H1593" t="str">
        <f>"RENTAL CAR/FUEL"</f>
        <v>RENTAL CAR/FUEL</v>
      </c>
    </row>
    <row r="1594" spans="1:8" x14ac:dyDescent="0.25">
      <c r="A1594" t="s">
        <v>538</v>
      </c>
      <c r="B1594">
        <v>79784</v>
      </c>
      <c r="C1594" s="3">
        <v>221.75</v>
      </c>
      <c r="D1594" s="1">
        <v>43430</v>
      </c>
      <c r="E1594" t="str">
        <f>"201811165254"</f>
        <v>201811165254</v>
      </c>
      <c r="F1594" t="str">
        <f>"WEI-ANN LIN (REIMBURSEMENTS ON"</f>
        <v>WEI-ANN LIN (REIMBURSEMENTS ON</v>
      </c>
      <c r="G1594" s="2">
        <v>221.75</v>
      </c>
      <c r="H1594" t="str">
        <f>""</f>
        <v/>
      </c>
    </row>
    <row r="1595" spans="1:8" x14ac:dyDescent="0.25">
      <c r="A1595" t="s">
        <v>539</v>
      </c>
      <c r="B1595">
        <v>999999</v>
      </c>
      <c r="C1595" s="3">
        <v>13067.82</v>
      </c>
      <c r="D1595" s="1">
        <v>43431</v>
      </c>
      <c r="E1595" t="str">
        <f>"21287"</f>
        <v>21287</v>
      </c>
      <c r="F1595" t="str">
        <f>"INV 21287"</f>
        <v>INV 21287</v>
      </c>
      <c r="G1595" s="2">
        <v>13067.82</v>
      </c>
      <c r="H1595" t="str">
        <f>"INV 21287"</f>
        <v>INV 21287</v>
      </c>
    </row>
    <row r="1596" spans="1:8" x14ac:dyDescent="0.25">
      <c r="A1596" t="s">
        <v>540</v>
      </c>
      <c r="B1596">
        <v>79616</v>
      </c>
      <c r="C1596" s="3">
        <v>14126</v>
      </c>
      <c r="D1596" s="1">
        <v>43417</v>
      </c>
      <c r="E1596" t="str">
        <f>"201811074995"</f>
        <v>201811074995</v>
      </c>
      <c r="F1596" t="str">
        <f>"INDIGENT HEALTH"</f>
        <v>INDIGENT HEALTH</v>
      </c>
      <c r="G1596" s="2">
        <v>113</v>
      </c>
      <c r="H1596" t="str">
        <f>"INDIGENT HEALTH"</f>
        <v>INDIGENT HEALTH</v>
      </c>
    </row>
    <row r="1597" spans="1:8" x14ac:dyDescent="0.25">
      <c r="E1597" t="str">
        <f>"201811074996"</f>
        <v>201811074996</v>
      </c>
      <c r="F1597" t="str">
        <f>"INDIGENT HEALTH"</f>
        <v>INDIGENT HEALTH</v>
      </c>
      <c r="G1597" s="2">
        <v>14013</v>
      </c>
      <c r="H1597" t="str">
        <f>"INDIGENT HEALTH"</f>
        <v>INDIGENT HEALTH</v>
      </c>
    </row>
    <row r="1598" spans="1:8" x14ac:dyDescent="0.25">
      <c r="A1598" t="s">
        <v>541</v>
      </c>
      <c r="B1598">
        <v>79617</v>
      </c>
      <c r="C1598" s="3">
        <v>50</v>
      </c>
      <c r="D1598" s="1">
        <v>43417</v>
      </c>
      <c r="E1598" t="str">
        <f>"11314  09/19/18"</f>
        <v>11314  09/19/18</v>
      </c>
      <c r="F1598" t="str">
        <f>"SERVICE"</f>
        <v>SERVICE</v>
      </c>
      <c r="G1598" s="2">
        <v>50</v>
      </c>
      <c r="H1598" t="str">
        <f>"SERVICE"</f>
        <v>SERVICE</v>
      </c>
    </row>
    <row r="1599" spans="1:8" x14ac:dyDescent="0.25">
      <c r="A1599" t="s">
        <v>542</v>
      </c>
      <c r="B1599">
        <v>79618</v>
      </c>
      <c r="C1599" s="3">
        <v>600</v>
      </c>
      <c r="D1599" s="1">
        <v>43417</v>
      </c>
      <c r="E1599" t="str">
        <f>"1269"</f>
        <v>1269</v>
      </c>
      <c r="F1599" t="str">
        <f>"CUT DOWN/HAUL OFF &amp; STUMP/P3"</f>
        <v>CUT DOWN/HAUL OFF &amp; STUMP/P3</v>
      </c>
      <c r="G1599" s="2">
        <v>600</v>
      </c>
      <c r="H1599" t="str">
        <f>"CUT DOWN/HAUL OFF &amp; STUMP/P3"</f>
        <v>CUT DOWN/HAUL OFF &amp; STUMP/P3</v>
      </c>
    </row>
    <row r="1600" spans="1:8" x14ac:dyDescent="0.25">
      <c r="A1600" t="s">
        <v>542</v>
      </c>
      <c r="B1600">
        <v>79785</v>
      </c>
      <c r="C1600" s="3">
        <v>250</v>
      </c>
      <c r="D1600" s="1">
        <v>43430</v>
      </c>
      <c r="E1600" t="str">
        <f>"1277"</f>
        <v>1277</v>
      </c>
      <c r="F1600" t="str">
        <f>"SIMPSON AVE / PRECINCT #3"</f>
        <v>SIMPSON AVE / PRECINCT #3</v>
      </c>
      <c r="G1600" s="2">
        <v>250</v>
      </c>
      <c r="H1600" t="str">
        <f>"SIMPSON AVE / PRECINCT #3"</f>
        <v>SIMPSON AVE / PRECINCT #3</v>
      </c>
    </row>
    <row r="1601" spans="1:8" x14ac:dyDescent="0.25">
      <c r="A1601" t="s">
        <v>543</v>
      </c>
      <c r="B1601">
        <v>79619</v>
      </c>
      <c r="C1601" s="3">
        <v>184.43</v>
      </c>
      <c r="D1601" s="1">
        <v>43417</v>
      </c>
      <c r="E1601" t="str">
        <f>"095008548"</f>
        <v>095008548</v>
      </c>
      <c r="F1601" t="str">
        <f>"CUST#662445931/REF#VTV00000X-0"</f>
        <v>CUST#662445931/REF#VTV00000X-0</v>
      </c>
      <c r="G1601" s="2">
        <v>106.45</v>
      </c>
      <c r="H1601" t="str">
        <f>"CUST#662445931/REF#VTV00000X-0"</f>
        <v>CUST#662445931/REF#VTV00000X-0</v>
      </c>
    </row>
    <row r="1602" spans="1:8" x14ac:dyDescent="0.25">
      <c r="E1602" t="str">
        <f>"095008549"</f>
        <v>095008549</v>
      </c>
      <c r="F1602" t="str">
        <f>"CUST#662445931/REF#VTX00000X-0"</f>
        <v>CUST#662445931/REF#VTX00000X-0</v>
      </c>
      <c r="G1602" s="2">
        <v>38.99</v>
      </c>
      <c r="H1602" t="str">
        <f>"CUST#662445931/REF#VTX00000X-0"</f>
        <v>CUST#662445931/REF#VTX00000X-0</v>
      </c>
    </row>
    <row r="1603" spans="1:8" x14ac:dyDescent="0.25">
      <c r="E1603" t="str">
        <f>"095008561"</f>
        <v>095008561</v>
      </c>
      <c r="F1603" t="str">
        <f>"CUST#723230843/REF#VTX00000X-0"</f>
        <v>CUST#723230843/REF#VTX00000X-0</v>
      </c>
      <c r="G1603" s="2">
        <v>38.99</v>
      </c>
      <c r="H1603" t="str">
        <f>"CUST#723230843/REF#VTX00000X-0"</f>
        <v>CUST#723230843/REF#VTX00000X-0</v>
      </c>
    </row>
    <row r="1604" spans="1:8" x14ac:dyDescent="0.25">
      <c r="A1604" t="s">
        <v>543</v>
      </c>
      <c r="B1604">
        <v>79790</v>
      </c>
      <c r="C1604" s="3">
        <v>184.43</v>
      </c>
      <c r="D1604" s="1">
        <v>43431</v>
      </c>
      <c r="E1604" t="str">
        <f>"094682813"</f>
        <v>094682813</v>
      </c>
      <c r="F1604" t="str">
        <f>"CUST #662445931/ TAX OFFICE"</f>
        <v>CUST #662445931/ TAX OFFICE</v>
      </c>
      <c r="G1604" s="2">
        <v>106.45</v>
      </c>
      <c r="H1604" t="str">
        <f>"CUST #662445931/ TAX OFFICE"</f>
        <v>CUST #662445931/ TAX OFFICE</v>
      </c>
    </row>
    <row r="1605" spans="1:8" x14ac:dyDescent="0.25">
      <c r="E1605" t="str">
        <f>"094682814"</f>
        <v>094682814</v>
      </c>
      <c r="F1605" t="str">
        <f>"CUST #662445931 / TAX OFFICE"</f>
        <v>CUST #662445931 / TAX OFFICE</v>
      </c>
      <c r="G1605" s="2">
        <v>38.99</v>
      </c>
      <c r="H1605" t="str">
        <f>"CUST #662445931 / TAX OFFICE"</f>
        <v>CUST #662445931 / TAX OFFICE</v>
      </c>
    </row>
    <row r="1606" spans="1:8" x14ac:dyDescent="0.25">
      <c r="E1606" t="str">
        <f>"094682826"</f>
        <v>094682826</v>
      </c>
      <c r="F1606" t="str">
        <f>"CUST #723230843 / TAX OFFICE"</f>
        <v>CUST #723230843 / TAX OFFICE</v>
      </c>
      <c r="G1606" s="2">
        <v>38.99</v>
      </c>
      <c r="H1606" t="str">
        <f>"CUST #723230843 / TAX OFFICE"</f>
        <v>CUST #723230843 / TAX OFFICE</v>
      </c>
    </row>
    <row r="1607" spans="1:8" x14ac:dyDescent="0.25">
      <c r="A1607" t="s">
        <v>544</v>
      </c>
      <c r="B1607">
        <v>79620</v>
      </c>
      <c r="C1607" s="3">
        <v>492.47</v>
      </c>
      <c r="D1607" s="1">
        <v>43417</v>
      </c>
      <c r="E1607" t="str">
        <f>"201810254657"</f>
        <v>201810254657</v>
      </c>
      <c r="F1607" t="str">
        <f>"REIMBURSE MILEAGE/FOOD/LODING"</f>
        <v>REIMBURSE MILEAGE/FOOD/LODING</v>
      </c>
      <c r="G1607" s="2">
        <v>492.47</v>
      </c>
      <c r="H1607" t="str">
        <f>"REIMBURSE MILEAGE/FOOD/LODING"</f>
        <v>REIMBURSE MILEAGE/FOOD/LODING</v>
      </c>
    </row>
    <row r="1608" spans="1:8" x14ac:dyDescent="0.25">
      <c r="A1608" t="s">
        <v>545</v>
      </c>
      <c r="B1608">
        <v>79786</v>
      </c>
      <c r="C1608" s="3">
        <v>362.64</v>
      </c>
      <c r="D1608" s="1">
        <v>43430</v>
      </c>
      <c r="E1608" t="str">
        <f>"0013506"</f>
        <v>0013506</v>
      </c>
      <c r="F1608" t="str">
        <f>"423-5817/MILEAGE REIMBURSEMENT"</f>
        <v>423-5817/MILEAGE REIMBURSEMENT</v>
      </c>
      <c r="G1608" s="2">
        <v>362.64</v>
      </c>
      <c r="H1608" t="str">
        <f>"423-5817/MILEAGE REIMBURSEMENT"</f>
        <v>423-5817/MILEAGE REIMBURSEMENT</v>
      </c>
    </row>
    <row r="1609" spans="1:8" x14ac:dyDescent="0.25">
      <c r="A1609" t="s">
        <v>546</v>
      </c>
      <c r="B1609">
        <v>79621</v>
      </c>
      <c r="C1609" s="3">
        <v>894.74</v>
      </c>
      <c r="D1609" s="1">
        <v>43417</v>
      </c>
      <c r="E1609" t="str">
        <f>"1173747"</f>
        <v>1173747</v>
      </c>
      <c r="F1609" t="str">
        <f>"INV I173747"</f>
        <v>INV I173747</v>
      </c>
      <c r="G1609" s="2">
        <v>894.74</v>
      </c>
      <c r="H1609" t="str">
        <f>"INV I173747"</f>
        <v>INV I173747</v>
      </c>
    </row>
    <row r="1610" spans="1:8" x14ac:dyDescent="0.25">
      <c r="A1610" t="s">
        <v>547</v>
      </c>
      <c r="B1610">
        <v>79622</v>
      </c>
      <c r="C1610" s="3">
        <v>298.97000000000003</v>
      </c>
      <c r="D1610" s="1">
        <v>43417</v>
      </c>
      <c r="E1610" t="str">
        <f>"9006993621"</f>
        <v>9006993621</v>
      </c>
      <c r="F1610" t="str">
        <f>"CUST#1000113183/ANIMAL SHELTER"</f>
        <v>CUST#1000113183/ANIMAL SHELTER</v>
      </c>
      <c r="G1610" s="2">
        <v>102.93</v>
      </c>
      <c r="H1610" t="str">
        <f>"CUST#1000113183/ANIMAL SHELTER"</f>
        <v>CUST#1000113183/ANIMAL SHELTER</v>
      </c>
    </row>
    <row r="1611" spans="1:8" x14ac:dyDescent="0.25">
      <c r="E1611" t="str">
        <f>"9006993651"</f>
        <v>9006993651</v>
      </c>
      <c r="F1611" t="str">
        <f>"CUST#1000113183/ANIMAL SHELTER"</f>
        <v>CUST#1000113183/ANIMAL SHELTER</v>
      </c>
      <c r="G1611" s="2">
        <v>196.04</v>
      </c>
      <c r="H1611" t="str">
        <f>"CUST#1000113183/ANIMAL SHELTER"</f>
        <v>CUST#1000113183/ANIMAL SHELTER</v>
      </c>
    </row>
    <row r="1612" spans="1:8" x14ac:dyDescent="0.25">
      <c r="A1612" t="s">
        <v>548</v>
      </c>
      <c r="B1612">
        <v>79787</v>
      </c>
      <c r="C1612" s="3">
        <v>50</v>
      </c>
      <c r="D1612" s="1">
        <v>43430</v>
      </c>
      <c r="E1612" t="str">
        <f>"201811155150"</f>
        <v>201811155150</v>
      </c>
      <c r="F1612" t="str">
        <f>"11/05/2018 EMERGENCY MGMT"</f>
        <v>11/05/2018 EMERGENCY MGMT</v>
      </c>
      <c r="G1612" s="2">
        <v>50</v>
      </c>
      <c r="H1612" t="str">
        <f>"11/05/2018 EMERGENCY MGMT"</f>
        <v>11/05/2018 EMERGENCY MGMT</v>
      </c>
    </row>
    <row r="1613" spans="1:8" x14ac:dyDescent="0.25">
      <c r="A1613" t="s">
        <v>65</v>
      </c>
      <c r="B1613">
        <v>79623</v>
      </c>
      <c r="C1613" s="3">
        <v>117.98</v>
      </c>
      <c r="D1613" s="1">
        <v>43417</v>
      </c>
      <c r="E1613" t="str">
        <f>"201810264678"</f>
        <v>201810264678</v>
      </c>
      <c r="F1613" t="str">
        <f>"ACCT#015397/JUVENILE BOOT CAMP"</f>
        <v>ACCT#015397/JUVENILE BOOT CAMP</v>
      </c>
      <c r="G1613" s="2">
        <v>63.49</v>
      </c>
      <c r="H1613" t="str">
        <f>"ACCT#015397/JUVENILE BOOT CAMP"</f>
        <v>ACCT#015397/JUVENILE BOOT CAMP</v>
      </c>
    </row>
    <row r="1614" spans="1:8" x14ac:dyDescent="0.25">
      <c r="E1614" t="str">
        <f>"201811054835"</f>
        <v>201811054835</v>
      </c>
      <c r="F1614" t="str">
        <f>"ACCT#015397/JUVENILE BOOT CAMP"</f>
        <v>ACCT#015397/JUVENILE BOOT CAMP</v>
      </c>
      <c r="G1614" s="2">
        <v>54.49</v>
      </c>
      <c r="H1614" t="str">
        <f>"ACCT#015397/JUVENILE BOOT CAMP"</f>
        <v>ACCT#015397/JUVENILE BOOT CAMP</v>
      </c>
    </row>
    <row r="1615" spans="1:8" x14ac:dyDescent="0.25">
      <c r="A1615" t="s">
        <v>116</v>
      </c>
      <c r="B1615">
        <v>79640</v>
      </c>
      <c r="C1615" s="3">
        <v>272.45999999999998</v>
      </c>
      <c r="D1615" s="1">
        <v>43418</v>
      </c>
      <c r="E1615" t="str">
        <f>"201811145129"</f>
        <v>201811145129</v>
      </c>
      <c r="F1615" t="str">
        <f>"ACCT#5000057374 / 11/04/2018"</f>
        <v>ACCT#5000057374 / 11/04/2018</v>
      </c>
      <c r="G1615" s="2">
        <v>272.45999999999998</v>
      </c>
      <c r="H1615" t="str">
        <f>"ACCT#5000057374 / 11/04/2018"</f>
        <v>ACCT#5000057374 / 11/04/2018</v>
      </c>
    </row>
    <row r="1616" spans="1:8" x14ac:dyDescent="0.25">
      <c r="A1616" t="s">
        <v>134</v>
      </c>
      <c r="B1616">
        <v>79788</v>
      </c>
      <c r="C1616" s="3">
        <v>4237.38</v>
      </c>
      <c r="D1616" s="1">
        <v>43430</v>
      </c>
      <c r="E1616" t="str">
        <f>"30128983"</f>
        <v>30128983</v>
      </c>
      <c r="F1616" t="str">
        <f>"ORD#37-18894/CUST#BASPCT2/P2"</f>
        <v>ORD#37-18894/CUST#BASPCT2/P2</v>
      </c>
      <c r="G1616" s="2">
        <v>4237.38</v>
      </c>
      <c r="H1616" t="str">
        <f>"ORD#37-18894/CUST#BASPCT2/P2"</f>
        <v>ORD#37-18894/CUST#BASPCT2/P2</v>
      </c>
    </row>
    <row r="1617" spans="1:8" x14ac:dyDescent="0.25">
      <c r="A1617" t="s">
        <v>98</v>
      </c>
      <c r="B1617">
        <v>79624</v>
      </c>
      <c r="C1617" s="3">
        <v>209286.55</v>
      </c>
      <c r="D1617" s="1">
        <v>43417</v>
      </c>
      <c r="E1617" t="str">
        <f>"201811014790"</f>
        <v>201811014790</v>
      </c>
      <c r="F1617" t="str">
        <f>"SHELTER GRANT REIMBURSEMENT#9"</f>
        <v>SHELTER GRANT REIMBURSEMENT#9</v>
      </c>
      <c r="G1617" s="2">
        <v>209286.55</v>
      </c>
      <c r="H1617" t="str">
        <f>"SHELTER GRANT REIMBURSEMENT#9"</f>
        <v>SHELTER GRANT REIMBURSEMENT#9</v>
      </c>
    </row>
    <row r="1618" spans="1:8" x14ac:dyDescent="0.25">
      <c r="A1618" t="s">
        <v>549</v>
      </c>
      <c r="B1618">
        <v>79625</v>
      </c>
      <c r="C1618" s="3">
        <v>23900</v>
      </c>
      <c r="D1618" s="1">
        <v>43417</v>
      </c>
      <c r="E1618" t="str">
        <f>"3572"</f>
        <v>3572</v>
      </c>
      <c r="F1618" t="str">
        <f>"CLEGG INDUSTRIES INC."</f>
        <v>CLEGG INDUSTRIES INC.</v>
      </c>
      <c r="G1618" s="2">
        <v>23900</v>
      </c>
      <c r="H1618" t="str">
        <f>"ECONOLINE TRAILER"</f>
        <v>ECONOLINE TRAILER</v>
      </c>
    </row>
    <row r="1619" spans="1:8" x14ac:dyDescent="0.25">
      <c r="E1619" t="str">
        <f>""</f>
        <v/>
      </c>
      <c r="F1619" t="str">
        <f>""</f>
        <v/>
      </c>
      <c r="H1619" t="str">
        <f>"TRADE IN"</f>
        <v>TRADE IN</v>
      </c>
    </row>
    <row r="1620" spans="1:8" x14ac:dyDescent="0.25">
      <c r="A1620" t="s">
        <v>193</v>
      </c>
      <c r="B1620">
        <v>79626</v>
      </c>
      <c r="C1620" s="3">
        <v>7184.12</v>
      </c>
      <c r="D1620" s="1">
        <v>43417</v>
      </c>
      <c r="E1620" t="str">
        <f>"9401944103"</f>
        <v>9401944103</v>
      </c>
      <c r="F1620" t="str">
        <f>"ACCT#912904/DEMURRAGE/PCT#2"</f>
        <v>ACCT#912904/DEMURRAGE/PCT#2</v>
      </c>
      <c r="G1620" s="2">
        <v>140</v>
      </c>
      <c r="H1620" t="str">
        <f>"ACCT#912904/DEMURRAGE/PCT#2"</f>
        <v>ACCT#912904/DEMURRAGE/PCT#2</v>
      </c>
    </row>
    <row r="1621" spans="1:8" x14ac:dyDescent="0.25">
      <c r="E1621" t="str">
        <f>"9401951255"</f>
        <v>9401951255</v>
      </c>
      <c r="F1621" t="str">
        <f>"ACCT#912904/BOL#34161/PCT#2"</f>
        <v>ACCT#912904/BOL#34161/PCT#2</v>
      </c>
      <c r="G1621" s="2">
        <v>7044.12</v>
      </c>
      <c r="H1621" t="str">
        <f>"ACCT#912904/BOL#34161/PCT#2"</f>
        <v>ACCT#912904/BOL#34161/PCT#2</v>
      </c>
    </row>
    <row r="1622" spans="1:8" x14ac:dyDescent="0.25">
      <c r="A1622" t="s">
        <v>193</v>
      </c>
      <c r="B1622">
        <v>79789</v>
      </c>
      <c r="C1622" s="3">
        <v>26328.79</v>
      </c>
      <c r="D1622" s="1">
        <v>43430</v>
      </c>
      <c r="E1622" t="str">
        <f>"9401941767"</f>
        <v>9401941767</v>
      </c>
      <c r="F1622" t="str">
        <f>"ACCT#912904/BOL#9306/PCT#2"</f>
        <v>ACCT#912904/BOL#9306/PCT#2</v>
      </c>
      <c r="G1622" s="2">
        <v>12726.8</v>
      </c>
      <c r="H1622" t="str">
        <f>"ACCT#912904/BOL#9306/PCT#2"</f>
        <v>ACCT#912904/BOL#9306/PCT#2</v>
      </c>
    </row>
    <row r="1623" spans="1:8" x14ac:dyDescent="0.25">
      <c r="E1623" t="str">
        <f>"9401953455"</f>
        <v>9401953455</v>
      </c>
      <c r="F1623" t="str">
        <f>"ACCT#912904/BOL#9381/PCT#2"</f>
        <v>ACCT#912904/BOL#9381/PCT#2</v>
      </c>
      <c r="G1623" s="2">
        <v>13601.99</v>
      </c>
      <c r="H1623" t="str">
        <f>"ACCT#912904/BOL#9381/PCT#2"</f>
        <v>ACCT#912904/BOL#9381/PCT#2</v>
      </c>
    </row>
    <row r="1624" spans="1:8" x14ac:dyDescent="0.25">
      <c r="A1624" t="s">
        <v>550</v>
      </c>
      <c r="B1624">
        <v>79627</v>
      </c>
      <c r="C1624" s="3">
        <v>73.98</v>
      </c>
      <c r="D1624" s="1">
        <v>43417</v>
      </c>
      <c r="E1624" t="str">
        <f>"1763"</f>
        <v>1763</v>
      </c>
      <c r="F1624" t="str">
        <f>"HAND TOWELS - BOOT CAMP"</f>
        <v>HAND TOWELS - BOOT CAMP</v>
      </c>
      <c r="G1624" s="2">
        <v>73.98</v>
      </c>
      <c r="H1624" t="str">
        <f>"HAND TOWELS - BOOT CAMP"</f>
        <v>HAND TOWELS - BOOT CAMP</v>
      </c>
    </row>
    <row r="1625" spans="1:8" x14ac:dyDescent="0.25">
      <c r="A1625" t="s">
        <v>551</v>
      </c>
      <c r="B1625">
        <v>0</v>
      </c>
      <c r="C1625" s="3">
        <v>144387.5</v>
      </c>
      <c r="D1625" s="1">
        <v>43430</v>
      </c>
      <c r="E1625" t="str">
        <f>"201811155154"</f>
        <v>201811155154</v>
      </c>
      <c r="F1625" t="str">
        <f>"DEBT SERVICE PMT - SERIES 2012"</f>
        <v>DEBT SERVICE PMT - SERIES 2012</v>
      </c>
      <c r="G1625" s="2">
        <v>44825</v>
      </c>
      <c r="H1625" t="str">
        <f>"DEBT SERVICE PMT - SERIES 2012"</f>
        <v>DEBT SERVICE PMT - SERIES 2012</v>
      </c>
    </row>
    <row r="1626" spans="1:8" x14ac:dyDescent="0.25">
      <c r="E1626" t="str">
        <f>"201811155155"</f>
        <v>201811155155</v>
      </c>
      <c r="F1626" t="str">
        <f>"DEBT SERVICE PMT - SERIES 2013"</f>
        <v>DEBT SERVICE PMT - SERIES 2013</v>
      </c>
      <c r="G1626" s="2">
        <v>90262.5</v>
      </c>
      <c r="H1626" t="str">
        <f>"DEBT SERVICE PMT - SERIES 2013"</f>
        <v>DEBT SERVICE PMT - SERIES 2013</v>
      </c>
    </row>
    <row r="1627" spans="1:8" x14ac:dyDescent="0.25">
      <c r="E1627" t="str">
        <f>"BAST 01122018"</f>
        <v>BAST 01122018</v>
      </c>
      <c r="F1627" t="str">
        <f>"DEBT SERVICE PMT - SERIES 2009"</f>
        <v>DEBT SERVICE PMT - SERIES 2009</v>
      </c>
      <c r="G1627" s="2">
        <v>9300</v>
      </c>
      <c r="H1627" t="str">
        <f>"DEBT SERVICE PMT - SERIES 2009"</f>
        <v>DEBT SERVICE PMT - SERIES 2009</v>
      </c>
    </row>
    <row r="1628" spans="1:8" x14ac:dyDescent="0.25">
      <c r="A1628" t="s">
        <v>552</v>
      </c>
      <c r="B1628">
        <v>79628</v>
      </c>
      <c r="C1628" s="3">
        <v>1500</v>
      </c>
      <c r="D1628" s="1">
        <v>43417</v>
      </c>
      <c r="E1628" t="str">
        <f>"GIS-7719"</f>
        <v>GIS-7719</v>
      </c>
      <c r="F1628" t="str">
        <f>"GEOGRAPHIC INFORMATION SERVICE"</f>
        <v>GEOGRAPHIC INFORMATION SERVICE</v>
      </c>
      <c r="G1628" s="2">
        <v>1500</v>
      </c>
      <c r="H1628" t="str">
        <f>"GIS DISC WORKSHOP"</f>
        <v>GIS DISC WORKSHOP</v>
      </c>
    </row>
    <row r="1629" spans="1:8" x14ac:dyDescent="0.25">
      <c r="A1629" t="s">
        <v>273</v>
      </c>
      <c r="B1629">
        <v>79629</v>
      </c>
      <c r="C1629" s="3">
        <v>217.32</v>
      </c>
      <c r="D1629" s="1">
        <v>43417</v>
      </c>
      <c r="E1629" t="str">
        <f>"201811064882"</f>
        <v>201811064882</v>
      </c>
      <c r="F1629" t="str">
        <f>"ACCT#1645/OEM"</f>
        <v>ACCT#1645/OEM</v>
      </c>
      <c r="G1629" s="2">
        <v>217.32</v>
      </c>
      <c r="H1629" t="str">
        <f>"ACCT#1645/OEM"</f>
        <v>ACCT#1645/OEM</v>
      </c>
    </row>
    <row r="1630" spans="1:8" x14ac:dyDescent="0.25">
      <c r="A1630" t="s">
        <v>400</v>
      </c>
      <c r="B1630">
        <v>79630</v>
      </c>
      <c r="C1630" s="3">
        <v>66.58</v>
      </c>
      <c r="D1630" s="1">
        <v>43417</v>
      </c>
      <c r="E1630" t="str">
        <f>"223448498001 +"</f>
        <v>223448498001 +</v>
      </c>
      <c r="F1630" t="str">
        <f>"Bill# 10325711"</f>
        <v>Bill# 10325711</v>
      </c>
      <c r="G1630" s="2">
        <v>66.58</v>
      </c>
      <c r="H1630" t="str">
        <f>"Ord# 223448498001"</f>
        <v>Ord# 223448498001</v>
      </c>
    </row>
    <row r="1631" spans="1:8" x14ac:dyDescent="0.25">
      <c r="E1631" t="str">
        <f>""</f>
        <v/>
      </c>
      <c r="F1631" t="str">
        <f>""</f>
        <v/>
      </c>
      <c r="H1631" t="str">
        <f>"Ord# 223460411001"</f>
        <v>Ord# 223460411001</v>
      </c>
    </row>
    <row r="1632" spans="1:8" x14ac:dyDescent="0.25">
      <c r="A1632" t="s">
        <v>553</v>
      </c>
      <c r="B1632">
        <v>79631</v>
      </c>
      <c r="C1632" s="3">
        <v>11888.31</v>
      </c>
      <c r="D1632" s="1">
        <v>43417</v>
      </c>
      <c r="E1632" t="str">
        <f>"10377"</f>
        <v>10377</v>
      </c>
      <c r="F1632" t="str">
        <f>"INV 10377"</f>
        <v>INV 10377</v>
      </c>
      <c r="G1632" s="2">
        <v>4875.24</v>
      </c>
      <c r="H1632" t="str">
        <f>"INV 10377"</f>
        <v>INV 10377</v>
      </c>
    </row>
    <row r="1633" spans="1:8" x14ac:dyDescent="0.25">
      <c r="E1633" t="str">
        <f>"10538"</f>
        <v>10538</v>
      </c>
      <c r="F1633" t="str">
        <f>"Invoice#10538"</f>
        <v>Invoice#10538</v>
      </c>
      <c r="G1633" s="2">
        <v>7013.07</v>
      </c>
      <c r="H1633" t="str">
        <f>"Invoice#10538"</f>
        <v>Invoice#10538</v>
      </c>
    </row>
    <row r="1634" spans="1:8" x14ac:dyDescent="0.25">
      <c r="A1634" t="s">
        <v>447</v>
      </c>
      <c r="B1634">
        <v>79632</v>
      </c>
      <c r="C1634" s="3">
        <v>6276.6</v>
      </c>
      <c r="D1634" s="1">
        <v>43417</v>
      </c>
      <c r="E1634" t="str">
        <f>"GB00303272"</f>
        <v>GB00303272</v>
      </c>
      <c r="F1634" t="str">
        <f>"security system PCT 1"</f>
        <v>security system PCT 1</v>
      </c>
      <c r="G1634" s="2">
        <v>6276.6</v>
      </c>
      <c r="H1634" t="str">
        <f>"Part#: 0937-004"</f>
        <v>Part#: 0937-004</v>
      </c>
    </row>
    <row r="1635" spans="1:8" x14ac:dyDescent="0.25">
      <c r="E1635" t="str">
        <f>""</f>
        <v/>
      </c>
      <c r="F1635" t="str">
        <f>""</f>
        <v/>
      </c>
      <c r="H1635" t="str">
        <f>" Part#: 01063-001"</f>
        <v xml:space="preserve"> Part#: 01063-001</v>
      </c>
    </row>
    <row r="1636" spans="1:8" x14ac:dyDescent="0.25">
      <c r="A1636" t="s">
        <v>554</v>
      </c>
      <c r="B1636">
        <v>79633</v>
      </c>
      <c r="C1636" s="3">
        <v>335395.03000000003</v>
      </c>
      <c r="D1636" s="1">
        <v>43417</v>
      </c>
      <c r="E1636" t="str">
        <f>"181204-2"</f>
        <v>181204-2</v>
      </c>
      <c r="F1636" t="str">
        <f>"PROJ#181204/COMMUNICATIONS BLD"</f>
        <v>PROJ#181204/COMMUNICATIONS BLD</v>
      </c>
      <c r="G1636" s="2">
        <v>335395.03000000003</v>
      </c>
      <c r="H1636" t="str">
        <f>"PROJ#181204/COMMUNICATIONS BLD"</f>
        <v>PROJ#181204/COMMUNICATIONS BLD</v>
      </c>
    </row>
    <row r="1637" spans="1:8" x14ac:dyDescent="0.25">
      <c r="A1637" t="s">
        <v>555</v>
      </c>
      <c r="B1637">
        <v>79634</v>
      </c>
      <c r="C1637" s="3">
        <v>18000</v>
      </c>
      <c r="D1637" s="1">
        <v>43417</v>
      </c>
      <c r="E1637" t="str">
        <f>"201810264675"</f>
        <v>201810264675</v>
      </c>
      <c r="F1637" t="str">
        <f>"CONTRACT FOR PINE DELIVERIES"</f>
        <v>CONTRACT FOR PINE DELIVERIES</v>
      </c>
      <c r="G1637" s="2">
        <v>18000</v>
      </c>
      <c r="H1637" t="str">
        <f>"CONTRACT FOR PINE DELIVERIES"</f>
        <v>CONTRACT FOR PINE DELIVERIES</v>
      </c>
    </row>
    <row r="1638" spans="1:8" x14ac:dyDescent="0.25">
      <c r="A1638" t="s">
        <v>524</v>
      </c>
      <c r="B1638">
        <v>79635</v>
      </c>
      <c r="C1638" s="3">
        <v>1372.92</v>
      </c>
      <c r="D1638" s="1">
        <v>43417</v>
      </c>
      <c r="E1638" t="str">
        <f>"869395921843"</f>
        <v>869395921843</v>
      </c>
      <c r="F1638" t="str">
        <f>"Inv# 869395921843"</f>
        <v>Inv# 869395921843</v>
      </c>
      <c r="G1638" s="2">
        <v>1372.92</v>
      </c>
      <c r="H1638" t="str">
        <f>"Fuel"</f>
        <v>Fuel</v>
      </c>
    </row>
    <row r="1639" spans="1:8" x14ac:dyDescent="0.25">
      <c r="E1639" t="str">
        <f>""</f>
        <v/>
      </c>
      <c r="F1639" t="str">
        <f>""</f>
        <v/>
      </c>
      <c r="H1639" t="str">
        <f>"Less Tax"</f>
        <v>Less Tax</v>
      </c>
    </row>
    <row r="1640" spans="1:8" x14ac:dyDescent="0.25">
      <c r="A1640" t="s">
        <v>556</v>
      </c>
      <c r="B1640">
        <v>0</v>
      </c>
      <c r="C1640" s="3">
        <v>6011.68</v>
      </c>
      <c r="D1640" s="1">
        <v>43433</v>
      </c>
      <c r="E1640" t="str">
        <f>"201811295349"</f>
        <v>201811295349</v>
      </c>
      <c r="F1640" t="str">
        <f>"ALLSTATE-AMERICAN HERITAGE LIF"</f>
        <v>ALLSTATE-AMERICAN HERITAGE LIF</v>
      </c>
      <c r="G1640" s="2">
        <v>-0.46</v>
      </c>
      <c r="H1640" t="str">
        <f>"ALLSTATE-AMERICAN HERITAGE LIF"</f>
        <v>ALLSTATE-AMERICAN HERITAGE LIF</v>
      </c>
    </row>
    <row r="1641" spans="1:8" x14ac:dyDescent="0.25">
      <c r="E1641" t="str">
        <f>"AS 201810314759"</f>
        <v>AS 201810314759</v>
      </c>
      <c r="F1641" t="str">
        <f t="shared" ref="F1641:F1654" si="22">"ALLSTATE"</f>
        <v>ALLSTATE</v>
      </c>
      <c r="G1641" s="2">
        <v>556.05999999999995</v>
      </c>
      <c r="H1641" t="str">
        <f t="shared" ref="H1641:H1654" si="23">"ALLSTATE"</f>
        <v>ALLSTATE</v>
      </c>
    </row>
    <row r="1642" spans="1:8" x14ac:dyDescent="0.25">
      <c r="E1642" t="str">
        <f>"AS 201810314760"</f>
        <v>AS 201810314760</v>
      </c>
      <c r="F1642" t="str">
        <f t="shared" si="22"/>
        <v>ALLSTATE</v>
      </c>
      <c r="G1642" s="2">
        <v>27.14</v>
      </c>
      <c r="H1642" t="str">
        <f t="shared" si="23"/>
        <v>ALLSTATE</v>
      </c>
    </row>
    <row r="1643" spans="1:8" x14ac:dyDescent="0.25">
      <c r="E1643" t="str">
        <f>"AS 201811145075"</f>
        <v>AS 201811145075</v>
      </c>
      <c r="F1643" t="str">
        <f t="shared" si="22"/>
        <v>ALLSTATE</v>
      </c>
      <c r="G1643" s="2">
        <v>556.05999999999995</v>
      </c>
      <c r="H1643" t="str">
        <f t="shared" si="23"/>
        <v>ALLSTATE</v>
      </c>
    </row>
    <row r="1644" spans="1:8" x14ac:dyDescent="0.25">
      <c r="E1644" t="str">
        <f>"AS 201811145076"</f>
        <v>AS 201811145076</v>
      </c>
      <c r="F1644" t="str">
        <f t="shared" si="22"/>
        <v>ALLSTATE</v>
      </c>
      <c r="G1644" s="2">
        <v>27.14</v>
      </c>
      <c r="H1644" t="str">
        <f t="shared" si="23"/>
        <v>ALLSTATE</v>
      </c>
    </row>
    <row r="1645" spans="1:8" x14ac:dyDescent="0.25">
      <c r="E1645" t="str">
        <f>"ASD201810314759"</f>
        <v>ASD201810314759</v>
      </c>
      <c r="F1645" t="str">
        <f t="shared" si="22"/>
        <v>ALLSTATE</v>
      </c>
      <c r="G1645" s="2">
        <v>193.92</v>
      </c>
      <c r="H1645" t="str">
        <f t="shared" si="23"/>
        <v>ALLSTATE</v>
      </c>
    </row>
    <row r="1646" spans="1:8" x14ac:dyDescent="0.25">
      <c r="E1646" t="str">
        <f>"ASD201811145075"</f>
        <v>ASD201811145075</v>
      </c>
      <c r="F1646" t="str">
        <f t="shared" si="22"/>
        <v>ALLSTATE</v>
      </c>
      <c r="G1646" s="2">
        <v>193.92</v>
      </c>
      <c r="H1646" t="str">
        <f t="shared" si="23"/>
        <v>ALLSTATE</v>
      </c>
    </row>
    <row r="1647" spans="1:8" x14ac:dyDescent="0.25">
      <c r="E1647" t="str">
        <f>"ASI201810314759"</f>
        <v>ASI201810314759</v>
      </c>
      <c r="F1647" t="str">
        <f t="shared" si="22"/>
        <v>ALLSTATE</v>
      </c>
      <c r="G1647" s="2">
        <v>697.61</v>
      </c>
      <c r="H1647" t="str">
        <f t="shared" si="23"/>
        <v>ALLSTATE</v>
      </c>
    </row>
    <row r="1648" spans="1:8" x14ac:dyDescent="0.25">
      <c r="E1648" t="str">
        <f>"ASI201810314760"</f>
        <v>ASI201810314760</v>
      </c>
      <c r="F1648" t="str">
        <f t="shared" si="22"/>
        <v>ALLSTATE</v>
      </c>
      <c r="G1648" s="2">
        <v>67.150000000000006</v>
      </c>
      <c r="H1648" t="str">
        <f t="shared" si="23"/>
        <v>ALLSTATE</v>
      </c>
    </row>
    <row r="1649" spans="1:8" x14ac:dyDescent="0.25">
      <c r="E1649" t="str">
        <f>"ASI201811145075"</f>
        <v>ASI201811145075</v>
      </c>
      <c r="F1649" t="str">
        <f t="shared" si="22"/>
        <v>ALLSTATE</v>
      </c>
      <c r="G1649" s="2">
        <v>697.61</v>
      </c>
      <c r="H1649" t="str">
        <f t="shared" si="23"/>
        <v>ALLSTATE</v>
      </c>
    </row>
    <row r="1650" spans="1:8" x14ac:dyDescent="0.25">
      <c r="E1650" t="str">
        <f>"ASI201811145076"</f>
        <v>ASI201811145076</v>
      </c>
      <c r="F1650" t="str">
        <f t="shared" si="22"/>
        <v>ALLSTATE</v>
      </c>
      <c r="G1650" s="2">
        <v>67.150000000000006</v>
      </c>
      <c r="H1650" t="str">
        <f t="shared" si="23"/>
        <v>ALLSTATE</v>
      </c>
    </row>
    <row r="1651" spans="1:8" x14ac:dyDescent="0.25">
      <c r="E1651" t="str">
        <f>"AST201810314759"</f>
        <v>AST201810314759</v>
      </c>
      <c r="F1651" t="str">
        <f t="shared" si="22"/>
        <v>ALLSTATE</v>
      </c>
      <c r="G1651" s="2">
        <v>1410.36</v>
      </c>
      <c r="H1651" t="str">
        <f t="shared" si="23"/>
        <v>ALLSTATE</v>
      </c>
    </row>
    <row r="1652" spans="1:8" x14ac:dyDescent="0.25">
      <c r="E1652" t="str">
        <f>"AST201810314760"</f>
        <v>AST201810314760</v>
      </c>
      <c r="F1652" t="str">
        <f t="shared" si="22"/>
        <v>ALLSTATE</v>
      </c>
      <c r="G1652" s="2">
        <v>53.83</v>
      </c>
      <c r="H1652" t="str">
        <f t="shared" si="23"/>
        <v>ALLSTATE</v>
      </c>
    </row>
    <row r="1653" spans="1:8" x14ac:dyDescent="0.25">
      <c r="E1653" t="str">
        <f>"AST201811145075"</f>
        <v>AST201811145075</v>
      </c>
      <c r="F1653" t="str">
        <f t="shared" si="22"/>
        <v>ALLSTATE</v>
      </c>
      <c r="G1653" s="2">
        <v>1410.36</v>
      </c>
      <c r="H1653" t="str">
        <f t="shared" si="23"/>
        <v>ALLSTATE</v>
      </c>
    </row>
    <row r="1654" spans="1:8" x14ac:dyDescent="0.25">
      <c r="E1654" t="str">
        <f>"AST201811145076"</f>
        <v>AST201811145076</v>
      </c>
      <c r="F1654" t="str">
        <f t="shared" si="22"/>
        <v>ALLSTATE</v>
      </c>
      <c r="G1654" s="2">
        <v>53.83</v>
      </c>
      <c r="H1654" t="str">
        <f t="shared" si="23"/>
        <v>ALLSTATE</v>
      </c>
    </row>
    <row r="1655" spans="1:8" x14ac:dyDescent="0.25">
      <c r="A1655" t="s">
        <v>557</v>
      </c>
      <c r="B1655">
        <v>0</v>
      </c>
      <c r="C1655" s="3">
        <v>2908.61</v>
      </c>
      <c r="D1655" s="1">
        <v>43406</v>
      </c>
      <c r="E1655" t="str">
        <f>"DHM201810314761"</f>
        <v>DHM201810314761</v>
      </c>
      <c r="F1655" t="str">
        <f>"AP - DENTAL HMO"</f>
        <v>AP - DENTAL HMO</v>
      </c>
      <c r="G1655" s="2">
        <v>56.6</v>
      </c>
      <c r="H1655" t="str">
        <f>"AP - DENTAL HMO"</f>
        <v>AP - DENTAL HMO</v>
      </c>
    </row>
    <row r="1656" spans="1:8" x14ac:dyDescent="0.25">
      <c r="E1656" t="str">
        <f>"DTX201810314761"</f>
        <v>DTX201810314761</v>
      </c>
      <c r="F1656" t="str">
        <f>"AP - TEXAS DENTAL"</f>
        <v>AP - TEXAS DENTAL</v>
      </c>
      <c r="G1656" s="2">
        <v>388.16</v>
      </c>
      <c r="H1656" t="str">
        <f>"AP - TEXAS DENTAL"</f>
        <v>AP - TEXAS DENTAL</v>
      </c>
    </row>
    <row r="1657" spans="1:8" x14ac:dyDescent="0.25">
      <c r="E1657" t="str">
        <f>"FD 201810314761"</f>
        <v>FD 201810314761</v>
      </c>
      <c r="F1657" t="str">
        <f>"AP - FT DEARBORN PRE-TAX"</f>
        <v>AP - FT DEARBORN PRE-TAX</v>
      </c>
      <c r="G1657" s="2">
        <v>271.92</v>
      </c>
      <c r="H1657" t="str">
        <f>"AP - FT DEARBORN PRE-TAX"</f>
        <v>AP - FT DEARBORN PRE-TAX</v>
      </c>
    </row>
    <row r="1658" spans="1:8" x14ac:dyDescent="0.25">
      <c r="E1658" t="str">
        <f>"FDT201810314761"</f>
        <v>FDT201810314761</v>
      </c>
      <c r="F1658" t="str">
        <f>"AP - FT DEARBORN AFTER TAX"</f>
        <v>AP - FT DEARBORN AFTER TAX</v>
      </c>
      <c r="G1658" s="2">
        <v>70.25</v>
      </c>
      <c r="H1658" t="str">
        <f>"AP - FT DEARBORN AFTER TAX"</f>
        <v>AP - FT DEARBORN AFTER TAX</v>
      </c>
    </row>
    <row r="1659" spans="1:8" x14ac:dyDescent="0.25">
      <c r="E1659" t="str">
        <f>"FLX201810314761"</f>
        <v>FLX201810314761</v>
      </c>
      <c r="F1659" t="str">
        <f>"AP - TEX FLEX"</f>
        <v>AP - TEX FLEX</v>
      </c>
      <c r="G1659" s="2">
        <v>220</v>
      </c>
      <c r="H1659" t="str">
        <f>"AP - TEX FLEX"</f>
        <v>AP - TEX FLEX</v>
      </c>
    </row>
    <row r="1660" spans="1:8" x14ac:dyDescent="0.25">
      <c r="E1660" t="str">
        <f>"MHS201810314761"</f>
        <v>MHS201810314761</v>
      </c>
      <c r="F1660" t="str">
        <f>"AP - HEALTH SELECT MEDICAL"</f>
        <v>AP - HEALTH SELECT MEDICAL</v>
      </c>
      <c r="G1660" s="2">
        <v>1436.65</v>
      </c>
      <c r="H1660" t="str">
        <f>"AP - HEALTH SELECT MEDICAL"</f>
        <v>AP - HEALTH SELECT MEDICAL</v>
      </c>
    </row>
    <row r="1661" spans="1:8" x14ac:dyDescent="0.25">
      <c r="E1661" t="str">
        <f>"MSW201810314761"</f>
        <v>MSW201810314761</v>
      </c>
      <c r="F1661" t="str">
        <f>"AP - SCOTT &amp; WHITE MEDICAL"</f>
        <v>AP - SCOTT &amp; WHITE MEDICAL</v>
      </c>
      <c r="G1661" s="2">
        <v>431.02</v>
      </c>
      <c r="H1661" t="str">
        <f>"AP - SCOTT &amp; WHITE MEDICAL"</f>
        <v>AP - SCOTT &amp; WHITE MEDICAL</v>
      </c>
    </row>
    <row r="1662" spans="1:8" x14ac:dyDescent="0.25">
      <c r="E1662" t="str">
        <f>"SPE201810314761"</f>
        <v>SPE201810314761</v>
      </c>
      <c r="F1662" t="str">
        <f>"AP - STATE VISION"</f>
        <v>AP - STATE VISION</v>
      </c>
      <c r="G1662" s="2">
        <v>34.01</v>
      </c>
      <c r="H1662" t="str">
        <f>"AP - STATE VISION"</f>
        <v>AP - STATE VISION</v>
      </c>
    </row>
    <row r="1663" spans="1:8" x14ac:dyDescent="0.25">
      <c r="A1663" t="s">
        <v>557</v>
      </c>
      <c r="B1663">
        <v>0</v>
      </c>
      <c r="C1663" s="3">
        <v>2908.61</v>
      </c>
      <c r="D1663" s="1">
        <v>43420</v>
      </c>
      <c r="E1663" t="str">
        <f>"DHM201811145077"</f>
        <v>DHM201811145077</v>
      </c>
      <c r="F1663" t="str">
        <f>"AP - DENTAL HMO"</f>
        <v>AP - DENTAL HMO</v>
      </c>
      <c r="G1663" s="2">
        <v>56.6</v>
      </c>
      <c r="H1663" t="str">
        <f>"AP - DENTAL HMO"</f>
        <v>AP - DENTAL HMO</v>
      </c>
    </row>
    <row r="1664" spans="1:8" x14ac:dyDescent="0.25">
      <c r="E1664" t="str">
        <f>"DTX201811145077"</f>
        <v>DTX201811145077</v>
      </c>
      <c r="F1664" t="str">
        <f>"AP - TEXAS DENTAL"</f>
        <v>AP - TEXAS DENTAL</v>
      </c>
      <c r="G1664" s="2">
        <v>388.16</v>
      </c>
      <c r="H1664" t="str">
        <f>"AP - TEXAS DENTAL"</f>
        <v>AP - TEXAS DENTAL</v>
      </c>
    </row>
    <row r="1665" spans="1:8" x14ac:dyDescent="0.25">
      <c r="E1665" t="str">
        <f>"FD 201811145077"</f>
        <v>FD 201811145077</v>
      </c>
      <c r="F1665" t="str">
        <f>"AP - FT DEARBORN PRE-TAX"</f>
        <v>AP - FT DEARBORN PRE-TAX</v>
      </c>
      <c r="G1665" s="2">
        <v>271.92</v>
      </c>
      <c r="H1665" t="str">
        <f>"AP - FT DEARBORN PRE-TAX"</f>
        <v>AP - FT DEARBORN PRE-TAX</v>
      </c>
    </row>
    <row r="1666" spans="1:8" x14ac:dyDescent="0.25">
      <c r="E1666" t="str">
        <f>"FDT201811145077"</f>
        <v>FDT201811145077</v>
      </c>
      <c r="F1666" t="str">
        <f>"AP - FT DEARBORN AFTER TAX"</f>
        <v>AP - FT DEARBORN AFTER TAX</v>
      </c>
      <c r="G1666" s="2">
        <v>70.25</v>
      </c>
      <c r="H1666" t="str">
        <f>"AP - FT DEARBORN AFTER TAX"</f>
        <v>AP - FT DEARBORN AFTER TAX</v>
      </c>
    </row>
    <row r="1667" spans="1:8" x14ac:dyDescent="0.25">
      <c r="E1667" t="str">
        <f>"FLX201811145077"</f>
        <v>FLX201811145077</v>
      </c>
      <c r="F1667" t="str">
        <f>"AP - TEX FLEX"</f>
        <v>AP - TEX FLEX</v>
      </c>
      <c r="G1667" s="2">
        <v>220</v>
      </c>
      <c r="H1667" t="str">
        <f>"AP - TEX FLEX"</f>
        <v>AP - TEX FLEX</v>
      </c>
    </row>
    <row r="1668" spans="1:8" x14ac:dyDescent="0.25">
      <c r="E1668" t="str">
        <f>"MHS201811145077"</f>
        <v>MHS201811145077</v>
      </c>
      <c r="F1668" t="str">
        <f>"AP - HEALTH SELECT MEDICAL"</f>
        <v>AP - HEALTH SELECT MEDICAL</v>
      </c>
      <c r="G1668" s="2">
        <v>1436.65</v>
      </c>
      <c r="H1668" t="str">
        <f>"AP - HEALTH SELECT MEDICAL"</f>
        <v>AP - HEALTH SELECT MEDICAL</v>
      </c>
    </row>
    <row r="1669" spans="1:8" x14ac:dyDescent="0.25">
      <c r="E1669" t="str">
        <f>"MSW201811145077"</f>
        <v>MSW201811145077</v>
      </c>
      <c r="F1669" t="str">
        <f>"AP - SCOTT &amp; WHITE MEDICAL"</f>
        <v>AP - SCOTT &amp; WHITE MEDICAL</v>
      </c>
      <c r="G1669" s="2">
        <v>431.02</v>
      </c>
      <c r="H1669" t="str">
        <f>"AP - SCOTT &amp; WHITE MEDICAL"</f>
        <v>AP - SCOTT &amp; WHITE MEDICAL</v>
      </c>
    </row>
    <row r="1670" spans="1:8" x14ac:dyDescent="0.25">
      <c r="E1670" t="str">
        <f>"SPE201811145077"</f>
        <v>SPE201811145077</v>
      </c>
      <c r="F1670" t="str">
        <f>"AP - STATE VISION"</f>
        <v>AP - STATE VISION</v>
      </c>
      <c r="G1670" s="2">
        <v>34.01</v>
      </c>
      <c r="H1670" t="str">
        <f>"AP - STATE VISION"</f>
        <v>AP - STATE VISION</v>
      </c>
    </row>
    <row r="1671" spans="1:8" x14ac:dyDescent="0.25">
      <c r="A1671" t="s">
        <v>558</v>
      </c>
      <c r="B1671">
        <v>0</v>
      </c>
      <c r="C1671" s="3">
        <v>4840.0200000000004</v>
      </c>
      <c r="D1671" s="1">
        <v>43433</v>
      </c>
      <c r="E1671" t="str">
        <f>"201811295346"</f>
        <v>201811295346</v>
      </c>
      <c r="F1671" t="str">
        <f>"Christina Witherspoon overchar"</f>
        <v>Christina Witherspoon overchar</v>
      </c>
      <c r="G1671" s="2">
        <v>-16.62</v>
      </c>
      <c r="H1671" t="str">
        <f>"Christina Witherspoon overchar"</f>
        <v>Christina Witherspoon overchar</v>
      </c>
    </row>
    <row r="1672" spans="1:8" x14ac:dyDescent="0.25">
      <c r="E1672" t="str">
        <f>"201811295347"</f>
        <v>201811295347</v>
      </c>
      <c r="F1672" t="str">
        <f>"COLONIAL LIFE &amp; ACCIDENT INS."</f>
        <v>COLONIAL LIFE &amp; ACCIDENT INS.</v>
      </c>
      <c r="G1672" s="2">
        <v>-0.1</v>
      </c>
      <c r="H1672" t="str">
        <f>"COLONIAL LIFE &amp; ACCIDENT INS."</f>
        <v>COLONIAL LIFE &amp; ACCIDENT INS.</v>
      </c>
    </row>
    <row r="1673" spans="1:8" x14ac:dyDescent="0.25">
      <c r="E1673" t="str">
        <f>"CL 201810314759"</f>
        <v>CL 201810314759</v>
      </c>
      <c r="F1673" t="str">
        <f t="shared" ref="F1673:F1694" si="24">"COLONIAL"</f>
        <v>COLONIAL</v>
      </c>
      <c r="G1673" s="2">
        <v>713.7</v>
      </c>
      <c r="H1673" t="str">
        <f t="shared" ref="H1673:H1694" si="25">"COLONIAL"</f>
        <v>COLONIAL</v>
      </c>
    </row>
    <row r="1674" spans="1:8" x14ac:dyDescent="0.25">
      <c r="E1674" t="str">
        <f>"CL 201810314760"</f>
        <v>CL 201810314760</v>
      </c>
      <c r="F1674" t="str">
        <f t="shared" si="24"/>
        <v>COLONIAL</v>
      </c>
      <c r="G1674" s="2">
        <v>14.49</v>
      </c>
      <c r="H1674" t="str">
        <f t="shared" si="25"/>
        <v>COLONIAL</v>
      </c>
    </row>
    <row r="1675" spans="1:8" x14ac:dyDescent="0.25">
      <c r="E1675" t="str">
        <f>"CL 201811145075"</f>
        <v>CL 201811145075</v>
      </c>
      <c r="F1675" t="str">
        <f t="shared" si="24"/>
        <v>COLONIAL</v>
      </c>
      <c r="G1675" s="2">
        <v>713.7</v>
      </c>
      <c r="H1675" t="str">
        <f t="shared" si="25"/>
        <v>COLONIAL</v>
      </c>
    </row>
    <row r="1676" spans="1:8" x14ac:dyDescent="0.25">
      <c r="E1676" t="str">
        <f>"CL 201811145076"</f>
        <v>CL 201811145076</v>
      </c>
      <c r="F1676" t="str">
        <f t="shared" si="24"/>
        <v>COLONIAL</v>
      </c>
      <c r="G1676" s="2">
        <v>14.49</v>
      </c>
      <c r="H1676" t="str">
        <f t="shared" si="25"/>
        <v>COLONIAL</v>
      </c>
    </row>
    <row r="1677" spans="1:8" x14ac:dyDescent="0.25">
      <c r="E1677" t="str">
        <f>"CLC201810314759"</f>
        <v>CLC201810314759</v>
      </c>
      <c r="F1677" t="str">
        <f t="shared" si="24"/>
        <v>COLONIAL</v>
      </c>
      <c r="G1677" s="2">
        <v>33.99</v>
      </c>
      <c r="H1677" t="str">
        <f t="shared" si="25"/>
        <v>COLONIAL</v>
      </c>
    </row>
    <row r="1678" spans="1:8" x14ac:dyDescent="0.25">
      <c r="E1678" t="str">
        <f>"CLC201811145075"</f>
        <v>CLC201811145075</v>
      </c>
      <c r="F1678" t="str">
        <f t="shared" si="24"/>
        <v>COLONIAL</v>
      </c>
      <c r="G1678" s="2">
        <v>33.99</v>
      </c>
      <c r="H1678" t="str">
        <f t="shared" si="25"/>
        <v>COLONIAL</v>
      </c>
    </row>
    <row r="1679" spans="1:8" x14ac:dyDescent="0.25">
      <c r="E1679" t="str">
        <f>"CLI201810314759"</f>
        <v>CLI201810314759</v>
      </c>
      <c r="F1679" t="str">
        <f t="shared" si="24"/>
        <v>COLONIAL</v>
      </c>
      <c r="G1679" s="2">
        <v>597.61</v>
      </c>
      <c r="H1679" t="str">
        <f t="shared" si="25"/>
        <v>COLONIAL</v>
      </c>
    </row>
    <row r="1680" spans="1:8" x14ac:dyDescent="0.25">
      <c r="E1680" t="str">
        <f>"CLI201810314760"</f>
        <v>CLI201810314760</v>
      </c>
      <c r="F1680" t="str">
        <f t="shared" si="24"/>
        <v>COLONIAL</v>
      </c>
      <c r="G1680" s="2">
        <v>5.18</v>
      </c>
      <c r="H1680" t="str">
        <f t="shared" si="25"/>
        <v>COLONIAL</v>
      </c>
    </row>
    <row r="1681" spans="1:8" x14ac:dyDescent="0.25">
      <c r="E1681" t="str">
        <f>"CLI201811145075"</f>
        <v>CLI201811145075</v>
      </c>
      <c r="F1681" t="str">
        <f t="shared" si="24"/>
        <v>COLONIAL</v>
      </c>
      <c r="G1681" s="2">
        <v>597.61</v>
      </c>
      <c r="H1681" t="str">
        <f t="shared" si="25"/>
        <v>COLONIAL</v>
      </c>
    </row>
    <row r="1682" spans="1:8" x14ac:dyDescent="0.25">
      <c r="E1682" t="str">
        <f>"CLI201811145076"</f>
        <v>CLI201811145076</v>
      </c>
      <c r="F1682" t="str">
        <f t="shared" si="24"/>
        <v>COLONIAL</v>
      </c>
      <c r="G1682" s="2">
        <v>5.18</v>
      </c>
      <c r="H1682" t="str">
        <f t="shared" si="25"/>
        <v>COLONIAL</v>
      </c>
    </row>
    <row r="1683" spans="1:8" x14ac:dyDescent="0.25">
      <c r="E1683" t="str">
        <f>"CLK201810314759"</f>
        <v>CLK201810314759</v>
      </c>
      <c r="F1683" t="str">
        <f t="shared" si="24"/>
        <v>COLONIAL</v>
      </c>
      <c r="G1683" s="2">
        <v>27.09</v>
      </c>
      <c r="H1683" t="str">
        <f t="shared" si="25"/>
        <v>COLONIAL</v>
      </c>
    </row>
    <row r="1684" spans="1:8" x14ac:dyDescent="0.25">
      <c r="E1684" t="str">
        <f>"CLK201811145075"</f>
        <v>CLK201811145075</v>
      </c>
      <c r="F1684" t="str">
        <f t="shared" si="24"/>
        <v>COLONIAL</v>
      </c>
      <c r="G1684" s="2">
        <v>27.09</v>
      </c>
      <c r="H1684" t="str">
        <f t="shared" si="25"/>
        <v>COLONIAL</v>
      </c>
    </row>
    <row r="1685" spans="1:8" x14ac:dyDescent="0.25">
      <c r="E1685" t="str">
        <f>"CLS201810314759"</f>
        <v>CLS201810314759</v>
      </c>
      <c r="F1685" t="str">
        <f t="shared" si="24"/>
        <v>COLONIAL</v>
      </c>
      <c r="G1685" s="2">
        <v>402.54</v>
      </c>
      <c r="H1685" t="str">
        <f t="shared" si="25"/>
        <v>COLONIAL</v>
      </c>
    </row>
    <row r="1686" spans="1:8" x14ac:dyDescent="0.25">
      <c r="E1686" t="str">
        <f>"CLS201810314760"</f>
        <v>CLS201810314760</v>
      </c>
      <c r="F1686" t="str">
        <f t="shared" si="24"/>
        <v>COLONIAL</v>
      </c>
      <c r="G1686" s="2">
        <v>28.57</v>
      </c>
      <c r="H1686" t="str">
        <f t="shared" si="25"/>
        <v>COLONIAL</v>
      </c>
    </row>
    <row r="1687" spans="1:8" x14ac:dyDescent="0.25">
      <c r="E1687" t="str">
        <f>"CLS201811145075"</f>
        <v>CLS201811145075</v>
      </c>
      <c r="F1687" t="str">
        <f t="shared" si="24"/>
        <v>COLONIAL</v>
      </c>
      <c r="G1687" s="2">
        <v>402.54</v>
      </c>
      <c r="H1687" t="str">
        <f t="shared" si="25"/>
        <v>COLONIAL</v>
      </c>
    </row>
    <row r="1688" spans="1:8" x14ac:dyDescent="0.25">
      <c r="E1688" t="str">
        <f>"CLS201811145076"</f>
        <v>CLS201811145076</v>
      </c>
      <c r="F1688" t="str">
        <f t="shared" si="24"/>
        <v>COLONIAL</v>
      </c>
      <c r="G1688" s="2">
        <v>28.57</v>
      </c>
      <c r="H1688" t="str">
        <f t="shared" si="25"/>
        <v>COLONIAL</v>
      </c>
    </row>
    <row r="1689" spans="1:8" x14ac:dyDescent="0.25">
      <c r="E1689" t="str">
        <f>"CLT201810314759"</f>
        <v>CLT201810314759</v>
      </c>
      <c r="F1689" t="str">
        <f t="shared" si="24"/>
        <v>COLONIAL</v>
      </c>
      <c r="G1689" s="2">
        <v>320.79000000000002</v>
      </c>
      <c r="H1689" t="str">
        <f t="shared" si="25"/>
        <v>COLONIAL</v>
      </c>
    </row>
    <row r="1690" spans="1:8" x14ac:dyDescent="0.25">
      <c r="E1690" t="str">
        <f>"CLT201811145075"</f>
        <v>CLT201811145075</v>
      </c>
      <c r="F1690" t="str">
        <f t="shared" si="24"/>
        <v>COLONIAL</v>
      </c>
      <c r="G1690" s="2">
        <v>346.11</v>
      </c>
      <c r="H1690" t="str">
        <f t="shared" si="25"/>
        <v>COLONIAL</v>
      </c>
    </row>
    <row r="1691" spans="1:8" x14ac:dyDescent="0.25">
      <c r="E1691" t="str">
        <f>"CLU201810314759"</f>
        <v>CLU201810314759</v>
      </c>
      <c r="F1691" t="str">
        <f t="shared" si="24"/>
        <v>COLONIAL</v>
      </c>
      <c r="G1691" s="2">
        <v>116.56</v>
      </c>
      <c r="H1691" t="str">
        <f t="shared" si="25"/>
        <v>COLONIAL</v>
      </c>
    </row>
    <row r="1692" spans="1:8" x14ac:dyDescent="0.25">
      <c r="E1692" t="str">
        <f>"CLU201811145075"</f>
        <v>CLU201811145075</v>
      </c>
      <c r="F1692" t="str">
        <f t="shared" si="24"/>
        <v>COLONIAL</v>
      </c>
      <c r="G1692" s="2">
        <v>116.56</v>
      </c>
      <c r="H1692" t="str">
        <f t="shared" si="25"/>
        <v>COLONIAL</v>
      </c>
    </row>
    <row r="1693" spans="1:8" x14ac:dyDescent="0.25">
      <c r="E1693" t="str">
        <f>"CLW201810314759"</f>
        <v>CLW201810314759</v>
      </c>
      <c r="F1693" t="str">
        <f t="shared" si="24"/>
        <v>COLONIAL</v>
      </c>
      <c r="G1693" s="2">
        <v>155.19</v>
      </c>
      <c r="H1693" t="str">
        <f t="shared" si="25"/>
        <v>COLONIAL</v>
      </c>
    </row>
    <row r="1694" spans="1:8" x14ac:dyDescent="0.25">
      <c r="E1694" t="str">
        <f>"CLW201811145075"</f>
        <v>CLW201811145075</v>
      </c>
      <c r="F1694" t="str">
        <f t="shared" si="24"/>
        <v>COLONIAL</v>
      </c>
      <c r="G1694" s="2">
        <v>155.19</v>
      </c>
      <c r="H1694" t="str">
        <f t="shared" si="25"/>
        <v>COLONIAL</v>
      </c>
    </row>
    <row r="1695" spans="1:8" x14ac:dyDescent="0.25">
      <c r="A1695" t="s">
        <v>161</v>
      </c>
      <c r="B1695">
        <v>0</v>
      </c>
      <c r="C1695" s="3">
        <v>6874.98</v>
      </c>
      <c r="D1695" s="1">
        <v>43406</v>
      </c>
      <c r="E1695" t="str">
        <f>"CPI201810314759"</f>
        <v>CPI201810314759</v>
      </c>
      <c r="F1695" t="str">
        <f>"DEFERRED COMP 457B PAYABLE"</f>
        <v>DEFERRED COMP 457B PAYABLE</v>
      </c>
      <c r="G1695" s="2">
        <v>6767.48</v>
      </c>
      <c r="H1695" t="str">
        <f>"DEFERRED COMP 457B PAYABLE"</f>
        <v>DEFERRED COMP 457B PAYABLE</v>
      </c>
    </row>
    <row r="1696" spans="1:8" x14ac:dyDescent="0.25">
      <c r="E1696" t="str">
        <f>"CPI201810314760"</f>
        <v>CPI201810314760</v>
      </c>
      <c r="F1696" t="str">
        <f>"DEFERRED COMP 457B PAYABLE"</f>
        <v>DEFERRED COMP 457B PAYABLE</v>
      </c>
      <c r="G1696" s="2">
        <v>107.5</v>
      </c>
      <c r="H1696" t="str">
        <f>"DEFERRED COMP 457B PAYABLE"</f>
        <v>DEFERRED COMP 457B PAYABLE</v>
      </c>
    </row>
    <row r="1697" spans="1:8" x14ac:dyDescent="0.25">
      <c r="A1697" t="s">
        <v>161</v>
      </c>
      <c r="B1697">
        <v>0</v>
      </c>
      <c r="C1697" s="3">
        <v>6895.61</v>
      </c>
      <c r="D1697" s="1">
        <v>43420</v>
      </c>
      <c r="E1697" t="str">
        <f>"CPI201811145075"</f>
        <v>CPI201811145075</v>
      </c>
      <c r="F1697" t="str">
        <f>"DEFERRED COMP 457B PAYABLE"</f>
        <v>DEFERRED COMP 457B PAYABLE</v>
      </c>
      <c r="G1697" s="2">
        <v>6788.11</v>
      </c>
      <c r="H1697" t="str">
        <f>"DEFERRED COMP 457B PAYABLE"</f>
        <v>DEFERRED COMP 457B PAYABLE</v>
      </c>
    </row>
    <row r="1698" spans="1:8" x14ac:dyDescent="0.25">
      <c r="E1698" t="str">
        <f>"CPI201811145076"</f>
        <v>CPI201811145076</v>
      </c>
      <c r="F1698" t="str">
        <f>"DEFERRED COMP 457B PAYABLE"</f>
        <v>DEFERRED COMP 457B PAYABLE</v>
      </c>
      <c r="G1698" s="2">
        <v>107.5</v>
      </c>
      <c r="H1698" t="str">
        <f>"DEFERRED COMP 457B PAYABLE"</f>
        <v>DEFERRED COMP 457B PAYABLE</v>
      </c>
    </row>
    <row r="1699" spans="1:8" x14ac:dyDescent="0.25">
      <c r="A1699" t="s">
        <v>559</v>
      </c>
      <c r="B1699">
        <v>47025</v>
      </c>
      <c r="C1699" s="3">
        <v>1368.7</v>
      </c>
      <c r="D1699" s="1">
        <v>43406</v>
      </c>
      <c r="E1699" t="str">
        <f>"B13201810314759"</f>
        <v>B13201810314759</v>
      </c>
      <c r="F1699" t="str">
        <f>"Rosa Warren 15-10357-TMD"</f>
        <v>Rosa Warren 15-10357-TMD</v>
      </c>
      <c r="G1699" s="2">
        <v>853.85</v>
      </c>
      <c r="H1699" t="str">
        <f>"Rosa Warren 15-10357-TMD"</f>
        <v>Rosa Warren 15-10357-TMD</v>
      </c>
    </row>
    <row r="1700" spans="1:8" x14ac:dyDescent="0.25">
      <c r="E1700" t="str">
        <f>"BJL201810314759"</f>
        <v>BJL201810314759</v>
      </c>
      <c r="F1700" t="str">
        <f>"Julian Luna 14-10230-TMD"</f>
        <v>Julian Luna 14-10230-TMD</v>
      </c>
      <c r="G1700" s="2">
        <v>514.85</v>
      </c>
      <c r="H1700" t="str">
        <f>"Julian Luna 14-10230-TMD"</f>
        <v>Julian Luna 14-10230-TMD</v>
      </c>
    </row>
    <row r="1701" spans="1:8" x14ac:dyDescent="0.25">
      <c r="A1701" t="s">
        <v>559</v>
      </c>
      <c r="B1701">
        <v>47052</v>
      </c>
      <c r="C1701" s="3">
        <v>1368.7</v>
      </c>
      <c r="D1701" s="1">
        <v>43420</v>
      </c>
      <c r="E1701" t="str">
        <f>"B13201811145075"</f>
        <v>B13201811145075</v>
      </c>
      <c r="F1701" t="str">
        <f>"Rosa Warren 15-10357-TMD"</f>
        <v>Rosa Warren 15-10357-TMD</v>
      </c>
      <c r="G1701" s="2">
        <v>853.85</v>
      </c>
      <c r="H1701" t="str">
        <f>"Rosa Warren 15-10357-TMD"</f>
        <v>Rosa Warren 15-10357-TMD</v>
      </c>
    </row>
    <row r="1702" spans="1:8" x14ac:dyDescent="0.25">
      <c r="E1702" t="str">
        <f>"BJL201811145075"</f>
        <v>BJL201811145075</v>
      </c>
      <c r="F1702" t="str">
        <f>"Julian Luna 14-10230-TMD"</f>
        <v>Julian Luna 14-10230-TMD</v>
      </c>
      <c r="G1702" s="2">
        <v>514.85</v>
      </c>
      <c r="H1702" t="str">
        <f>"Julian Luna 14-10230-TMD"</f>
        <v>Julian Luna 14-10230-TMD</v>
      </c>
    </row>
    <row r="1703" spans="1:8" x14ac:dyDescent="0.25">
      <c r="A1703" t="s">
        <v>559</v>
      </c>
      <c r="B1703">
        <v>47164</v>
      </c>
      <c r="C1703" s="3">
        <v>1368.7</v>
      </c>
      <c r="D1703" s="1">
        <v>43434</v>
      </c>
      <c r="E1703" t="str">
        <f>"B13201811275300"</f>
        <v>B13201811275300</v>
      </c>
      <c r="F1703" t="str">
        <f>"Rosa Warren 15-10357-TMD"</f>
        <v>Rosa Warren 15-10357-TMD</v>
      </c>
      <c r="G1703" s="2">
        <v>853.85</v>
      </c>
      <c r="H1703" t="str">
        <f>"Rosa Warren 15-10357-TMD"</f>
        <v>Rosa Warren 15-10357-TMD</v>
      </c>
    </row>
    <row r="1704" spans="1:8" x14ac:dyDescent="0.25">
      <c r="E1704" t="str">
        <f>"BJL201811275300"</f>
        <v>BJL201811275300</v>
      </c>
      <c r="F1704" t="str">
        <f>"Julian Luna 14-10230-TMD"</f>
        <v>Julian Luna 14-10230-TMD</v>
      </c>
      <c r="G1704" s="2">
        <v>514.85</v>
      </c>
      <c r="H1704" t="str">
        <f>"Julian Luna 14-10230-TMD"</f>
        <v>Julian Luna 14-10230-TMD</v>
      </c>
    </row>
    <row r="1705" spans="1:8" x14ac:dyDescent="0.25">
      <c r="A1705" t="s">
        <v>560</v>
      </c>
      <c r="B1705">
        <v>0</v>
      </c>
      <c r="C1705" s="3">
        <v>39504.79</v>
      </c>
      <c r="D1705" s="1">
        <v>43433</v>
      </c>
      <c r="E1705" t="str">
        <f>"201811295325"</f>
        <v>201811295325</v>
      </c>
      <c r="F1705" t="str">
        <f>"Life Ins Rounding"</f>
        <v>Life Ins Rounding</v>
      </c>
      <c r="G1705" s="2">
        <v>-0.09</v>
      </c>
      <c r="H1705" t="str">
        <f>"Life Ins Rounding"</f>
        <v>Life Ins Rounding</v>
      </c>
    </row>
    <row r="1706" spans="1:8" x14ac:dyDescent="0.25">
      <c r="E1706" t="str">
        <f>"201811295326"</f>
        <v>201811295326</v>
      </c>
      <c r="F1706" t="str">
        <f>"Life Ins Ded Errors"</f>
        <v>Life Ins Ded Errors</v>
      </c>
      <c r="G1706" s="2">
        <v>-22.21</v>
      </c>
      <c r="H1706" t="str">
        <f>"Life Ins Ded Errors"</f>
        <v>Life Ins Ded Errors</v>
      </c>
    </row>
    <row r="1707" spans="1:8" x14ac:dyDescent="0.25">
      <c r="E1707" t="str">
        <f>"201811295319"</f>
        <v>201811295319</v>
      </c>
      <c r="F1707" t="str">
        <f>"Reitree Dental/Vision Cover"</f>
        <v>Reitree Dental/Vision Cover</v>
      </c>
      <c r="G1707" s="2">
        <v>3118.99</v>
      </c>
      <c r="H1707" t="str">
        <f>"Reitree Dental/Vision Cover"</f>
        <v>Reitree Dental/Vision Cover</v>
      </c>
    </row>
    <row r="1708" spans="1:8" x14ac:dyDescent="0.25">
      <c r="E1708" t="str">
        <f>"201811295320"</f>
        <v>201811295320</v>
      </c>
      <c r="F1708" t="str">
        <f>"Dental Rounding"</f>
        <v>Dental Rounding</v>
      </c>
      <c r="G1708" s="2">
        <v>26.7</v>
      </c>
      <c r="H1708" t="str">
        <f>"Dental Rounding"</f>
        <v>Dental Rounding</v>
      </c>
    </row>
    <row r="1709" spans="1:8" x14ac:dyDescent="0.25">
      <c r="E1709" t="str">
        <f>"201811295321"</f>
        <v>201811295321</v>
      </c>
      <c r="F1709" t="str">
        <f>"Vision Rounding"</f>
        <v>Vision Rounding</v>
      </c>
      <c r="G1709" s="2">
        <v>4.5599999999999996</v>
      </c>
      <c r="H1709" t="str">
        <f>"GUARDIAN"</f>
        <v>GUARDIAN</v>
      </c>
    </row>
    <row r="1710" spans="1:8" x14ac:dyDescent="0.25">
      <c r="E1710" t="str">
        <f>"201811295322"</f>
        <v>201811295322</v>
      </c>
      <c r="F1710" t="str">
        <f>"COBRA Coverage"</f>
        <v>COBRA Coverage</v>
      </c>
      <c r="G1710" s="2">
        <v>30.77</v>
      </c>
      <c r="H1710" t="str">
        <f>"COBRA Coverage"</f>
        <v>COBRA Coverage</v>
      </c>
    </row>
    <row r="1711" spans="1:8" x14ac:dyDescent="0.25">
      <c r="E1711" t="str">
        <f>"201811295323"</f>
        <v>201811295323</v>
      </c>
      <c r="F1711" t="str">
        <f>"Retiree Life Coverage"</f>
        <v>Retiree Life Coverage</v>
      </c>
      <c r="G1711" s="2">
        <v>132.99</v>
      </c>
      <c r="H1711" t="str">
        <f>"Retiree Life Coverage"</f>
        <v>Retiree Life Coverage</v>
      </c>
    </row>
    <row r="1712" spans="1:8" x14ac:dyDescent="0.25">
      <c r="E1712" t="str">
        <f>"201811295324"</f>
        <v>201811295324</v>
      </c>
      <c r="F1712" t="str">
        <f>"LTD Ded Errors"</f>
        <v>LTD Ded Errors</v>
      </c>
      <c r="G1712" s="2">
        <v>3.72</v>
      </c>
      <c r="H1712" t="str">
        <f>"LTD Ded Errors"</f>
        <v>LTD Ded Errors</v>
      </c>
    </row>
    <row r="1713" spans="5:8" x14ac:dyDescent="0.25">
      <c r="E1713" t="str">
        <f>"201811295327"</f>
        <v>201811295327</v>
      </c>
      <c r="F1713" t="str">
        <f>"LTD Rounding"</f>
        <v>LTD Rounding</v>
      </c>
      <c r="G1713" s="2">
        <v>0.19</v>
      </c>
      <c r="H1713" t="str">
        <f>"LTD Rounding"</f>
        <v>LTD Rounding</v>
      </c>
    </row>
    <row r="1714" spans="5:8" x14ac:dyDescent="0.25">
      <c r="E1714" t="str">
        <f>"ADC201810314759"</f>
        <v>ADC201810314759</v>
      </c>
      <c r="F1714" t="str">
        <f t="shared" ref="F1714:F1726" si="26">"GUARDIAN"</f>
        <v>GUARDIAN</v>
      </c>
      <c r="G1714" s="2">
        <v>5.35</v>
      </c>
      <c r="H1714" t="str">
        <f t="shared" ref="H1714:H1777" si="27">"GUARDIAN"</f>
        <v>GUARDIAN</v>
      </c>
    </row>
    <row r="1715" spans="5:8" x14ac:dyDescent="0.25">
      <c r="E1715" t="str">
        <f>"ADC201810314760"</f>
        <v>ADC201810314760</v>
      </c>
      <c r="F1715" t="str">
        <f t="shared" si="26"/>
        <v>GUARDIAN</v>
      </c>
      <c r="G1715" s="2">
        <v>0.16</v>
      </c>
      <c r="H1715" t="str">
        <f t="shared" si="27"/>
        <v>GUARDIAN</v>
      </c>
    </row>
    <row r="1716" spans="5:8" x14ac:dyDescent="0.25">
      <c r="E1716" t="str">
        <f>"ADC201811145075"</f>
        <v>ADC201811145075</v>
      </c>
      <c r="F1716" t="str">
        <f t="shared" si="26"/>
        <v>GUARDIAN</v>
      </c>
      <c r="G1716" s="2">
        <v>5.35</v>
      </c>
      <c r="H1716" t="str">
        <f t="shared" si="27"/>
        <v>GUARDIAN</v>
      </c>
    </row>
    <row r="1717" spans="5:8" x14ac:dyDescent="0.25">
      <c r="E1717" t="str">
        <f>"ADC201811145076"</f>
        <v>ADC201811145076</v>
      </c>
      <c r="F1717" t="str">
        <f t="shared" si="26"/>
        <v>GUARDIAN</v>
      </c>
      <c r="G1717" s="2">
        <v>0.16</v>
      </c>
      <c r="H1717" t="str">
        <f t="shared" si="27"/>
        <v>GUARDIAN</v>
      </c>
    </row>
    <row r="1718" spans="5:8" x14ac:dyDescent="0.25">
      <c r="E1718" t="str">
        <f>"ADE201810314759"</f>
        <v>ADE201810314759</v>
      </c>
      <c r="F1718" t="str">
        <f t="shared" si="26"/>
        <v>GUARDIAN</v>
      </c>
      <c r="G1718" s="2">
        <v>236.19</v>
      </c>
      <c r="H1718" t="str">
        <f t="shared" si="27"/>
        <v>GUARDIAN</v>
      </c>
    </row>
    <row r="1719" spans="5:8" x14ac:dyDescent="0.25">
      <c r="E1719" t="str">
        <f>"ADE201810314760"</f>
        <v>ADE201810314760</v>
      </c>
      <c r="F1719" t="str">
        <f t="shared" si="26"/>
        <v>GUARDIAN</v>
      </c>
      <c r="G1719" s="2">
        <v>6.3</v>
      </c>
      <c r="H1719" t="str">
        <f t="shared" si="27"/>
        <v>GUARDIAN</v>
      </c>
    </row>
    <row r="1720" spans="5:8" x14ac:dyDescent="0.25">
      <c r="E1720" t="str">
        <f>"ADE201811145075"</f>
        <v>ADE201811145075</v>
      </c>
      <c r="F1720" t="str">
        <f t="shared" si="26"/>
        <v>GUARDIAN</v>
      </c>
      <c r="G1720" s="2">
        <v>236.19</v>
      </c>
      <c r="H1720" t="str">
        <f t="shared" si="27"/>
        <v>GUARDIAN</v>
      </c>
    </row>
    <row r="1721" spans="5:8" x14ac:dyDescent="0.25">
      <c r="E1721" t="str">
        <f>"ADE201811145076"</f>
        <v>ADE201811145076</v>
      </c>
      <c r="F1721" t="str">
        <f t="shared" si="26"/>
        <v>GUARDIAN</v>
      </c>
      <c r="G1721" s="2">
        <v>6.3</v>
      </c>
      <c r="H1721" t="str">
        <f t="shared" si="27"/>
        <v>GUARDIAN</v>
      </c>
    </row>
    <row r="1722" spans="5:8" x14ac:dyDescent="0.25">
      <c r="E1722" t="str">
        <f>"ADS201810314759"</f>
        <v>ADS201810314759</v>
      </c>
      <c r="F1722" t="str">
        <f t="shared" si="26"/>
        <v>GUARDIAN</v>
      </c>
      <c r="G1722" s="2">
        <v>40.57</v>
      </c>
      <c r="H1722" t="str">
        <f t="shared" si="27"/>
        <v>GUARDIAN</v>
      </c>
    </row>
    <row r="1723" spans="5:8" x14ac:dyDescent="0.25">
      <c r="E1723" t="str">
        <f>"ADS201810314760"</f>
        <v>ADS201810314760</v>
      </c>
      <c r="F1723" t="str">
        <f t="shared" si="26"/>
        <v>GUARDIAN</v>
      </c>
      <c r="G1723" s="2">
        <v>0.53</v>
      </c>
      <c r="H1723" t="str">
        <f t="shared" si="27"/>
        <v>GUARDIAN</v>
      </c>
    </row>
    <row r="1724" spans="5:8" x14ac:dyDescent="0.25">
      <c r="E1724" t="str">
        <f>"ADS201811145075"</f>
        <v>ADS201811145075</v>
      </c>
      <c r="F1724" t="str">
        <f t="shared" si="26"/>
        <v>GUARDIAN</v>
      </c>
      <c r="G1724" s="2">
        <v>40.57</v>
      </c>
      <c r="H1724" t="str">
        <f t="shared" si="27"/>
        <v>GUARDIAN</v>
      </c>
    </row>
    <row r="1725" spans="5:8" x14ac:dyDescent="0.25">
      <c r="E1725" t="str">
        <f>"ADS201811145076"</f>
        <v>ADS201811145076</v>
      </c>
      <c r="F1725" t="str">
        <f t="shared" si="26"/>
        <v>GUARDIAN</v>
      </c>
      <c r="G1725" s="2">
        <v>0.53</v>
      </c>
      <c r="H1725" t="str">
        <f t="shared" si="27"/>
        <v>GUARDIAN</v>
      </c>
    </row>
    <row r="1726" spans="5:8" x14ac:dyDescent="0.25">
      <c r="E1726" t="str">
        <f>"GDC201810314759"</f>
        <v>GDC201810314759</v>
      </c>
      <c r="F1726" t="str">
        <f t="shared" si="26"/>
        <v>GUARDIAN</v>
      </c>
      <c r="G1726" s="2">
        <v>2648.88</v>
      </c>
      <c r="H1726" t="str">
        <f t="shared" si="27"/>
        <v>GUARDIAN</v>
      </c>
    </row>
    <row r="1727" spans="5:8" x14ac:dyDescent="0.25">
      <c r="E1727" t="str">
        <f>""</f>
        <v/>
      </c>
      <c r="F1727" t="str">
        <f>""</f>
        <v/>
      </c>
      <c r="H1727" t="str">
        <f t="shared" si="27"/>
        <v>GUARDIAN</v>
      </c>
    </row>
    <row r="1728" spans="5:8" x14ac:dyDescent="0.25">
      <c r="E1728" t="str">
        <f>""</f>
        <v/>
      </c>
      <c r="F1728" t="str">
        <f>""</f>
        <v/>
      </c>
      <c r="H1728" t="str">
        <f t="shared" si="27"/>
        <v>GUARDIAN</v>
      </c>
    </row>
    <row r="1729" spans="5:8" x14ac:dyDescent="0.25">
      <c r="E1729" t="str">
        <f>""</f>
        <v/>
      </c>
      <c r="F1729" t="str">
        <f>""</f>
        <v/>
      </c>
      <c r="H1729" t="str">
        <f t="shared" si="27"/>
        <v>GUARDIAN</v>
      </c>
    </row>
    <row r="1730" spans="5:8" x14ac:dyDescent="0.25">
      <c r="E1730" t="str">
        <f>""</f>
        <v/>
      </c>
      <c r="F1730" t="str">
        <f>""</f>
        <v/>
      </c>
      <c r="H1730" t="str">
        <f t="shared" si="27"/>
        <v>GUARDIAN</v>
      </c>
    </row>
    <row r="1731" spans="5:8" x14ac:dyDescent="0.25">
      <c r="E1731" t="str">
        <f>""</f>
        <v/>
      </c>
      <c r="F1731" t="str">
        <f>""</f>
        <v/>
      </c>
      <c r="H1731" t="str">
        <f t="shared" si="27"/>
        <v>GUARDIAN</v>
      </c>
    </row>
    <row r="1732" spans="5:8" x14ac:dyDescent="0.25">
      <c r="E1732" t="str">
        <f>""</f>
        <v/>
      </c>
      <c r="F1732" t="str">
        <f>""</f>
        <v/>
      </c>
      <c r="H1732" t="str">
        <f t="shared" si="27"/>
        <v>GUARDIAN</v>
      </c>
    </row>
    <row r="1733" spans="5:8" x14ac:dyDescent="0.25">
      <c r="E1733" t="str">
        <f>""</f>
        <v/>
      </c>
      <c r="F1733" t="str">
        <f>""</f>
        <v/>
      </c>
      <c r="H1733" t="str">
        <f t="shared" si="27"/>
        <v>GUARDIAN</v>
      </c>
    </row>
    <row r="1734" spans="5:8" x14ac:dyDescent="0.25">
      <c r="E1734" t="str">
        <f>""</f>
        <v/>
      </c>
      <c r="F1734" t="str">
        <f>""</f>
        <v/>
      </c>
      <c r="H1734" t="str">
        <f t="shared" si="27"/>
        <v>GUARDIAN</v>
      </c>
    </row>
    <row r="1735" spans="5:8" x14ac:dyDescent="0.25">
      <c r="E1735" t="str">
        <f>""</f>
        <v/>
      </c>
      <c r="F1735" t="str">
        <f>""</f>
        <v/>
      </c>
      <c r="H1735" t="str">
        <f t="shared" si="27"/>
        <v>GUARDIAN</v>
      </c>
    </row>
    <row r="1736" spans="5:8" x14ac:dyDescent="0.25">
      <c r="E1736" t="str">
        <f>""</f>
        <v/>
      </c>
      <c r="F1736" t="str">
        <f>""</f>
        <v/>
      </c>
      <c r="H1736" t="str">
        <f t="shared" si="27"/>
        <v>GUARDIAN</v>
      </c>
    </row>
    <row r="1737" spans="5:8" x14ac:dyDescent="0.25">
      <c r="E1737" t="str">
        <f>""</f>
        <v/>
      </c>
      <c r="F1737" t="str">
        <f>""</f>
        <v/>
      </c>
      <c r="H1737" t="str">
        <f t="shared" si="27"/>
        <v>GUARDIAN</v>
      </c>
    </row>
    <row r="1738" spans="5:8" x14ac:dyDescent="0.25">
      <c r="E1738" t="str">
        <f>""</f>
        <v/>
      </c>
      <c r="F1738" t="str">
        <f>""</f>
        <v/>
      </c>
      <c r="H1738" t="str">
        <f t="shared" si="27"/>
        <v>GUARDIAN</v>
      </c>
    </row>
    <row r="1739" spans="5:8" x14ac:dyDescent="0.25">
      <c r="E1739" t="str">
        <f>""</f>
        <v/>
      </c>
      <c r="F1739" t="str">
        <f>""</f>
        <v/>
      </c>
      <c r="H1739" t="str">
        <f t="shared" si="27"/>
        <v>GUARDIAN</v>
      </c>
    </row>
    <row r="1740" spans="5:8" x14ac:dyDescent="0.25">
      <c r="E1740" t="str">
        <f>""</f>
        <v/>
      </c>
      <c r="F1740" t="str">
        <f>""</f>
        <v/>
      </c>
      <c r="H1740" t="str">
        <f t="shared" si="27"/>
        <v>GUARDIAN</v>
      </c>
    </row>
    <row r="1741" spans="5:8" x14ac:dyDescent="0.25">
      <c r="E1741" t="str">
        <f>""</f>
        <v/>
      </c>
      <c r="F1741" t="str">
        <f>""</f>
        <v/>
      </c>
      <c r="H1741" t="str">
        <f t="shared" si="27"/>
        <v>GUARDIAN</v>
      </c>
    </row>
    <row r="1742" spans="5:8" x14ac:dyDescent="0.25">
      <c r="E1742" t="str">
        <f>""</f>
        <v/>
      </c>
      <c r="F1742" t="str">
        <f>""</f>
        <v/>
      </c>
      <c r="H1742" t="str">
        <f t="shared" si="27"/>
        <v>GUARDIAN</v>
      </c>
    </row>
    <row r="1743" spans="5:8" x14ac:dyDescent="0.25">
      <c r="E1743" t="str">
        <f>""</f>
        <v/>
      </c>
      <c r="F1743" t="str">
        <f>""</f>
        <v/>
      </c>
      <c r="H1743" t="str">
        <f t="shared" si="27"/>
        <v>GUARDIAN</v>
      </c>
    </row>
    <row r="1744" spans="5:8" x14ac:dyDescent="0.25">
      <c r="E1744" t="str">
        <f>""</f>
        <v/>
      </c>
      <c r="F1744" t="str">
        <f>""</f>
        <v/>
      </c>
      <c r="H1744" t="str">
        <f t="shared" si="27"/>
        <v>GUARDIAN</v>
      </c>
    </row>
    <row r="1745" spans="5:8" x14ac:dyDescent="0.25">
      <c r="E1745" t="str">
        <f>""</f>
        <v/>
      </c>
      <c r="F1745" t="str">
        <f>""</f>
        <v/>
      </c>
      <c r="H1745" t="str">
        <f t="shared" si="27"/>
        <v>GUARDIAN</v>
      </c>
    </row>
    <row r="1746" spans="5:8" x14ac:dyDescent="0.25">
      <c r="E1746" t="str">
        <f>""</f>
        <v/>
      </c>
      <c r="F1746" t="str">
        <f>""</f>
        <v/>
      </c>
      <c r="H1746" t="str">
        <f t="shared" si="27"/>
        <v>GUARDIAN</v>
      </c>
    </row>
    <row r="1747" spans="5:8" x14ac:dyDescent="0.25">
      <c r="E1747" t="str">
        <f>""</f>
        <v/>
      </c>
      <c r="F1747" t="str">
        <f>""</f>
        <v/>
      </c>
      <c r="H1747" t="str">
        <f t="shared" si="27"/>
        <v>GUARDIAN</v>
      </c>
    </row>
    <row r="1748" spans="5:8" x14ac:dyDescent="0.25">
      <c r="E1748" t="str">
        <f>""</f>
        <v/>
      </c>
      <c r="F1748" t="str">
        <f>""</f>
        <v/>
      </c>
      <c r="H1748" t="str">
        <f t="shared" si="27"/>
        <v>GUARDIAN</v>
      </c>
    </row>
    <row r="1749" spans="5:8" x14ac:dyDescent="0.25">
      <c r="E1749" t="str">
        <f>""</f>
        <v/>
      </c>
      <c r="F1749" t="str">
        <f>""</f>
        <v/>
      </c>
      <c r="H1749" t="str">
        <f t="shared" si="27"/>
        <v>GUARDIAN</v>
      </c>
    </row>
    <row r="1750" spans="5:8" x14ac:dyDescent="0.25">
      <c r="E1750" t="str">
        <f>""</f>
        <v/>
      </c>
      <c r="F1750" t="str">
        <f>""</f>
        <v/>
      </c>
      <c r="H1750" t="str">
        <f t="shared" si="27"/>
        <v>GUARDIAN</v>
      </c>
    </row>
    <row r="1751" spans="5:8" x14ac:dyDescent="0.25">
      <c r="E1751" t="str">
        <f>""</f>
        <v/>
      </c>
      <c r="F1751" t="str">
        <f>""</f>
        <v/>
      </c>
      <c r="H1751" t="str">
        <f t="shared" si="27"/>
        <v>GUARDIAN</v>
      </c>
    </row>
    <row r="1752" spans="5:8" x14ac:dyDescent="0.25">
      <c r="E1752" t="str">
        <f>""</f>
        <v/>
      </c>
      <c r="F1752" t="str">
        <f>""</f>
        <v/>
      </c>
      <c r="H1752" t="str">
        <f t="shared" si="27"/>
        <v>GUARDIAN</v>
      </c>
    </row>
    <row r="1753" spans="5:8" x14ac:dyDescent="0.25">
      <c r="E1753" t="str">
        <f>""</f>
        <v/>
      </c>
      <c r="F1753" t="str">
        <f>""</f>
        <v/>
      </c>
      <c r="H1753" t="str">
        <f t="shared" si="27"/>
        <v>GUARDIAN</v>
      </c>
    </row>
    <row r="1754" spans="5:8" x14ac:dyDescent="0.25">
      <c r="E1754" t="str">
        <f>""</f>
        <v/>
      </c>
      <c r="F1754" t="str">
        <f>""</f>
        <v/>
      </c>
      <c r="H1754" t="str">
        <f t="shared" si="27"/>
        <v>GUARDIAN</v>
      </c>
    </row>
    <row r="1755" spans="5:8" x14ac:dyDescent="0.25">
      <c r="E1755" t="str">
        <f>""</f>
        <v/>
      </c>
      <c r="F1755" t="str">
        <f>""</f>
        <v/>
      </c>
      <c r="H1755" t="str">
        <f t="shared" si="27"/>
        <v>GUARDIAN</v>
      </c>
    </row>
    <row r="1756" spans="5:8" x14ac:dyDescent="0.25">
      <c r="E1756" t="str">
        <f>""</f>
        <v/>
      </c>
      <c r="F1756" t="str">
        <f>""</f>
        <v/>
      </c>
      <c r="H1756" t="str">
        <f t="shared" si="27"/>
        <v>GUARDIAN</v>
      </c>
    </row>
    <row r="1757" spans="5:8" x14ac:dyDescent="0.25">
      <c r="E1757" t="str">
        <f>"GDC201810314760"</f>
        <v>GDC201810314760</v>
      </c>
      <c r="F1757" t="str">
        <f>"GUARDIAN"</f>
        <v>GUARDIAN</v>
      </c>
      <c r="G1757" s="2">
        <v>135.84</v>
      </c>
      <c r="H1757" t="str">
        <f t="shared" si="27"/>
        <v>GUARDIAN</v>
      </c>
    </row>
    <row r="1758" spans="5:8" x14ac:dyDescent="0.25">
      <c r="E1758" t="str">
        <f>""</f>
        <v/>
      </c>
      <c r="F1758" t="str">
        <f>""</f>
        <v/>
      </c>
      <c r="H1758" t="str">
        <f t="shared" si="27"/>
        <v>GUARDIAN</v>
      </c>
    </row>
    <row r="1759" spans="5:8" x14ac:dyDescent="0.25">
      <c r="E1759" t="str">
        <f>"GDC201811145075"</f>
        <v>GDC201811145075</v>
      </c>
      <c r="F1759" t="str">
        <f>"GUARDIAN"</f>
        <v>GUARDIAN</v>
      </c>
      <c r="G1759" s="2">
        <v>2648.88</v>
      </c>
      <c r="H1759" t="str">
        <f t="shared" si="27"/>
        <v>GUARDIAN</v>
      </c>
    </row>
    <row r="1760" spans="5:8" x14ac:dyDescent="0.25">
      <c r="E1760" t="str">
        <f>""</f>
        <v/>
      </c>
      <c r="F1760" t="str">
        <f>""</f>
        <v/>
      </c>
      <c r="H1760" t="str">
        <f t="shared" si="27"/>
        <v>GUARDIAN</v>
      </c>
    </row>
    <row r="1761" spans="5:8" x14ac:dyDescent="0.25">
      <c r="E1761" t="str">
        <f>""</f>
        <v/>
      </c>
      <c r="F1761" t="str">
        <f>""</f>
        <v/>
      </c>
      <c r="H1761" t="str">
        <f t="shared" si="27"/>
        <v>GUARDIAN</v>
      </c>
    </row>
    <row r="1762" spans="5:8" x14ac:dyDescent="0.25">
      <c r="E1762" t="str">
        <f>""</f>
        <v/>
      </c>
      <c r="F1762" t="str">
        <f>""</f>
        <v/>
      </c>
      <c r="H1762" t="str">
        <f t="shared" si="27"/>
        <v>GUARDIAN</v>
      </c>
    </row>
    <row r="1763" spans="5:8" x14ac:dyDescent="0.25">
      <c r="E1763" t="str">
        <f>""</f>
        <v/>
      </c>
      <c r="F1763" t="str">
        <f>""</f>
        <v/>
      </c>
      <c r="H1763" t="str">
        <f t="shared" si="27"/>
        <v>GUARDIAN</v>
      </c>
    </row>
    <row r="1764" spans="5:8" x14ac:dyDescent="0.25">
      <c r="E1764" t="str">
        <f>""</f>
        <v/>
      </c>
      <c r="F1764" t="str">
        <f>""</f>
        <v/>
      </c>
      <c r="H1764" t="str">
        <f t="shared" si="27"/>
        <v>GUARDIAN</v>
      </c>
    </row>
    <row r="1765" spans="5:8" x14ac:dyDescent="0.25">
      <c r="E1765" t="str">
        <f>""</f>
        <v/>
      </c>
      <c r="F1765" t="str">
        <f>""</f>
        <v/>
      </c>
      <c r="H1765" t="str">
        <f t="shared" si="27"/>
        <v>GUARDIAN</v>
      </c>
    </row>
    <row r="1766" spans="5:8" x14ac:dyDescent="0.25">
      <c r="E1766" t="str">
        <f>""</f>
        <v/>
      </c>
      <c r="F1766" t="str">
        <f>""</f>
        <v/>
      </c>
      <c r="H1766" t="str">
        <f t="shared" si="27"/>
        <v>GUARDIAN</v>
      </c>
    </row>
    <row r="1767" spans="5:8" x14ac:dyDescent="0.25">
      <c r="E1767" t="str">
        <f>""</f>
        <v/>
      </c>
      <c r="F1767" t="str">
        <f>""</f>
        <v/>
      </c>
      <c r="H1767" t="str">
        <f t="shared" si="27"/>
        <v>GUARDIAN</v>
      </c>
    </row>
    <row r="1768" spans="5:8" x14ac:dyDescent="0.25">
      <c r="E1768" t="str">
        <f>""</f>
        <v/>
      </c>
      <c r="F1768" t="str">
        <f>""</f>
        <v/>
      </c>
      <c r="H1768" t="str">
        <f t="shared" si="27"/>
        <v>GUARDIAN</v>
      </c>
    </row>
    <row r="1769" spans="5:8" x14ac:dyDescent="0.25">
      <c r="E1769" t="str">
        <f>""</f>
        <v/>
      </c>
      <c r="F1769" t="str">
        <f>""</f>
        <v/>
      </c>
      <c r="H1769" t="str">
        <f t="shared" si="27"/>
        <v>GUARDIAN</v>
      </c>
    </row>
    <row r="1770" spans="5:8" x14ac:dyDescent="0.25">
      <c r="E1770" t="str">
        <f>""</f>
        <v/>
      </c>
      <c r="F1770" t="str">
        <f>""</f>
        <v/>
      </c>
      <c r="H1770" t="str">
        <f t="shared" si="27"/>
        <v>GUARDIAN</v>
      </c>
    </row>
    <row r="1771" spans="5:8" x14ac:dyDescent="0.25">
      <c r="E1771" t="str">
        <f>""</f>
        <v/>
      </c>
      <c r="F1771" t="str">
        <f>""</f>
        <v/>
      </c>
      <c r="H1771" t="str">
        <f t="shared" si="27"/>
        <v>GUARDIAN</v>
      </c>
    </row>
    <row r="1772" spans="5:8" x14ac:dyDescent="0.25">
      <c r="E1772" t="str">
        <f>""</f>
        <v/>
      </c>
      <c r="F1772" t="str">
        <f>""</f>
        <v/>
      </c>
      <c r="H1772" t="str">
        <f t="shared" si="27"/>
        <v>GUARDIAN</v>
      </c>
    </row>
    <row r="1773" spans="5:8" x14ac:dyDescent="0.25">
      <c r="E1773" t="str">
        <f>""</f>
        <v/>
      </c>
      <c r="F1773" t="str">
        <f>""</f>
        <v/>
      </c>
      <c r="H1773" t="str">
        <f t="shared" si="27"/>
        <v>GUARDIAN</v>
      </c>
    </row>
    <row r="1774" spans="5:8" x14ac:dyDescent="0.25">
      <c r="E1774" t="str">
        <f>""</f>
        <v/>
      </c>
      <c r="F1774" t="str">
        <f>""</f>
        <v/>
      </c>
      <c r="H1774" t="str">
        <f t="shared" si="27"/>
        <v>GUARDIAN</v>
      </c>
    </row>
    <row r="1775" spans="5:8" x14ac:dyDescent="0.25">
      <c r="E1775" t="str">
        <f>""</f>
        <v/>
      </c>
      <c r="F1775" t="str">
        <f>""</f>
        <v/>
      </c>
      <c r="H1775" t="str">
        <f t="shared" si="27"/>
        <v>GUARDIAN</v>
      </c>
    </row>
    <row r="1776" spans="5:8" x14ac:dyDescent="0.25">
      <c r="E1776" t="str">
        <f>""</f>
        <v/>
      </c>
      <c r="F1776" t="str">
        <f>""</f>
        <v/>
      </c>
      <c r="H1776" t="str">
        <f t="shared" si="27"/>
        <v>GUARDIAN</v>
      </c>
    </row>
    <row r="1777" spans="5:8" x14ac:dyDescent="0.25">
      <c r="E1777" t="str">
        <f>""</f>
        <v/>
      </c>
      <c r="F1777" t="str">
        <f>""</f>
        <v/>
      </c>
      <c r="H1777" t="str">
        <f t="shared" si="27"/>
        <v>GUARDIAN</v>
      </c>
    </row>
    <row r="1778" spans="5:8" x14ac:dyDescent="0.25">
      <c r="E1778" t="str">
        <f>""</f>
        <v/>
      </c>
      <c r="F1778" t="str">
        <f>""</f>
        <v/>
      </c>
      <c r="H1778" t="str">
        <f t="shared" ref="H1778:H1841" si="28">"GUARDIAN"</f>
        <v>GUARDIAN</v>
      </c>
    </row>
    <row r="1779" spans="5:8" x14ac:dyDescent="0.25">
      <c r="E1779" t="str">
        <f>""</f>
        <v/>
      </c>
      <c r="F1779" t="str">
        <f>""</f>
        <v/>
      </c>
      <c r="H1779" t="str">
        <f t="shared" si="28"/>
        <v>GUARDIAN</v>
      </c>
    </row>
    <row r="1780" spans="5:8" x14ac:dyDescent="0.25">
      <c r="E1780" t="str">
        <f>""</f>
        <v/>
      </c>
      <c r="F1780" t="str">
        <f>""</f>
        <v/>
      </c>
      <c r="H1780" t="str">
        <f t="shared" si="28"/>
        <v>GUARDIAN</v>
      </c>
    </row>
    <row r="1781" spans="5:8" x14ac:dyDescent="0.25">
      <c r="E1781" t="str">
        <f>""</f>
        <v/>
      </c>
      <c r="F1781" t="str">
        <f>""</f>
        <v/>
      </c>
      <c r="H1781" t="str">
        <f t="shared" si="28"/>
        <v>GUARDIAN</v>
      </c>
    </row>
    <row r="1782" spans="5:8" x14ac:dyDescent="0.25">
      <c r="E1782" t="str">
        <f>""</f>
        <v/>
      </c>
      <c r="F1782" t="str">
        <f>""</f>
        <v/>
      </c>
      <c r="H1782" t="str">
        <f t="shared" si="28"/>
        <v>GUARDIAN</v>
      </c>
    </row>
    <row r="1783" spans="5:8" x14ac:dyDescent="0.25">
      <c r="E1783" t="str">
        <f>""</f>
        <v/>
      </c>
      <c r="F1783" t="str">
        <f>""</f>
        <v/>
      </c>
      <c r="H1783" t="str">
        <f t="shared" si="28"/>
        <v>GUARDIAN</v>
      </c>
    </row>
    <row r="1784" spans="5:8" x14ac:dyDescent="0.25">
      <c r="E1784" t="str">
        <f>""</f>
        <v/>
      </c>
      <c r="F1784" t="str">
        <f>""</f>
        <v/>
      </c>
      <c r="H1784" t="str">
        <f t="shared" si="28"/>
        <v>GUARDIAN</v>
      </c>
    </row>
    <row r="1785" spans="5:8" x14ac:dyDescent="0.25">
      <c r="E1785" t="str">
        <f>""</f>
        <v/>
      </c>
      <c r="F1785" t="str">
        <f>""</f>
        <v/>
      </c>
      <c r="H1785" t="str">
        <f t="shared" si="28"/>
        <v>GUARDIAN</v>
      </c>
    </row>
    <row r="1786" spans="5:8" x14ac:dyDescent="0.25">
      <c r="E1786" t="str">
        <f>""</f>
        <v/>
      </c>
      <c r="F1786" t="str">
        <f>""</f>
        <v/>
      </c>
      <c r="H1786" t="str">
        <f t="shared" si="28"/>
        <v>GUARDIAN</v>
      </c>
    </row>
    <row r="1787" spans="5:8" x14ac:dyDescent="0.25">
      <c r="E1787" t="str">
        <f>""</f>
        <v/>
      </c>
      <c r="F1787" t="str">
        <f>""</f>
        <v/>
      </c>
      <c r="H1787" t="str">
        <f t="shared" si="28"/>
        <v>GUARDIAN</v>
      </c>
    </row>
    <row r="1788" spans="5:8" x14ac:dyDescent="0.25">
      <c r="E1788" t="str">
        <f>""</f>
        <v/>
      </c>
      <c r="F1788" t="str">
        <f>""</f>
        <v/>
      </c>
      <c r="H1788" t="str">
        <f t="shared" si="28"/>
        <v>GUARDIAN</v>
      </c>
    </row>
    <row r="1789" spans="5:8" x14ac:dyDescent="0.25">
      <c r="E1789" t="str">
        <f>""</f>
        <v/>
      </c>
      <c r="F1789" t="str">
        <f>""</f>
        <v/>
      </c>
      <c r="H1789" t="str">
        <f t="shared" si="28"/>
        <v>GUARDIAN</v>
      </c>
    </row>
    <row r="1790" spans="5:8" x14ac:dyDescent="0.25">
      <c r="E1790" t="str">
        <f>"GDC201811145076"</f>
        <v>GDC201811145076</v>
      </c>
      <c r="F1790" t="str">
        <f>"GUARDIAN"</f>
        <v>GUARDIAN</v>
      </c>
      <c r="G1790" s="2">
        <v>135.84</v>
      </c>
      <c r="H1790" t="str">
        <f t="shared" si="28"/>
        <v>GUARDIAN</v>
      </c>
    </row>
    <row r="1791" spans="5:8" x14ac:dyDescent="0.25">
      <c r="E1791" t="str">
        <f>""</f>
        <v/>
      </c>
      <c r="F1791" t="str">
        <f>""</f>
        <v/>
      </c>
      <c r="H1791" t="str">
        <f t="shared" si="28"/>
        <v>GUARDIAN</v>
      </c>
    </row>
    <row r="1792" spans="5:8" x14ac:dyDescent="0.25">
      <c r="E1792" t="str">
        <f>"GDE201810314759"</f>
        <v>GDE201810314759</v>
      </c>
      <c r="F1792" t="str">
        <f>"GUARDIAN"</f>
        <v>GUARDIAN</v>
      </c>
      <c r="G1792" s="2">
        <v>3939.84</v>
      </c>
      <c r="H1792" t="str">
        <f t="shared" si="28"/>
        <v>GUARDIAN</v>
      </c>
    </row>
    <row r="1793" spans="5:8" x14ac:dyDescent="0.25">
      <c r="E1793" t="str">
        <f>""</f>
        <v/>
      </c>
      <c r="F1793" t="str">
        <f>""</f>
        <v/>
      </c>
      <c r="H1793" t="str">
        <f t="shared" si="28"/>
        <v>GUARDIAN</v>
      </c>
    </row>
    <row r="1794" spans="5:8" x14ac:dyDescent="0.25">
      <c r="E1794" t="str">
        <f>""</f>
        <v/>
      </c>
      <c r="F1794" t="str">
        <f>""</f>
        <v/>
      </c>
      <c r="H1794" t="str">
        <f t="shared" si="28"/>
        <v>GUARDIAN</v>
      </c>
    </row>
    <row r="1795" spans="5:8" x14ac:dyDescent="0.25">
      <c r="E1795" t="str">
        <f>""</f>
        <v/>
      </c>
      <c r="F1795" t="str">
        <f>""</f>
        <v/>
      </c>
      <c r="H1795" t="str">
        <f t="shared" si="28"/>
        <v>GUARDIAN</v>
      </c>
    </row>
    <row r="1796" spans="5:8" x14ac:dyDescent="0.25">
      <c r="E1796" t="str">
        <f>""</f>
        <v/>
      </c>
      <c r="F1796" t="str">
        <f>""</f>
        <v/>
      </c>
      <c r="H1796" t="str">
        <f t="shared" si="28"/>
        <v>GUARDIAN</v>
      </c>
    </row>
    <row r="1797" spans="5:8" x14ac:dyDescent="0.25">
      <c r="E1797" t="str">
        <f>""</f>
        <v/>
      </c>
      <c r="F1797" t="str">
        <f>""</f>
        <v/>
      </c>
      <c r="H1797" t="str">
        <f t="shared" si="28"/>
        <v>GUARDIAN</v>
      </c>
    </row>
    <row r="1798" spans="5:8" x14ac:dyDescent="0.25">
      <c r="E1798" t="str">
        <f>""</f>
        <v/>
      </c>
      <c r="F1798" t="str">
        <f>""</f>
        <v/>
      </c>
      <c r="H1798" t="str">
        <f t="shared" si="28"/>
        <v>GUARDIAN</v>
      </c>
    </row>
    <row r="1799" spans="5:8" x14ac:dyDescent="0.25">
      <c r="E1799" t="str">
        <f>""</f>
        <v/>
      </c>
      <c r="F1799" t="str">
        <f>""</f>
        <v/>
      </c>
      <c r="H1799" t="str">
        <f t="shared" si="28"/>
        <v>GUARDIAN</v>
      </c>
    </row>
    <row r="1800" spans="5:8" x14ac:dyDescent="0.25">
      <c r="E1800" t="str">
        <f>""</f>
        <v/>
      </c>
      <c r="F1800" t="str">
        <f>""</f>
        <v/>
      </c>
      <c r="H1800" t="str">
        <f t="shared" si="28"/>
        <v>GUARDIAN</v>
      </c>
    </row>
    <row r="1801" spans="5:8" x14ac:dyDescent="0.25">
      <c r="E1801" t="str">
        <f>""</f>
        <v/>
      </c>
      <c r="F1801" t="str">
        <f>""</f>
        <v/>
      </c>
      <c r="H1801" t="str">
        <f t="shared" si="28"/>
        <v>GUARDIAN</v>
      </c>
    </row>
    <row r="1802" spans="5:8" x14ac:dyDescent="0.25">
      <c r="E1802" t="str">
        <f>""</f>
        <v/>
      </c>
      <c r="F1802" t="str">
        <f>""</f>
        <v/>
      </c>
      <c r="H1802" t="str">
        <f t="shared" si="28"/>
        <v>GUARDIAN</v>
      </c>
    </row>
    <row r="1803" spans="5:8" x14ac:dyDescent="0.25">
      <c r="E1803" t="str">
        <f>""</f>
        <v/>
      </c>
      <c r="F1803" t="str">
        <f>""</f>
        <v/>
      </c>
      <c r="H1803" t="str">
        <f t="shared" si="28"/>
        <v>GUARDIAN</v>
      </c>
    </row>
    <row r="1804" spans="5:8" x14ac:dyDescent="0.25">
      <c r="E1804" t="str">
        <f>""</f>
        <v/>
      </c>
      <c r="F1804" t="str">
        <f>""</f>
        <v/>
      </c>
      <c r="H1804" t="str">
        <f t="shared" si="28"/>
        <v>GUARDIAN</v>
      </c>
    </row>
    <row r="1805" spans="5:8" x14ac:dyDescent="0.25">
      <c r="E1805" t="str">
        <f>""</f>
        <v/>
      </c>
      <c r="F1805" t="str">
        <f>""</f>
        <v/>
      </c>
      <c r="H1805" t="str">
        <f t="shared" si="28"/>
        <v>GUARDIAN</v>
      </c>
    </row>
    <row r="1806" spans="5:8" x14ac:dyDescent="0.25">
      <c r="E1806" t="str">
        <f>""</f>
        <v/>
      </c>
      <c r="F1806" t="str">
        <f>""</f>
        <v/>
      </c>
      <c r="H1806" t="str">
        <f t="shared" si="28"/>
        <v>GUARDIAN</v>
      </c>
    </row>
    <row r="1807" spans="5:8" x14ac:dyDescent="0.25">
      <c r="E1807" t="str">
        <f>""</f>
        <v/>
      </c>
      <c r="F1807" t="str">
        <f>""</f>
        <v/>
      </c>
      <c r="H1807" t="str">
        <f t="shared" si="28"/>
        <v>GUARDIAN</v>
      </c>
    </row>
    <row r="1808" spans="5:8" x14ac:dyDescent="0.25">
      <c r="E1808" t="str">
        <f>""</f>
        <v/>
      </c>
      <c r="F1808" t="str">
        <f>""</f>
        <v/>
      </c>
      <c r="H1808" t="str">
        <f t="shared" si="28"/>
        <v>GUARDIAN</v>
      </c>
    </row>
    <row r="1809" spans="5:8" x14ac:dyDescent="0.25">
      <c r="E1809" t="str">
        <f>""</f>
        <v/>
      </c>
      <c r="F1809" t="str">
        <f>""</f>
        <v/>
      </c>
      <c r="H1809" t="str">
        <f t="shared" si="28"/>
        <v>GUARDIAN</v>
      </c>
    </row>
    <row r="1810" spans="5:8" x14ac:dyDescent="0.25">
      <c r="E1810" t="str">
        <f>""</f>
        <v/>
      </c>
      <c r="F1810" t="str">
        <f>""</f>
        <v/>
      </c>
      <c r="H1810" t="str">
        <f t="shared" si="28"/>
        <v>GUARDIAN</v>
      </c>
    </row>
    <row r="1811" spans="5:8" x14ac:dyDescent="0.25">
      <c r="E1811" t="str">
        <f>""</f>
        <v/>
      </c>
      <c r="F1811" t="str">
        <f>""</f>
        <v/>
      </c>
      <c r="H1811" t="str">
        <f t="shared" si="28"/>
        <v>GUARDIAN</v>
      </c>
    </row>
    <row r="1812" spans="5:8" x14ac:dyDescent="0.25">
      <c r="E1812" t="str">
        <f>""</f>
        <v/>
      </c>
      <c r="F1812" t="str">
        <f>""</f>
        <v/>
      </c>
      <c r="H1812" t="str">
        <f t="shared" si="28"/>
        <v>GUARDIAN</v>
      </c>
    </row>
    <row r="1813" spans="5:8" x14ac:dyDescent="0.25">
      <c r="E1813" t="str">
        <f>""</f>
        <v/>
      </c>
      <c r="F1813" t="str">
        <f>""</f>
        <v/>
      </c>
      <c r="H1813" t="str">
        <f t="shared" si="28"/>
        <v>GUARDIAN</v>
      </c>
    </row>
    <row r="1814" spans="5:8" x14ac:dyDescent="0.25">
      <c r="E1814" t="str">
        <f>""</f>
        <v/>
      </c>
      <c r="F1814" t="str">
        <f>""</f>
        <v/>
      </c>
      <c r="H1814" t="str">
        <f t="shared" si="28"/>
        <v>GUARDIAN</v>
      </c>
    </row>
    <row r="1815" spans="5:8" x14ac:dyDescent="0.25">
      <c r="E1815" t="str">
        <f>""</f>
        <v/>
      </c>
      <c r="F1815" t="str">
        <f>""</f>
        <v/>
      </c>
      <c r="H1815" t="str">
        <f t="shared" si="28"/>
        <v>GUARDIAN</v>
      </c>
    </row>
    <row r="1816" spans="5:8" x14ac:dyDescent="0.25">
      <c r="E1816" t="str">
        <f>""</f>
        <v/>
      </c>
      <c r="F1816" t="str">
        <f>""</f>
        <v/>
      </c>
      <c r="H1816" t="str">
        <f t="shared" si="28"/>
        <v>GUARDIAN</v>
      </c>
    </row>
    <row r="1817" spans="5:8" x14ac:dyDescent="0.25">
      <c r="E1817" t="str">
        <f>""</f>
        <v/>
      </c>
      <c r="F1817" t="str">
        <f>""</f>
        <v/>
      </c>
      <c r="H1817" t="str">
        <f t="shared" si="28"/>
        <v>GUARDIAN</v>
      </c>
    </row>
    <row r="1818" spans="5:8" x14ac:dyDescent="0.25">
      <c r="E1818" t="str">
        <f>""</f>
        <v/>
      </c>
      <c r="F1818" t="str">
        <f>""</f>
        <v/>
      </c>
      <c r="H1818" t="str">
        <f t="shared" si="28"/>
        <v>GUARDIAN</v>
      </c>
    </row>
    <row r="1819" spans="5:8" x14ac:dyDescent="0.25">
      <c r="E1819" t="str">
        <f>""</f>
        <v/>
      </c>
      <c r="F1819" t="str">
        <f>""</f>
        <v/>
      </c>
      <c r="H1819" t="str">
        <f t="shared" si="28"/>
        <v>GUARDIAN</v>
      </c>
    </row>
    <row r="1820" spans="5:8" x14ac:dyDescent="0.25">
      <c r="E1820" t="str">
        <f>""</f>
        <v/>
      </c>
      <c r="F1820" t="str">
        <f>""</f>
        <v/>
      </c>
      <c r="H1820" t="str">
        <f t="shared" si="28"/>
        <v>GUARDIAN</v>
      </c>
    </row>
    <row r="1821" spans="5:8" x14ac:dyDescent="0.25">
      <c r="E1821" t="str">
        <f>""</f>
        <v/>
      </c>
      <c r="F1821" t="str">
        <f>""</f>
        <v/>
      </c>
      <c r="H1821" t="str">
        <f t="shared" si="28"/>
        <v>GUARDIAN</v>
      </c>
    </row>
    <row r="1822" spans="5:8" x14ac:dyDescent="0.25">
      <c r="E1822" t="str">
        <f>""</f>
        <v/>
      </c>
      <c r="F1822" t="str">
        <f>""</f>
        <v/>
      </c>
      <c r="H1822" t="str">
        <f t="shared" si="28"/>
        <v>GUARDIAN</v>
      </c>
    </row>
    <row r="1823" spans="5:8" x14ac:dyDescent="0.25">
      <c r="E1823" t="str">
        <f>""</f>
        <v/>
      </c>
      <c r="F1823" t="str">
        <f>""</f>
        <v/>
      </c>
      <c r="H1823" t="str">
        <f t="shared" si="28"/>
        <v>GUARDIAN</v>
      </c>
    </row>
    <row r="1824" spans="5:8" x14ac:dyDescent="0.25">
      <c r="E1824" t="str">
        <f>""</f>
        <v/>
      </c>
      <c r="F1824" t="str">
        <f>""</f>
        <v/>
      </c>
      <c r="H1824" t="str">
        <f t="shared" si="28"/>
        <v>GUARDIAN</v>
      </c>
    </row>
    <row r="1825" spans="5:8" x14ac:dyDescent="0.25">
      <c r="E1825" t="str">
        <f>""</f>
        <v/>
      </c>
      <c r="F1825" t="str">
        <f>""</f>
        <v/>
      </c>
      <c r="H1825" t="str">
        <f t="shared" si="28"/>
        <v>GUARDIAN</v>
      </c>
    </row>
    <row r="1826" spans="5:8" x14ac:dyDescent="0.25">
      <c r="E1826" t="str">
        <f>""</f>
        <v/>
      </c>
      <c r="F1826" t="str">
        <f>""</f>
        <v/>
      </c>
      <c r="H1826" t="str">
        <f t="shared" si="28"/>
        <v>GUARDIAN</v>
      </c>
    </row>
    <row r="1827" spans="5:8" x14ac:dyDescent="0.25">
      <c r="E1827" t="str">
        <f>""</f>
        <v/>
      </c>
      <c r="F1827" t="str">
        <f>""</f>
        <v/>
      </c>
      <c r="H1827" t="str">
        <f t="shared" si="28"/>
        <v>GUARDIAN</v>
      </c>
    </row>
    <row r="1828" spans="5:8" x14ac:dyDescent="0.25">
      <c r="E1828" t="str">
        <f>""</f>
        <v/>
      </c>
      <c r="F1828" t="str">
        <f>""</f>
        <v/>
      </c>
      <c r="H1828" t="str">
        <f t="shared" si="28"/>
        <v>GUARDIAN</v>
      </c>
    </row>
    <row r="1829" spans="5:8" x14ac:dyDescent="0.25">
      <c r="E1829" t="str">
        <f>""</f>
        <v/>
      </c>
      <c r="F1829" t="str">
        <f>""</f>
        <v/>
      </c>
      <c r="H1829" t="str">
        <f t="shared" si="28"/>
        <v>GUARDIAN</v>
      </c>
    </row>
    <row r="1830" spans="5:8" x14ac:dyDescent="0.25">
      <c r="E1830" t="str">
        <f>""</f>
        <v/>
      </c>
      <c r="F1830" t="str">
        <f>""</f>
        <v/>
      </c>
      <c r="H1830" t="str">
        <f t="shared" si="28"/>
        <v>GUARDIAN</v>
      </c>
    </row>
    <row r="1831" spans="5:8" x14ac:dyDescent="0.25">
      <c r="E1831" t="str">
        <f>""</f>
        <v/>
      </c>
      <c r="F1831" t="str">
        <f>""</f>
        <v/>
      </c>
      <c r="H1831" t="str">
        <f t="shared" si="28"/>
        <v>GUARDIAN</v>
      </c>
    </row>
    <row r="1832" spans="5:8" x14ac:dyDescent="0.25">
      <c r="E1832" t="str">
        <f>"GDE201810314760"</f>
        <v>GDE201810314760</v>
      </c>
      <c r="F1832" t="str">
        <f>"GUARDIAN"</f>
        <v>GUARDIAN</v>
      </c>
      <c r="G1832" s="2">
        <v>169.29</v>
      </c>
      <c r="H1832" t="str">
        <f t="shared" si="28"/>
        <v>GUARDIAN</v>
      </c>
    </row>
    <row r="1833" spans="5:8" x14ac:dyDescent="0.25">
      <c r="E1833" t="str">
        <f>"GDE201811145075"</f>
        <v>GDE201811145075</v>
      </c>
      <c r="F1833" t="str">
        <f>"GUARDIAN"</f>
        <v>GUARDIAN</v>
      </c>
      <c r="G1833" s="2">
        <v>3939.84</v>
      </c>
      <c r="H1833" t="str">
        <f t="shared" si="28"/>
        <v>GUARDIAN</v>
      </c>
    </row>
    <row r="1834" spans="5:8" x14ac:dyDescent="0.25">
      <c r="E1834" t="str">
        <f>""</f>
        <v/>
      </c>
      <c r="F1834" t="str">
        <f>""</f>
        <v/>
      </c>
      <c r="H1834" t="str">
        <f t="shared" si="28"/>
        <v>GUARDIAN</v>
      </c>
    </row>
    <row r="1835" spans="5:8" x14ac:dyDescent="0.25">
      <c r="E1835" t="str">
        <f>""</f>
        <v/>
      </c>
      <c r="F1835" t="str">
        <f>""</f>
        <v/>
      </c>
      <c r="H1835" t="str">
        <f t="shared" si="28"/>
        <v>GUARDIAN</v>
      </c>
    </row>
    <row r="1836" spans="5:8" x14ac:dyDescent="0.25">
      <c r="E1836" t="str">
        <f>""</f>
        <v/>
      </c>
      <c r="F1836" t="str">
        <f>""</f>
        <v/>
      </c>
      <c r="H1836" t="str">
        <f t="shared" si="28"/>
        <v>GUARDIAN</v>
      </c>
    </row>
    <row r="1837" spans="5:8" x14ac:dyDescent="0.25">
      <c r="E1837" t="str">
        <f>""</f>
        <v/>
      </c>
      <c r="F1837" t="str">
        <f>""</f>
        <v/>
      </c>
      <c r="H1837" t="str">
        <f t="shared" si="28"/>
        <v>GUARDIAN</v>
      </c>
    </row>
    <row r="1838" spans="5:8" x14ac:dyDescent="0.25">
      <c r="E1838" t="str">
        <f>""</f>
        <v/>
      </c>
      <c r="F1838" t="str">
        <f>""</f>
        <v/>
      </c>
      <c r="H1838" t="str">
        <f t="shared" si="28"/>
        <v>GUARDIAN</v>
      </c>
    </row>
    <row r="1839" spans="5:8" x14ac:dyDescent="0.25">
      <c r="E1839" t="str">
        <f>""</f>
        <v/>
      </c>
      <c r="F1839" t="str">
        <f>""</f>
        <v/>
      </c>
      <c r="H1839" t="str">
        <f t="shared" si="28"/>
        <v>GUARDIAN</v>
      </c>
    </row>
    <row r="1840" spans="5:8" x14ac:dyDescent="0.25">
      <c r="E1840" t="str">
        <f>""</f>
        <v/>
      </c>
      <c r="F1840" t="str">
        <f>""</f>
        <v/>
      </c>
      <c r="H1840" t="str">
        <f t="shared" si="28"/>
        <v>GUARDIAN</v>
      </c>
    </row>
    <row r="1841" spans="5:8" x14ac:dyDescent="0.25">
      <c r="E1841" t="str">
        <f>""</f>
        <v/>
      </c>
      <c r="F1841" t="str">
        <f>""</f>
        <v/>
      </c>
      <c r="H1841" t="str">
        <f t="shared" si="28"/>
        <v>GUARDIAN</v>
      </c>
    </row>
    <row r="1842" spans="5:8" x14ac:dyDescent="0.25">
      <c r="E1842" t="str">
        <f>""</f>
        <v/>
      </c>
      <c r="F1842" t="str">
        <f>""</f>
        <v/>
      </c>
      <c r="H1842" t="str">
        <f t="shared" ref="H1842:H1905" si="29">"GUARDIAN"</f>
        <v>GUARDIAN</v>
      </c>
    </row>
    <row r="1843" spans="5:8" x14ac:dyDescent="0.25">
      <c r="E1843" t="str">
        <f>""</f>
        <v/>
      </c>
      <c r="F1843" t="str">
        <f>""</f>
        <v/>
      </c>
      <c r="H1843" t="str">
        <f t="shared" si="29"/>
        <v>GUARDIAN</v>
      </c>
    </row>
    <row r="1844" spans="5:8" x14ac:dyDescent="0.25">
      <c r="E1844" t="str">
        <f>""</f>
        <v/>
      </c>
      <c r="F1844" t="str">
        <f>""</f>
        <v/>
      </c>
      <c r="H1844" t="str">
        <f t="shared" si="29"/>
        <v>GUARDIAN</v>
      </c>
    </row>
    <row r="1845" spans="5:8" x14ac:dyDescent="0.25">
      <c r="E1845" t="str">
        <f>""</f>
        <v/>
      </c>
      <c r="F1845" t="str">
        <f>""</f>
        <v/>
      </c>
      <c r="H1845" t="str">
        <f t="shared" si="29"/>
        <v>GUARDIAN</v>
      </c>
    </row>
    <row r="1846" spans="5:8" x14ac:dyDescent="0.25">
      <c r="E1846" t="str">
        <f>""</f>
        <v/>
      </c>
      <c r="F1846" t="str">
        <f>""</f>
        <v/>
      </c>
      <c r="H1846" t="str">
        <f t="shared" si="29"/>
        <v>GUARDIAN</v>
      </c>
    </row>
    <row r="1847" spans="5:8" x14ac:dyDescent="0.25">
      <c r="E1847" t="str">
        <f>""</f>
        <v/>
      </c>
      <c r="F1847" t="str">
        <f>""</f>
        <v/>
      </c>
      <c r="H1847" t="str">
        <f t="shared" si="29"/>
        <v>GUARDIAN</v>
      </c>
    </row>
    <row r="1848" spans="5:8" x14ac:dyDescent="0.25">
      <c r="E1848" t="str">
        <f>""</f>
        <v/>
      </c>
      <c r="F1848" t="str">
        <f>""</f>
        <v/>
      </c>
      <c r="H1848" t="str">
        <f t="shared" si="29"/>
        <v>GUARDIAN</v>
      </c>
    </row>
    <row r="1849" spans="5:8" x14ac:dyDescent="0.25">
      <c r="E1849" t="str">
        <f>""</f>
        <v/>
      </c>
      <c r="F1849" t="str">
        <f>""</f>
        <v/>
      </c>
      <c r="H1849" t="str">
        <f t="shared" si="29"/>
        <v>GUARDIAN</v>
      </c>
    </row>
    <row r="1850" spans="5:8" x14ac:dyDescent="0.25">
      <c r="E1850" t="str">
        <f>""</f>
        <v/>
      </c>
      <c r="F1850" t="str">
        <f>""</f>
        <v/>
      </c>
      <c r="H1850" t="str">
        <f t="shared" si="29"/>
        <v>GUARDIAN</v>
      </c>
    </row>
    <row r="1851" spans="5:8" x14ac:dyDescent="0.25">
      <c r="E1851" t="str">
        <f>""</f>
        <v/>
      </c>
      <c r="F1851" t="str">
        <f>""</f>
        <v/>
      </c>
      <c r="H1851" t="str">
        <f t="shared" si="29"/>
        <v>GUARDIAN</v>
      </c>
    </row>
    <row r="1852" spans="5:8" x14ac:dyDescent="0.25">
      <c r="E1852" t="str">
        <f>""</f>
        <v/>
      </c>
      <c r="F1852" t="str">
        <f>""</f>
        <v/>
      </c>
      <c r="H1852" t="str">
        <f t="shared" si="29"/>
        <v>GUARDIAN</v>
      </c>
    </row>
    <row r="1853" spans="5:8" x14ac:dyDescent="0.25">
      <c r="E1853" t="str">
        <f>""</f>
        <v/>
      </c>
      <c r="F1853" t="str">
        <f>""</f>
        <v/>
      </c>
      <c r="H1853" t="str">
        <f t="shared" si="29"/>
        <v>GUARDIAN</v>
      </c>
    </row>
    <row r="1854" spans="5:8" x14ac:dyDescent="0.25">
      <c r="E1854" t="str">
        <f>""</f>
        <v/>
      </c>
      <c r="F1854" t="str">
        <f>""</f>
        <v/>
      </c>
      <c r="H1854" t="str">
        <f t="shared" si="29"/>
        <v>GUARDIAN</v>
      </c>
    </row>
    <row r="1855" spans="5:8" x14ac:dyDescent="0.25">
      <c r="E1855" t="str">
        <f>""</f>
        <v/>
      </c>
      <c r="F1855" t="str">
        <f>""</f>
        <v/>
      </c>
      <c r="H1855" t="str">
        <f t="shared" si="29"/>
        <v>GUARDIAN</v>
      </c>
    </row>
    <row r="1856" spans="5:8" x14ac:dyDescent="0.25">
      <c r="E1856" t="str">
        <f>""</f>
        <v/>
      </c>
      <c r="F1856" t="str">
        <f>""</f>
        <v/>
      </c>
      <c r="H1856" t="str">
        <f t="shared" si="29"/>
        <v>GUARDIAN</v>
      </c>
    </row>
    <row r="1857" spans="5:8" x14ac:dyDescent="0.25">
      <c r="E1857" t="str">
        <f>""</f>
        <v/>
      </c>
      <c r="F1857" t="str">
        <f>""</f>
        <v/>
      </c>
      <c r="H1857" t="str">
        <f t="shared" si="29"/>
        <v>GUARDIAN</v>
      </c>
    </row>
    <row r="1858" spans="5:8" x14ac:dyDescent="0.25">
      <c r="E1858" t="str">
        <f>""</f>
        <v/>
      </c>
      <c r="F1858" t="str">
        <f>""</f>
        <v/>
      </c>
      <c r="H1858" t="str">
        <f t="shared" si="29"/>
        <v>GUARDIAN</v>
      </c>
    </row>
    <row r="1859" spans="5:8" x14ac:dyDescent="0.25">
      <c r="E1859" t="str">
        <f>""</f>
        <v/>
      </c>
      <c r="F1859" t="str">
        <f>""</f>
        <v/>
      </c>
      <c r="H1859" t="str">
        <f t="shared" si="29"/>
        <v>GUARDIAN</v>
      </c>
    </row>
    <row r="1860" spans="5:8" x14ac:dyDescent="0.25">
      <c r="E1860" t="str">
        <f>""</f>
        <v/>
      </c>
      <c r="F1860" t="str">
        <f>""</f>
        <v/>
      </c>
      <c r="H1860" t="str">
        <f t="shared" si="29"/>
        <v>GUARDIAN</v>
      </c>
    </row>
    <row r="1861" spans="5:8" x14ac:dyDescent="0.25">
      <c r="E1861" t="str">
        <f>""</f>
        <v/>
      </c>
      <c r="F1861" t="str">
        <f>""</f>
        <v/>
      </c>
      <c r="H1861" t="str">
        <f t="shared" si="29"/>
        <v>GUARDIAN</v>
      </c>
    </row>
    <row r="1862" spans="5:8" x14ac:dyDescent="0.25">
      <c r="E1862" t="str">
        <f>""</f>
        <v/>
      </c>
      <c r="F1862" t="str">
        <f>""</f>
        <v/>
      </c>
      <c r="H1862" t="str">
        <f t="shared" si="29"/>
        <v>GUARDIAN</v>
      </c>
    </row>
    <row r="1863" spans="5:8" x14ac:dyDescent="0.25">
      <c r="E1863" t="str">
        <f>""</f>
        <v/>
      </c>
      <c r="F1863" t="str">
        <f>""</f>
        <v/>
      </c>
      <c r="H1863" t="str">
        <f t="shared" si="29"/>
        <v>GUARDIAN</v>
      </c>
    </row>
    <row r="1864" spans="5:8" x14ac:dyDescent="0.25">
      <c r="E1864" t="str">
        <f>""</f>
        <v/>
      </c>
      <c r="F1864" t="str">
        <f>""</f>
        <v/>
      </c>
      <c r="H1864" t="str">
        <f t="shared" si="29"/>
        <v>GUARDIAN</v>
      </c>
    </row>
    <row r="1865" spans="5:8" x14ac:dyDescent="0.25">
      <c r="E1865" t="str">
        <f>""</f>
        <v/>
      </c>
      <c r="F1865" t="str">
        <f>""</f>
        <v/>
      </c>
      <c r="H1865" t="str">
        <f t="shared" si="29"/>
        <v>GUARDIAN</v>
      </c>
    </row>
    <row r="1866" spans="5:8" x14ac:dyDescent="0.25">
      <c r="E1866" t="str">
        <f>""</f>
        <v/>
      </c>
      <c r="F1866" t="str">
        <f>""</f>
        <v/>
      </c>
      <c r="H1866" t="str">
        <f t="shared" si="29"/>
        <v>GUARDIAN</v>
      </c>
    </row>
    <row r="1867" spans="5:8" x14ac:dyDescent="0.25">
      <c r="E1867" t="str">
        <f>""</f>
        <v/>
      </c>
      <c r="F1867" t="str">
        <f>""</f>
        <v/>
      </c>
      <c r="H1867" t="str">
        <f t="shared" si="29"/>
        <v>GUARDIAN</v>
      </c>
    </row>
    <row r="1868" spans="5:8" x14ac:dyDescent="0.25">
      <c r="E1868" t="str">
        <f>""</f>
        <v/>
      </c>
      <c r="F1868" t="str">
        <f>""</f>
        <v/>
      </c>
      <c r="H1868" t="str">
        <f t="shared" si="29"/>
        <v>GUARDIAN</v>
      </c>
    </row>
    <row r="1869" spans="5:8" x14ac:dyDescent="0.25">
      <c r="E1869" t="str">
        <f>""</f>
        <v/>
      </c>
      <c r="F1869" t="str">
        <f>""</f>
        <v/>
      </c>
      <c r="H1869" t="str">
        <f t="shared" si="29"/>
        <v>GUARDIAN</v>
      </c>
    </row>
    <row r="1870" spans="5:8" x14ac:dyDescent="0.25">
      <c r="E1870" t="str">
        <f>""</f>
        <v/>
      </c>
      <c r="F1870" t="str">
        <f>""</f>
        <v/>
      </c>
      <c r="H1870" t="str">
        <f t="shared" si="29"/>
        <v>GUARDIAN</v>
      </c>
    </row>
    <row r="1871" spans="5:8" x14ac:dyDescent="0.25">
      <c r="E1871" t="str">
        <f>""</f>
        <v/>
      </c>
      <c r="F1871" t="str">
        <f>""</f>
        <v/>
      </c>
      <c r="H1871" t="str">
        <f t="shared" si="29"/>
        <v>GUARDIAN</v>
      </c>
    </row>
    <row r="1872" spans="5:8" x14ac:dyDescent="0.25">
      <c r="E1872" t="str">
        <f>""</f>
        <v/>
      </c>
      <c r="F1872" t="str">
        <f>""</f>
        <v/>
      </c>
      <c r="H1872" t="str">
        <f t="shared" si="29"/>
        <v>GUARDIAN</v>
      </c>
    </row>
    <row r="1873" spans="5:8" x14ac:dyDescent="0.25">
      <c r="E1873" t="str">
        <f>"GDE201811145076"</f>
        <v>GDE201811145076</v>
      </c>
      <c r="F1873" t="str">
        <f>"GUARDIAN"</f>
        <v>GUARDIAN</v>
      </c>
      <c r="G1873" s="2">
        <v>169.29</v>
      </c>
      <c r="H1873" t="str">
        <f t="shared" si="29"/>
        <v>GUARDIAN</v>
      </c>
    </row>
    <row r="1874" spans="5:8" x14ac:dyDescent="0.25">
      <c r="E1874" t="str">
        <f>"GDF201810314759"</f>
        <v>GDF201810314759</v>
      </c>
      <c r="F1874" t="str">
        <f>"GUARDIAN"</f>
        <v>GUARDIAN</v>
      </c>
      <c r="G1874" s="2">
        <v>2359.87</v>
      </c>
      <c r="H1874" t="str">
        <f t="shared" si="29"/>
        <v>GUARDIAN</v>
      </c>
    </row>
    <row r="1875" spans="5:8" x14ac:dyDescent="0.25">
      <c r="E1875" t="str">
        <f>""</f>
        <v/>
      </c>
      <c r="F1875" t="str">
        <f>""</f>
        <v/>
      </c>
      <c r="H1875" t="str">
        <f t="shared" si="29"/>
        <v>GUARDIAN</v>
      </c>
    </row>
    <row r="1876" spans="5:8" x14ac:dyDescent="0.25">
      <c r="E1876" t="str">
        <f>""</f>
        <v/>
      </c>
      <c r="F1876" t="str">
        <f>""</f>
        <v/>
      </c>
      <c r="H1876" t="str">
        <f t="shared" si="29"/>
        <v>GUARDIAN</v>
      </c>
    </row>
    <row r="1877" spans="5:8" x14ac:dyDescent="0.25">
      <c r="E1877" t="str">
        <f>""</f>
        <v/>
      </c>
      <c r="F1877" t="str">
        <f>""</f>
        <v/>
      </c>
      <c r="H1877" t="str">
        <f t="shared" si="29"/>
        <v>GUARDIAN</v>
      </c>
    </row>
    <row r="1878" spans="5:8" x14ac:dyDescent="0.25">
      <c r="E1878" t="str">
        <f>""</f>
        <v/>
      </c>
      <c r="F1878" t="str">
        <f>""</f>
        <v/>
      </c>
      <c r="H1878" t="str">
        <f t="shared" si="29"/>
        <v>GUARDIAN</v>
      </c>
    </row>
    <row r="1879" spans="5:8" x14ac:dyDescent="0.25">
      <c r="E1879" t="str">
        <f>""</f>
        <v/>
      </c>
      <c r="F1879" t="str">
        <f>""</f>
        <v/>
      </c>
      <c r="H1879" t="str">
        <f t="shared" si="29"/>
        <v>GUARDIAN</v>
      </c>
    </row>
    <row r="1880" spans="5:8" x14ac:dyDescent="0.25">
      <c r="E1880" t="str">
        <f>""</f>
        <v/>
      </c>
      <c r="F1880" t="str">
        <f>""</f>
        <v/>
      </c>
      <c r="H1880" t="str">
        <f t="shared" si="29"/>
        <v>GUARDIAN</v>
      </c>
    </row>
    <row r="1881" spans="5:8" x14ac:dyDescent="0.25">
      <c r="E1881" t="str">
        <f>""</f>
        <v/>
      </c>
      <c r="F1881" t="str">
        <f>""</f>
        <v/>
      </c>
      <c r="H1881" t="str">
        <f t="shared" si="29"/>
        <v>GUARDIAN</v>
      </c>
    </row>
    <row r="1882" spans="5:8" x14ac:dyDescent="0.25">
      <c r="E1882" t="str">
        <f>""</f>
        <v/>
      </c>
      <c r="F1882" t="str">
        <f>""</f>
        <v/>
      </c>
      <c r="H1882" t="str">
        <f t="shared" si="29"/>
        <v>GUARDIAN</v>
      </c>
    </row>
    <row r="1883" spans="5:8" x14ac:dyDescent="0.25">
      <c r="E1883" t="str">
        <f>""</f>
        <v/>
      </c>
      <c r="F1883" t="str">
        <f>""</f>
        <v/>
      </c>
      <c r="H1883" t="str">
        <f t="shared" si="29"/>
        <v>GUARDIAN</v>
      </c>
    </row>
    <row r="1884" spans="5:8" x14ac:dyDescent="0.25">
      <c r="E1884" t="str">
        <f>""</f>
        <v/>
      </c>
      <c r="F1884" t="str">
        <f>""</f>
        <v/>
      </c>
      <c r="H1884" t="str">
        <f t="shared" si="29"/>
        <v>GUARDIAN</v>
      </c>
    </row>
    <row r="1885" spans="5:8" x14ac:dyDescent="0.25">
      <c r="E1885" t="str">
        <f>""</f>
        <v/>
      </c>
      <c r="F1885" t="str">
        <f>""</f>
        <v/>
      </c>
      <c r="H1885" t="str">
        <f t="shared" si="29"/>
        <v>GUARDIAN</v>
      </c>
    </row>
    <row r="1886" spans="5:8" x14ac:dyDescent="0.25">
      <c r="E1886" t="str">
        <f>""</f>
        <v/>
      </c>
      <c r="F1886" t="str">
        <f>""</f>
        <v/>
      </c>
      <c r="H1886" t="str">
        <f t="shared" si="29"/>
        <v>GUARDIAN</v>
      </c>
    </row>
    <row r="1887" spans="5:8" x14ac:dyDescent="0.25">
      <c r="E1887" t="str">
        <f>""</f>
        <v/>
      </c>
      <c r="F1887" t="str">
        <f>""</f>
        <v/>
      </c>
      <c r="H1887" t="str">
        <f t="shared" si="29"/>
        <v>GUARDIAN</v>
      </c>
    </row>
    <row r="1888" spans="5:8" x14ac:dyDescent="0.25">
      <c r="E1888" t="str">
        <f>""</f>
        <v/>
      </c>
      <c r="F1888" t="str">
        <f>""</f>
        <v/>
      </c>
      <c r="H1888" t="str">
        <f t="shared" si="29"/>
        <v>GUARDIAN</v>
      </c>
    </row>
    <row r="1889" spans="5:8" x14ac:dyDescent="0.25">
      <c r="E1889" t="str">
        <f>""</f>
        <v/>
      </c>
      <c r="F1889" t="str">
        <f>""</f>
        <v/>
      </c>
      <c r="H1889" t="str">
        <f t="shared" si="29"/>
        <v>GUARDIAN</v>
      </c>
    </row>
    <row r="1890" spans="5:8" x14ac:dyDescent="0.25">
      <c r="E1890" t="str">
        <f>""</f>
        <v/>
      </c>
      <c r="F1890" t="str">
        <f>""</f>
        <v/>
      </c>
      <c r="H1890" t="str">
        <f t="shared" si="29"/>
        <v>GUARDIAN</v>
      </c>
    </row>
    <row r="1891" spans="5:8" x14ac:dyDescent="0.25">
      <c r="E1891" t="str">
        <f>""</f>
        <v/>
      </c>
      <c r="F1891" t="str">
        <f>""</f>
        <v/>
      </c>
      <c r="H1891" t="str">
        <f t="shared" si="29"/>
        <v>GUARDIAN</v>
      </c>
    </row>
    <row r="1892" spans="5:8" x14ac:dyDescent="0.25">
      <c r="E1892" t="str">
        <f>""</f>
        <v/>
      </c>
      <c r="F1892" t="str">
        <f>""</f>
        <v/>
      </c>
      <c r="H1892" t="str">
        <f t="shared" si="29"/>
        <v>GUARDIAN</v>
      </c>
    </row>
    <row r="1893" spans="5:8" x14ac:dyDescent="0.25">
      <c r="E1893" t="str">
        <f>"GDF201810314760"</f>
        <v>GDF201810314760</v>
      </c>
      <c r="F1893" t="str">
        <f>"GUARDIAN"</f>
        <v>GUARDIAN</v>
      </c>
      <c r="G1893" s="2">
        <v>100.42</v>
      </c>
      <c r="H1893" t="str">
        <f t="shared" si="29"/>
        <v>GUARDIAN</v>
      </c>
    </row>
    <row r="1894" spans="5:8" x14ac:dyDescent="0.25">
      <c r="E1894" t="str">
        <f>""</f>
        <v/>
      </c>
      <c r="F1894" t="str">
        <f>""</f>
        <v/>
      </c>
      <c r="H1894" t="str">
        <f t="shared" si="29"/>
        <v>GUARDIAN</v>
      </c>
    </row>
    <row r="1895" spans="5:8" x14ac:dyDescent="0.25">
      <c r="E1895" t="str">
        <f>"GDF201811145075"</f>
        <v>GDF201811145075</v>
      </c>
      <c r="F1895" t="str">
        <f>"GUARDIAN"</f>
        <v>GUARDIAN</v>
      </c>
      <c r="G1895" s="2">
        <v>2359.87</v>
      </c>
      <c r="H1895" t="str">
        <f t="shared" si="29"/>
        <v>GUARDIAN</v>
      </c>
    </row>
    <row r="1896" spans="5:8" x14ac:dyDescent="0.25">
      <c r="E1896" t="str">
        <f>""</f>
        <v/>
      </c>
      <c r="F1896" t="str">
        <f>""</f>
        <v/>
      </c>
      <c r="H1896" t="str">
        <f t="shared" si="29"/>
        <v>GUARDIAN</v>
      </c>
    </row>
    <row r="1897" spans="5:8" x14ac:dyDescent="0.25">
      <c r="E1897" t="str">
        <f>""</f>
        <v/>
      </c>
      <c r="F1897" t="str">
        <f>""</f>
        <v/>
      </c>
      <c r="H1897" t="str">
        <f t="shared" si="29"/>
        <v>GUARDIAN</v>
      </c>
    </row>
    <row r="1898" spans="5:8" x14ac:dyDescent="0.25">
      <c r="E1898" t="str">
        <f>""</f>
        <v/>
      </c>
      <c r="F1898" t="str">
        <f>""</f>
        <v/>
      </c>
      <c r="H1898" t="str">
        <f t="shared" si="29"/>
        <v>GUARDIAN</v>
      </c>
    </row>
    <row r="1899" spans="5:8" x14ac:dyDescent="0.25">
      <c r="E1899" t="str">
        <f>""</f>
        <v/>
      </c>
      <c r="F1899" t="str">
        <f>""</f>
        <v/>
      </c>
      <c r="H1899" t="str">
        <f t="shared" si="29"/>
        <v>GUARDIAN</v>
      </c>
    </row>
    <row r="1900" spans="5:8" x14ac:dyDescent="0.25">
      <c r="E1900" t="str">
        <f>""</f>
        <v/>
      </c>
      <c r="F1900" t="str">
        <f>""</f>
        <v/>
      </c>
      <c r="H1900" t="str">
        <f t="shared" si="29"/>
        <v>GUARDIAN</v>
      </c>
    </row>
    <row r="1901" spans="5:8" x14ac:dyDescent="0.25">
      <c r="E1901" t="str">
        <f>""</f>
        <v/>
      </c>
      <c r="F1901" t="str">
        <f>""</f>
        <v/>
      </c>
      <c r="H1901" t="str">
        <f t="shared" si="29"/>
        <v>GUARDIAN</v>
      </c>
    </row>
    <row r="1902" spans="5:8" x14ac:dyDescent="0.25">
      <c r="E1902" t="str">
        <f>""</f>
        <v/>
      </c>
      <c r="F1902" t="str">
        <f>""</f>
        <v/>
      </c>
      <c r="H1902" t="str">
        <f t="shared" si="29"/>
        <v>GUARDIAN</v>
      </c>
    </row>
    <row r="1903" spans="5:8" x14ac:dyDescent="0.25">
      <c r="E1903" t="str">
        <f>""</f>
        <v/>
      </c>
      <c r="F1903" t="str">
        <f>""</f>
        <v/>
      </c>
      <c r="H1903" t="str">
        <f t="shared" si="29"/>
        <v>GUARDIAN</v>
      </c>
    </row>
    <row r="1904" spans="5:8" x14ac:dyDescent="0.25">
      <c r="E1904" t="str">
        <f>""</f>
        <v/>
      </c>
      <c r="F1904" t="str">
        <f>""</f>
        <v/>
      </c>
      <c r="H1904" t="str">
        <f t="shared" si="29"/>
        <v>GUARDIAN</v>
      </c>
    </row>
    <row r="1905" spans="5:8" x14ac:dyDescent="0.25">
      <c r="E1905" t="str">
        <f>""</f>
        <v/>
      </c>
      <c r="F1905" t="str">
        <f>""</f>
        <v/>
      </c>
      <c r="H1905" t="str">
        <f t="shared" si="29"/>
        <v>GUARDIAN</v>
      </c>
    </row>
    <row r="1906" spans="5:8" x14ac:dyDescent="0.25">
      <c r="E1906" t="str">
        <f>""</f>
        <v/>
      </c>
      <c r="F1906" t="str">
        <f>""</f>
        <v/>
      </c>
      <c r="H1906" t="str">
        <f t="shared" ref="H1906:H1964" si="30">"GUARDIAN"</f>
        <v>GUARDIAN</v>
      </c>
    </row>
    <row r="1907" spans="5:8" x14ac:dyDescent="0.25">
      <c r="E1907" t="str">
        <f>""</f>
        <v/>
      </c>
      <c r="F1907" t="str">
        <f>""</f>
        <v/>
      </c>
      <c r="H1907" t="str">
        <f t="shared" si="30"/>
        <v>GUARDIAN</v>
      </c>
    </row>
    <row r="1908" spans="5:8" x14ac:dyDescent="0.25">
      <c r="E1908" t="str">
        <f>""</f>
        <v/>
      </c>
      <c r="F1908" t="str">
        <f>""</f>
        <v/>
      </c>
      <c r="H1908" t="str">
        <f t="shared" si="30"/>
        <v>GUARDIAN</v>
      </c>
    </row>
    <row r="1909" spans="5:8" x14ac:dyDescent="0.25">
      <c r="E1909" t="str">
        <f>""</f>
        <v/>
      </c>
      <c r="F1909" t="str">
        <f>""</f>
        <v/>
      </c>
      <c r="H1909" t="str">
        <f t="shared" si="30"/>
        <v>GUARDIAN</v>
      </c>
    </row>
    <row r="1910" spans="5:8" x14ac:dyDescent="0.25">
      <c r="E1910" t="str">
        <f>""</f>
        <v/>
      </c>
      <c r="F1910" t="str">
        <f>""</f>
        <v/>
      </c>
      <c r="H1910" t="str">
        <f t="shared" si="30"/>
        <v>GUARDIAN</v>
      </c>
    </row>
    <row r="1911" spans="5:8" x14ac:dyDescent="0.25">
      <c r="E1911" t="str">
        <f>""</f>
        <v/>
      </c>
      <c r="F1911" t="str">
        <f>""</f>
        <v/>
      </c>
      <c r="H1911" t="str">
        <f t="shared" si="30"/>
        <v>GUARDIAN</v>
      </c>
    </row>
    <row r="1912" spans="5:8" x14ac:dyDescent="0.25">
      <c r="E1912" t="str">
        <f>""</f>
        <v/>
      </c>
      <c r="F1912" t="str">
        <f>""</f>
        <v/>
      </c>
      <c r="H1912" t="str">
        <f t="shared" si="30"/>
        <v>GUARDIAN</v>
      </c>
    </row>
    <row r="1913" spans="5:8" x14ac:dyDescent="0.25">
      <c r="E1913" t="str">
        <f>"GDF201811145076"</f>
        <v>GDF201811145076</v>
      </c>
      <c r="F1913" t="str">
        <f>"GUARDIAN"</f>
        <v>GUARDIAN</v>
      </c>
      <c r="G1913" s="2">
        <v>100.42</v>
      </c>
      <c r="H1913" t="str">
        <f t="shared" si="30"/>
        <v>GUARDIAN</v>
      </c>
    </row>
    <row r="1914" spans="5:8" x14ac:dyDescent="0.25">
      <c r="E1914" t="str">
        <f>""</f>
        <v/>
      </c>
      <c r="F1914" t="str">
        <f>""</f>
        <v/>
      </c>
      <c r="H1914" t="str">
        <f t="shared" si="30"/>
        <v>GUARDIAN</v>
      </c>
    </row>
    <row r="1915" spans="5:8" x14ac:dyDescent="0.25">
      <c r="E1915" t="str">
        <f>"GDS201810314759"</f>
        <v>GDS201810314759</v>
      </c>
      <c r="F1915" t="str">
        <f>"GUARDIAN"</f>
        <v>GUARDIAN</v>
      </c>
      <c r="G1915" s="2">
        <v>1799.16</v>
      </c>
      <c r="H1915" t="str">
        <f t="shared" si="30"/>
        <v>GUARDIAN</v>
      </c>
    </row>
    <row r="1916" spans="5:8" x14ac:dyDescent="0.25">
      <c r="E1916" t="str">
        <f>""</f>
        <v/>
      </c>
      <c r="F1916" t="str">
        <f>""</f>
        <v/>
      </c>
      <c r="H1916" t="str">
        <f t="shared" si="30"/>
        <v>GUARDIAN</v>
      </c>
    </row>
    <row r="1917" spans="5:8" x14ac:dyDescent="0.25">
      <c r="E1917" t="str">
        <f>""</f>
        <v/>
      </c>
      <c r="F1917" t="str">
        <f>""</f>
        <v/>
      </c>
      <c r="H1917" t="str">
        <f t="shared" si="30"/>
        <v>GUARDIAN</v>
      </c>
    </row>
    <row r="1918" spans="5:8" x14ac:dyDescent="0.25">
      <c r="E1918" t="str">
        <f>""</f>
        <v/>
      </c>
      <c r="F1918" t="str">
        <f>""</f>
        <v/>
      </c>
      <c r="H1918" t="str">
        <f t="shared" si="30"/>
        <v>GUARDIAN</v>
      </c>
    </row>
    <row r="1919" spans="5:8" x14ac:dyDescent="0.25">
      <c r="E1919" t="str">
        <f>""</f>
        <v/>
      </c>
      <c r="F1919" t="str">
        <f>""</f>
        <v/>
      </c>
      <c r="H1919" t="str">
        <f t="shared" si="30"/>
        <v>GUARDIAN</v>
      </c>
    </row>
    <row r="1920" spans="5:8" x14ac:dyDescent="0.25">
      <c r="E1920" t="str">
        <f>""</f>
        <v/>
      </c>
      <c r="F1920" t="str">
        <f>""</f>
        <v/>
      </c>
      <c r="H1920" t="str">
        <f t="shared" si="30"/>
        <v>GUARDIAN</v>
      </c>
    </row>
    <row r="1921" spans="5:8" x14ac:dyDescent="0.25">
      <c r="E1921" t="str">
        <f>""</f>
        <v/>
      </c>
      <c r="F1921" t="str">
        <f>""</f>
        <v/>
      </c>
      <c r="H1921" t="str">
        <f t="shared" si="30"/>
        <v>GUARDIAN</v>
      </c>
    </row>
    <row r="1922" spans="5:8" x14ac:dyDescent="0.25">
      <c r="E1922" t="str">
        <f>""</f>
        <v/>
      </c>
      <c r="F1922" t="str">
        <f>""</f>
        <v/>
      </c>
      <c r="H1922" t="str">
        <f t="shared" si="30"/>
        <v>GUARDIAN</v>
      </c>
    </row>
    <row r="1923" spans="5:8" x14ac:dyDescent="0.25">
      <c r="E1923" t="str">
        <f>""</f>
        <v/>
      </c>
      <c r="F1923" t="str">
        <f>""</f>
        <v/>
      </c>
      <c r="H1923" t="str">
        <f t="shared" si="30"/>
        <v>GUARDIAN</v>
      </c>
    </row>
    <row r="1924" spans="5:8" x14ac:dyDescent="0.25">
      <c r="E1924" t="str">
        <f>""</f>
        <v/>
      </c>
      <c r="F1924" t="str">
        <f>""</f>
        <v/>
      </c>
      <c r="H1924" t="str">
        <f t="shared" si="30"/>
        <v>GUARDIAN</v>
      </c>
    </row>
    <row r="1925" spans="5:8" x14ac:dyDescent="0.25">
      <c r="E1925" t="str">
        <f>""</f>
        <v/>
      </c>
      <c r="F1925" t="str">
        <f>""</f>
        <v/>
      </c>
      <c r="H1925" t="str">
        <f t="shared" si="30"/>
        <v>GUARDIAN</v>
      </c>
    </row>
    <row r="1926" spans="5:8" x14ac:dyDescent="0.25">
      <c r="E1926" t="str">
        <f>""</f>
        <v/>
      </c>
      <c r="F1926" t="str">
        <f>""</f>
        <v/>
      </c>
      <c r="H1926" t="str">
        <f t="shared" si="30"/>
        <v>GUARDIAN</v>
      </c>
    </row>
    <row r="1927" spans="5:8" x14ac:dyDescent="0.25">
      <c r="E1927" t="str">
        <f>""</f>
        <v/>
      </c>
      <c r="F1927" t="str">
        <f>""</f>
        <v/>
      </c>
      <c r="H1927" t="str">
        <f t="shared" si="30"/>
        <v>GUARDIAN</v>
      </c>
    </row>
    <row r="1928" spans="5:8" x14ac:dyDescent="0.25">
      <c r="E1928" t="str">
        <f>""</f>
        <v/>
      </c>
      <c r="F1928" t="str">
        <f>""</f>
        <v/>
      </c>
      <c r="H1928" t="str">
        <f t="shared" si="30"/>
        <v>GUARDIAN</v>
      </c>
    </row>
    <row r="1929" spans="5:8" x14ac:dyDescent="0.25">
      <c r="E1929" t="str">
        <f>""</f>
        <v/>
      </c>
      <c r="F1929" t="str">
        <f>""</f>
        <v/>
      </c>
      <c r="H1929" t="str">
        <f t="shared" si="30"/>
        <v>GUARDIAN</v>
      </c>
    </row>
    <row r="1930" spans="5:8" x14ac:dyDescent="0.25">
      <c r="E1930" t="str">
        <f>""</f>
        <v/>
      </c>
      <c r="F1930" t="str">
        <f>""</f>
        <v/>
      </c>
      <c r="H1930" t="str">
        <f t="shared" si="30"/>
        <v>GUARDIAN</v>
      </c>
    </row>
    <row r="1931" spans="5:8" x14ac:dyDescent="0.25">
      <c r="E1931" t="str">
        <f>""</f>
        <v/>
      </c>
      <c r="F1931" t="str">
        <f>""</f>
        <v/>
      </c>
      <c r="H1931" t="str">
        <f t="shared" si="30"/>
        <v>GUARDIAN</v>
      </c>
    </row>
    <row r="1932" spans="5:8" x14ac:dyDescent="0.25">
      <c r="E1932" t="str">
        <f>""</f>
        <v/>
      </c>
      <c r="F1932" t="str">
        <f>""</f>
        <v/>
      </c>
      <c r="H1932" t="str">
        <f t="shared" si="30"/>
        <v>GUARDIAN</v>
      </c>
    </row>
    <row r="1933" spans="5:8" x14ac:dyDescent="0.25">
      <c r="E1933" t="str">
        <f>""</f>
        <v/>
      </c>
      <c r="F1933" t="str">
        <f>""</f>
        <v/>
      </c>
      <c r="H1933" t="str">
        <f t="shared" si="30"/>
        <v>GUARDIAN</v>
      </c>
    </row>
    <row r="1934" spans="5:8" x14ac:dyDescent="0.25">
      <c r="E1934" t="str">
        <f>""</f>
        <v/>
      </c>
      <c r="F1934" t="str">
        <f>""</f>
        <v/>
      </c>
      <c r="H1934" t="str">
        <f t="shared" si="30"/>
        <v>GUARDIAN</v>
      </c>
    </row>
    <row r="1935" spans="5:8" x14ac:dyDescent="0.25">
      <c r="E1935" t="str">
        <f>""</f>
        <v/>
      </c>
      <c r="F1935" t="str">
        <f>""</f>
        <v/>
      </c>
      <c r="H1935" t="str">
        <f t="shared" si="30"/>
        <v>GUARDIAN</v>
      </c>
    </row>
    <row r="1936" spans="5:8" x14ac:dyDescent="0.25">
      <c r="E1936" t="str">
        <f>""</f>
        <v/>
      </c>
      <c r="F1936" t="str">
        <f>""</f>
        <v/>
      </c>
      <c r="H1936" t="str">
        <f t="shared" si="30"/>
        <v>GUARDIAN</v>
      </c>
    </row>
    <row r="1937" spans="5:8" x14ac:dyDescent="0.25">
      <c r="E1937" t="str">
        <f>""</f>
        <v/>
      </c>
      <c r="F1937" t="str">
        <f>""</f>
        <v/>
      </c>
      <c r="H1937" t="str">
        <f t="shared" si="30"/>
        <v>GUARDIAN</v>
      </c>
    </row>
    <row r="1938" spans="5:8" x14ac:dyDescent="0.25">
      <c r="E1938" t="str">
        <f>""</f>
        <v/>
      </c>
      <c r="F1938" t="str">
        <f>""</f>
        <v/>
      </c>
      <c r="H1938" t="str">
        <f t="shared" si="30"/>
        <v>GUARDIAN</v>
      </c>
    </row>
    <row r="1939" spans="5:8" x14ac:dyDescent="0.25">
      <c r="E1939" t="str">
        <f>""</f>
        <v/>
      </c>
      <c r="F1939" t="str">
        <f>""</f>
        <v/>
      </c>
      <c r="H1939" t="str">
        <f t="shared" si="30"/>
        <v>GUARDIAN</v>
      </c>
    </row>
    <row r="1940" spans="5:8" x14ac:dyDescent="0.25">
      <c r="E1940" t="str">
        <f>"GDS201811145075"</f>
        <v>GDS201811145075</v>
      </c>
      <c r="F1940" t="str">
        <f>"GUARDIAN"</f>
        <v>GUARDIAN</v>
      </c>
      <c r="G1940" s="2">
        <v>1799.16</v>
      </c>
      <c r="H1940" t="str">
        <f t="shared" si="30"/>
        <v>GUARDIAN</v>
      </c>
    </row>
    <row r="1941" spans="5:8" x14ac:dyDescent="0.25">
      <c r="E1941" t="str">
        <f>""</f>
        <v/>
      </c>
      <c r="F1941" t="str">
        <f>""</f>
        <v/>
      </c>
      <c r="H1941" t="str">
        <f t="shared" si="30"/>
        <v>GUARDIAN</v>
      </c>
    </row>
    <row r="1942" spans="5:8" x14ac:dyDescent="0.25">
      <c r="E1942" t="str">
        <f>""</f>
        <v/>
      </c>
      <c r="F1942" t="str">
        <f>""</f>
        <v/>
      </c>
      <c r="H1942" t="str">
        <f t="shared" si="30"/>
        <v>GUARDIAN</v>
      </c>
    </row>
    <row r="1943" spans="5:8" x14ac:dyDescent="0.25">
      <c r="E1943" t="str">
        <f>""</f>
        <v/>
      </c>
      <c r="F1943" t="str">
        <f>""</f>
        <v/>
      </c>
      <c r="H1943" t="str">
        <f t="shared" si="30"/>
        <v>GUARDIAN</v>
      </c>
    </row>
    <row r="1944" spans="5:8" x14ac:dyDescent="0.25">
      <c r="E1944" t="str">
        <f>""</f>
        <v/>
      </c>
      <c r="F1944" t="str">
        <f>""</f>
        <v/>
      </c>
      <c r="H1944" t="str">
        <f t="shared" si="30"/>
        <v>GUARDIAN</v>
      </c>
    </row>
    <row r="1945" spans="5:8" x14ac:dyDescent="0.25">
      <c r="E1945" t="str">
        <f>""</f>
        <v/>
      </c>
      <c r="F1945" t="str">
        <f>""</f>
        <v/>
      </c>
      <c r="H1945" t="str">
        <f t="shared" si="30"/>
        <v>GUARDIAN</v>
      </c>
    </row>
    <row r="1946" spans="5:8" x14ac:dyDescent="0.25">
      <c r="E1946" t="str">
        <f>""</f>
        <v/>
      </c>
      <c r="F1946" t="str">
        <f>""</f>
        <v/>
      </c>
      <c r="H1946" t="str">
        <f t="shared" si="30"/>
        <v>GUARDIAN</v>
      </c>
    </row>
    <row r="1947" spans="5:8" x14ac:dyDescent="0.25">
      <c r="E1947" t="str">
        <f>""</f>
        <v/>
      </c>
      <c r="F1947" t="str">
        <f>""</f>
        <v/>
      </c>
      <c r="H1947" t="str">
        <f t="shared" si="30"/>
        <v>GUARDIAN</v>
      </c>
    </row>
    <row r="1948" spans="5:8" x14ac:dyDescent="0.25">
      <c r="E1948" t="str">
        <f>""</f>
        <v/>
      </c>
      <c r="F1948" t="str">
        <f>""</f>
        <v/>
      </c>
      <c r="H1948" t="str">
        <f t="shared" si="30"/>
        <v>GUARDIAN</v>
      </c>
    </row>
    <row r="1949" spans="5:8" x14ac:dyDescent="0.25">
      <c r="E1949" t="str">
        <f>""</f>
        <v/>
      </c>
      <c r="F1949" t="str">
        <f>""</f>
        <v/>
      </c>
      <c r="H1949" t="str">
        <f t="shared" si="30"/>
        <v>GUARDIAN</v>
      </c>
    </row>
    <row r="1950" spans="5:8" x14ac:dyDescent="0.25">
      <c r="E1950" t="str">
        <f>""</f>
        <v/>
      </c>
      <c r="F1950" t="str">
        <f>""</f>
        <v/>
      </c>
      <c r="H1950" t="str">
        <f t="shared" si="30"/>
        <v>GUARDIAN</v>
      </c>
    </row>
    <row r="1951" spans="5:8" x14ac:dyDescent="0.25">
      <c r="E1951" t="str">
        <f>""</f>
        <v/>
      </c>
      <c r="F1951" t="str">
        <f>""</f>
        <v/>
      </c>
      <c r="H1951" t="str">
        <f t="shared" si="30"/>
        <v>GUARDIAN</v>
      </c>
    </row>
    <row r="1952" spans="5:8" x14ac:dyDescent="0.25">
      <c r="E1952" t="str">
        <f>""</f>
        <v/>
      </c>
      <c r="F1952" t="str">
        <f>""</f>
        <v/>
      </c>
      <c r="H1952" t="str">
        <f t="shared" si="30"/>
        <v>GUARDIAN</v>
      </c>
    </row>
    <row r="1953" spans="5:8" x14ac:dyDescent="0.25">
      <c r="E1953" t="str">
        <f>""</f>
        <v/>
      </c>
      <c r="F1953" t="str">
        <f>""</f>
        <v/>
      </c>
      <c r="H1953" t="str">
        <f t="shared" si="30"/>
        <v>GUARDIAN</v>
      </c>
    </row>
    <row r="1954" spans="5:8" x14ac:dyDescent="0.25">
      <c r="E1954" t="str">
        <f>""</f>
        <v/>
      </c>
      <c r="F1954" t="str">
        <f>""</f>
        <v/>
      </c>
      <c r="H1954" t="str">
        <f t="shared" si="30"/>
        <v>GUARDIAN</v>
      </c>
    </row>
    <row r="1955" spans="5:8" x14ac:dyDescent="0.25">
      <c r="E1955" t="str">
        <f>""</f>
        <v/>
      </c>
      <c r="F1955" t="str">
        <f>""</f>
        <v/>
      </c>
      <c r="H1955" t="str">
        <f t="shared" si="30"/>
        <v>GUARDIAN</v>
      </c>
    </row>
    <row r="1956" spans="5:8" x14ac:dyDescent="0.25">
      <c r="E1956" t="str">
        <f>""</f>
        <v/>
      </c>
      <c r="F1956" t="str">
        <f>""</f>
        <v/>
      </c>
      <c r="H1956" t="str">
        <f t="shared" si="30"/>
        <v>GUARDIAN</v>
      </c>
    </row>
    <row r="1957" spans="5:8" x14ac:dyDescent="0.25">
      <c r="E1957" t="str">
        <f>""</f>
        <v/>
      </c>
      <c r="F1957" t="str">
        <f>""</f>
        <v/>
      </c>
      <c r="H1957" t="str">
        <f t="shared" si="30"/>
        <v>GUARDIAN</v>
      </c>
    </row>
    <row r="1958" spans="5:8" x14ac:dyDescent="0.25">
      <c r="E1958" t="str">
        <f>""</f>
        <v/>
      </c>
      <c r="F1958" t="str">
        <f>""</f>
        <v/>
      </c>
      <c r="H1958" t="str">
        <f t="shared" si="30"/>
        <v>GUARDIAN</v>
      </c>
    </row>
    <row r="1959" spans="5:8" x14ac:dyDescent="0.25">
      <c r="E1959" t="str">
        <f>""</f>
        <v/>
      </c>
      <c r="F1959" t="str">
        <f>""</f>
        <v/>
      </c>
      <c r="H1959" t="str">
        <f t="shared" si="30"/>
        <v>GUARDIAN</v>
      </c>
    </row>
    <row r="1960" spans="5:8" x14ac:dyDescent="0.25">
      <c r="E1960" t="str">
        <f>""</f>
        <v/>
      </c>
      <c r="F1960" t="str">
        <f>""</f>
        <v/>
      </c>
      <c r="H1960" t="str">
        <f t="shared" si="30"/>
        <v>GUARDIAN</v>
      </c>
    </row>
    <row r="1961" spans="5:8" x14ac:dyDescent="0.25">
      <c r="E1961" t="str">
        <f>""</f>
        <v/>
      </c>
      <c r="F1961" t="str">
        <f>""</f>
        <v/>
      </c>
      <c r="H1961" t="str">
        <f t="shared" si="30"/>
        <v>GUARDIAN</v>
      </c>
    </row>
    <row r="1962" spans="5:8" x14ac:dyDescent="0.25">
      <c r="E1962" t="str">
        <f>""</f>
        <v/>
      </c>
      <c r="F1962" t="str">
        <f>""</f>
        <v/>
      </c>
      <c r="H1962" t="str">
        <f t="shared" si="30"/>
        <v>GUARDIAN</v>
      </c>
    </row>
    <row r="1963" spans="5:8" x14ac:dyDescent="0.25">
      <c r="E1963" t="str">
        <f>""</f>
        <v/>
      </c>
      <c r="F1963" t="str">
        <f>""</f>
        <v/>
      </c>
      <c r="H1963" t="str">
        <f t="shared" si="30"/>
        <v>GUARDIAN</v>
      </c>
    </row>
    <row r="1964" spans="5:8" x14ac:dyDescent="0.25">
      <c r="E1964" t="str">
        <f>""</f>
        <v/>
      </c>
      <c r="F1964" t="str">
        <f>""</f>
        <v/>
      </c>
      <c r="H1964" t="str">
        <f t="shared" si="30"/>
        <v>GUARDIAN</v>
      </c>
    </row>
    <row r="1965" spans="5:8" x14ac:dyDescent="0.25">
      <c r="E1965" t="str">
        <f>"GV1201810314759"</f>
        <v>GV1201810314759</v>
      </c>
      <c r="F1965" t="str">
        <f>"GUARDIAN VISION"</f>
        <v>GUARDIAN VISION</v>
      </c>
      <c r="G1965" s="2">
        <v>358.4</v>
      </c>
      <c r="H1965" t="str">
        <f>"GUARDIAN VISION"</f>
        <v>GUARDIAN VISION</v>
      </c>
    </row>
    <row r="1966" spans="5:8" x14ac:dyDescent="0.25">
      <c r="E1966" t="str">
        <f>"GV1201811145075"</f>
        <v>GV1201811145075</v>
      </c>
      <c r="F1966" t="str">
        <f>"GUARDIAN VISION"</f>
        <v>GUARDIAN VISION</v>
      </c>
      <c r="G1966" s="2">
        <v>358.4</v>
      </c>
      <c r="H1966" t="str">
        <f>"GUARDIAN VISION"</f>
        <v>GUARDIAN VISION</v>
      </c>
    </row>
    <row r="1967" spans="5:8" x14ac:dyDescent="0.25">
      <c r="E1967" t="str">
        <f>"GVE201810314759"</f>
        <v>GVE201810314759</v>
      </c>
      <c r="F1967" t="str">
        <f>"GUARDIAN VISION VENDOR"</f>
        <v>GUARDIAN VISION VENDOR</v>
      </c>
      <c r="G1967" s="2">
        <v>568.26</v>
      </c>
      <c r="H1967" t="str">
        <f>"GUARDIAN VISION VENDOR"</f>
        <v>GUARDIAN VISION VENDOR</v>
      </c>
    </row>
    <row r="1968" spans="5:8" x14ac:dyDescent="0.25">
      <c r="E1968" t="str">
        <f>"GVE201810314760"</f>
        <v>GVE201810314760</v>
      </c>
      <c r="F1968" t="str">
        <f>"GUARDIAN VISION VENDOR"</f>
        <v>GUARDIAN VISION VENDOR</v>
      </c>
      <c r="G1968" s="2">
        <v>25.83</v>
      </c>
      <c r="H1968" t="str">
        <f>"GUARDIAN VISION VENDOR"</f>
        <v>GUARDIAN VISION VENDOR</v>
      </c>
    </row>
    <row r="1969" spans="5:8" x14ac:dyDescent="0.25">
      <c r="E1969" t="str">
        <f>"GVE201811145075"</f>
        <v>GVE201811145075</v>
      </c>
      <c r="F1969" t="str">
        <f>"GUARDIAN VISION VENDOR"</f>
        <v>GUARDIAN VISION VENDOR</v>
      </c>
      <c r="G1969" s="2">
        <v>568.26</v>
      </c>
      <c r="H1969" t="str">
        <f>"GUARDIAN VISION VENDOR"</f>
        <v>GUARDIAN VISION VENDOR</v>
      </c>
    </row>
    <row r="1970" spans="5:8" x14ac:dyDescent="0.25">
      <c r="E1970" t="str">
        <f>"GVE201811145076"</f>
        <v>GVE201811145076</v>
      </c>
      <c r="F1970" t="str">
        <f>"GUARDIAN VISION VENDOR"</f>
        <v>GUARDIAN VISION VENDOR</v>
      </c>
      <c r="G1970" s="2">
        <v>25.83</v>
      </c>
      <c r="H1970" t="str">
        <f>"GUARDIAN VISION VENDOR"</f>
        <v>GUARDIAN VISION VENDOR</v>
      </c>
    </row>
    <row r="1971" spans="5:8" x14ac:dyDescent="0.25">
      <c r="E1971" t="str">
        <f>"GVF201810314759"</f>
        <v>GVF201810314759</v>
      </c>
      <c r="F1971" t="str">
        <f>"GUARDIAN VISION"</f>
        <v>GUARDIAN VISION</v>
      </c>
      <c r="G1971" s="2">
        <v>522.04999999999995</v>
      </c>
      <c r="H1971" t="str">
        <f>"GUARDIAN VISION"</f>
        <v>GUARDIAN VISION</v>
      </c>
    </row>
    <row r="1972" spans="5:8" x14ac:dyDescent="0.25">
      <c r="E1972" t="str">
        <f>"GVF201810314760"</f>
        <v>GVF201810314760</v>
      </c>
      <c r="F1972" t="str">
        <f>"GUARDIAN VISION VENDOR"</f>
        <v>GUARDIAN VISION VENDOR</v>
      </c>
      <c r="G1972" s="2">
        <v>29.55</v>
      </c>
      <c r="H1972" t="str">
        <f>"GUARDIAN VISION VENDOR"</f>
        <v>GUARDIAN VISION VENDOR</v>
      </c>
    </row>
    <row r="1973" spans="5:8" x14ac:dyDescent="0.25">
      <c r="E1973" t="str">
        <f>"GVF201811145075"</f>
        <v>GVF201811145075</v>
      </c>
      <c r="F1973" t="str">
        <f>"GUARDIAN VISION"</f>
        <v>GUARDIAN VISION</v>
      </c>
      <c r="G1973" s="2">
        <v>522.04999999999995</v>
      </c>
      <c r="H1973" t="str">
        <f>"GUARDIAN VISION"</f>
        <v>GUARDIAN VISION</v>
      </c>
    </row>
    <row r="1974" spans="5:8" x14ac:dyDescent="0.25">
      <c r="E1974" t="str">
        <f>"GVF201811145076"</f>
        <v>GVF201811145076</v>
      </c>
      <c r="F1974" t="str">
        <f>"GUARDIAN VISION VENDOR"</f>
        <v>GUARDIAN VISION VENDOR</v>
      </c>
      <c r="G1974" s="2">
        <v>29.55</v>
      </c>
      <c r="H1974" t="str">
        <f>"GUARDIAN VISION VENDOR"</f>
        <v>GUARDIAN VISION VENDOR</v>
      </c>
    </row>
    <row r="1975" spans="5:8" x14ac:dyDescent="0.25">
      <c r="E1975" t="str">
        <f>"LIA201810314759"</f>
        <v>LIA201810314759</v>
      </c>
      <c r="F1975" t="str">
        <f>"GUARDIAN"</f>
        <v>GUARDIAN</v>
      </c>
      <c r="G1975" s="2">
        <v>223.4</v>
      </c>
      <c r="H1975" t="str">
        <f t="shared" ref="H1975:H2006" si="31">"GUARDIAN"</f>
        <v>GUARDIAN</v>
      </c>
    </row>
    <row r="1976" spans="5:8" x14ac:dyDescent="0.25">
      <c r="E1976" t="str">
        <f>""</f>
        <v/>
      </c>
      <c r="F1976" t="str">
        <f>""</f>
        <v/>
      </c>
      <c r="H1976" t="str">
        <f t="shared" si="31"/>
        <v>GUARDIAN</v>
      </c>
    </row>
    <row r="1977" spans="5:8" x14ac:dyDescent="0.25">
      <c r="E1977" t="str">
        <f>""</f>
        <v/>
      </c>
      <c r="F1977" t="str">
        <f>""</f>
        <v/>
      </c>
      <c r="H1977" t="str">
        <f t="shared" si="31"/>
        <v>GUARDIAN</v>
      </c>
    </row>
    <row r="1978" spans="5:8" x14ac:dyDescent="0.25">
      <c r="E1978" t="str">
        <f>""</f>
        <v/>
      </c>
      <c r="F1978" t="str">
        <f>""</f>
        <v/>
      </c>
      <c r="H1978" t="str">
        <f t="shared" si="31"/>
        <v>GUARDIAN</v>
      </c>
    </row>
    <row r="1979" spans="5:8" x14ac:dyDescent="0.25">
      <c r="E1979" t="str">
        <f>""</f>
        <v/>
      </c>
      <c r="F1979" t="str">
        <f>""</f>
        <v/>
      </c>
      <c r="H1979" t="str">
        <f t="shared" si="31"/>
        <v>GUARDIAN</v>
      </c>
    </row>
    <row r="1980" spans="5:8" x14ac:dyDescent="0.25">
      <c r="E1980" t="str">
        <f>""</f>
        <v/>
      </c>
      <c r="F1980" t="str">
        <f>""</f>
        <v/>
      </c>
      <c r="H1980" t="str">
        <f t="shared" si="31"/>
        <v>GUARDIAN</v>
      </c>
    </row>
    <row r="1981" spans="5:8" x14ac:dyDescent="0.25">
      <c r="E1981" t="str">
        <f>""</f>
        <v/>
      </c>
      <c r="F1981" t="str">
        <f>""</f>
        <v/>
      </c>
      <c r="H1981" t="str">
        <f t="shared" si="31"/>
        <v>GUARDIAN</v>
      </c>
    </row>
    <row r="1982" spans="5:8" x14ac:dyDescent="0.25">
      <c r="E1982" t="str">
        <f>""</f>
        <v/>
      </c>
      <c r="F1982" t="str">
        <f>""</f>
        <v/>
      </c>
      <c r="H1982" t="str">
        <f t="shared" si="31"/>
        <v>GUARDIAN</v>
      </c>
    </row>
    <row r="1983" spans="5:8" x14ac:dyDescent="0.25">
      <c r="E1983" t="str">
        <f>""</f>
        <v/>
      </c>
      <c r="F1983" t="str">
        <f>""</f>
        <v/>
      </c>
      <c r="H1983" t="str">
        <f t="shared" si="31"/>
        <v>GUARDIAN</v>
      </c>
    </row>
    <row r="1984" spans="5:8" x14ac:dyDescent="0.25">
      <c r="E1984" t="str">
        <f>""</f>
        <v/>
      </c>
      <c r="F1984" t="str">
        <f>""</f>
        <v/>
      </c>
      <c r="H1984" t="str">
        <f t="shared" si="31"/>
        <v>GUARDIAN</v>
      </c>
    </row>
    <row r="1985" spans="5:8" x14ac:dyDescent="0.25">
      <c r="E1985" t="str">
        <f>""</f>
        <v/>
      </c>
      <c r="F1985" t="str">
        <f>""</f>
        <v/>
      </c>
      <c r="H1985" t="str">
        <f t="shared" si="31"/>
        <v>GUARDIAN</v>
      </c>
    </row>
    <row r="1986" spans="5:8" x14ac:dyDescent="0.25">
      <c r="E1986" t="str">
        <f>""</f>
        <v/>
      </c>
      <c r="F1986" t="str">
        <f>""</f>
        <v/>
      </c>
      <c r="H1986" t="str">
        <f t="shared" si="31"/>
        <v>GUARDIAN</v>
      </c>
    </row>
    <row r="1987" spans="5:8" x14ac:dyDescent="0.25">
      <c r="E1987" t="str">
        <f>""</f>
        <v/>
      </c>
      <c r="F1987" t="str">
        <f>""</f>
        <v/>
      </c>
      <c r="H1987" t="str">
        <f t="shared" si="31"/>
        <v>GUARDIAN</v>
      </c>
    </row>
    <row r="1988" spans="5:8" x14ac:dyDescent="0.25">
      <c r="E1988" t="str">
        <f>""</f>
        <v/>
      </c>
      <c r="F1988" t="str">
        <f>""</f>
        <v/>
      </c>
      <c r="H1988" t="str">
        <f t="shared" si="31"/>
        <v>GUARDIAN</v>
      </c>
    </row>
    <row r="1989" spans="5:8" x14ac:dyDescent="0.25">
      <c r="E1989" t="str">
        <f>""</f>
        <v/>
      </c>
      <c r="F1989" t="str">
        <f>""</f>
        <v/>
      </c>
      <c r="H1989" t="str">
        <f t="shared" si="31"/>
        <v>GUARDIAN</v>
      </c>
    </row>
    <row r="1990" spans="5:8" x14ac:dyDescent="0.25">
      <c r="E1990" t="str">
        <f>""</f>
        <v/>
      </c>
      <c r="F1990" t="str">
        <f>""</f>
        <v/>
      </c>
      <c r="H1990" t="str">
        <f t="shared" si="31"/>
        <v>GUARDIAN</v>
      </c>
    </row>
    <row r="1991" spans="5:8" x14ac:dyDescent="0.25">
      <c r="E1991" t="str">
        <f>""</f>
        <v/>
      </c>
      <c r="F1991" t="str">
        <f>""</f>
        <v/>
      </c>
      <c r="H1991" t="str">
        <f t="shared" si="31"/>
        <v>GUARDIAN</v>
      </c>
    </row>
    <row r="1992" spans="5:8" x14ac:dyDescent="0.25">
      <c r="E1992" t="str">
        <f>""</f>
        <v/>
      </c>
      <c r="F1992" t="str">
        <f>""</f>
        <v/>
      </c>
      <c r="H1992" t="str">
        <f t="shared" si="31"/>
        <v>GUARDIAN</v>
      </c>
    </row>
    <row r="1993" spans="5:8" x14ac:dyDescent="0.25">
      <c r="E1993" t="str">
        <f>""</f>
        <v/>
      </c>
      <c r="F1993" t="str">
        <f>""</f>
        <v/>
      </c>
      <c r="H1993" t="str">
        <f t="shared" si="31"/>
        <v>GUARDIAN</v>
      </c>
    </row>
    <row r="1994" spans="5:8" x14ac:dyDescent="0.25">
      <c r="E1994" t="str">
        <f>""</f>
        <v/>
      </c>
      <c r="F1994" t="str">
        <f>""</f>
        <v/>
      </c>
      <c r="H1994" t="str">
        <f t="shared" si="31"/>
        <v>GUARDIAN</v>
      </c>
    </row>
    <row r="1995" spans="5:8" x14ac:dyDescent="0.25">
      <c r="E1995" t="str">
        <f>""</f>
        <v/>
      </c>
      <c r="F1995" t="str">
        <f>""</f>
        <v/>
      </c>
      <c r="H1995" t="str">
        <f t="shared" si="31"/>
        <v>GUARDIAN</v>
      </c>
    </row>
    <row r="1996" spans="5:8" x14ac:dyDescent="0.25">
      <c r="E1996" t="str">
        <f>""</f>
        <v/>
      </c>
      <c r="F1996" t="str">
        <f>""</f>
        <v/>
      </c>
      <c r="H1996" t="str">
        <f t="shared" si="31"/>
        <v>GUARDIAN</v>
      </c>
    </row>
    <row r="1997" spans="5:8" x14ac:dyDescent="0.25">
      <c r="E1997" t="str">
        <f>"LIA201810314760"</f>
        <v>LIA201810314760</v>
      </c>
      <c r="F1997" t="str">
        <f>"GUARDIAN"</f>
        <v>GUARDIAN</v>
      </c>
      <c r="G1997" s="2">
        <v>40.799999999999997</v>
      </c>
      <c r="H1997" t="str">
        <f t="shared" si="31"/>
        <v>GUARDIAN</v>
      </c>
    </row>
    <row r="1998" spans="5:8" x14ac:dyDescent="0.25">
      <c r="E1998" t="str">
        <f>""</f>
        <v/>
      </c>
      <c r="F1998" t="str">
        <f>""</f>
        <v/>
      </c>
      <c r="H1998" t="str">
        <f t="shared" si="31"/>
        <v>GUARDIAN</v>
      </c>
    </row>
    <row r="1999" spans="5:8" x14ac:dyDescent="0.25">
      <c r="E1999" t="str">
        <f>"LIA201811145075"</f>
        <v>LIA201811145075</v>
      </c>
      <c r="F1999" t="str">
        <f>"GUARDIAN"</f>
        <v>GUARDIAN</v>
      </c>
      <c r="G1999" s="2">
        <v>223.4</v>
      </c>
      <c r="H1999" t="str">
        <f t="shared" si="31"/>
        <v>GUARDIAN</v>
      </c>
    </row>
    <row r="2000" spans="5:8" x14ac:dyDescent="0.25">
      <c r="E2000" t="str">
        <f>""</f>
        <v/>
      </c>
      <c r="F2000" t="str">
        <f>""</f>
        <v/>
      </c>
      <c r="H2000" t="str">
        <f t="shared" si="31"/>
        <v>GUARDIAN</v>
      </c>
    </row>
    <row r="2001" spans="5:8" x14ac:dyDescent="0.25">
      <c r="E2001" t="str">
        <f>""</f>
        <v/>
      </c>
      <c r="F2001" t="str">
        <f>""</f>
        <v/>
      </c>
      <c r="H2001" t="str">
        <f t="shared" si="31"/>
        <v>GUARDIAN</v>
      </c>
    </row>
    <row r="2002" spans="5:8" x14ac:dyDescent="0.25">
      <c r="E2002" t="str">
        <f>""</f>
        <v/>
      </c>
      <c r="F2002" t="str">
        <f>""</f>
        <v/>
      </c>
      <c r="H2002" t="str">
        <f t="shared" si="31"/>
        <v>GUARDIAN</v>
      </c>
    </row>
    <row r="2003" spans="5:8" x14ac:dyDescent="0.25">
      <c r="E2003" t="str">
        <f>""</f>
        <v/>
      </c>
      <c r="F2003" t="str">
        <f>""</f>
        <v/>
      </c>
      <c r="H2003" t="str">
        <f t="shared" si="31"/>
        <v>GUARDIAN</v>
      </c>
    </row>
    <row r="2004" spans="5:8" x14ac:dyDescent="0.25">
      <c r="E2004" t="str">
        <f>""</f>
        <v/>
      </c>
      <c r="F2004" t="str">
        <f>""</f>
        <v/>
      </c>
      <c r="H2004" t="str">
        <f t="shared" si="31"/>
        <v>GUARDIAN</v>
      </c>
    </row>
    <row r="2005" spans="5:8" x14ac:dyDescent="0.25">
      <c r="E2005" t="str">
        <f>""</f>
        <v/>
      </c>
      <c r="F2005" t="str">
        <f>""</f>
        <v/>
      </c>
      <c r="H2005" t="str">
        <f t="shared" si="31"/>
        <v>GUARDIAN</v>
      </c>
    </row>
    <row r="2006" spans="5:8" x14ac:dyDescent="0.25">
      <c r="E2006" t="str">
        <f>""</f>
        <v/>
      </c>
      <c r="F2006" t="str">
        <f>""</f>
        <v/>
      </c>
      <c r="H2006" t="str">
        <f t="shared" si="31"/>
        <v>GUARDIAN</v>
      </c>
    </row>
    <row r="2007" spans="5:8" x14ac:dyDescent="0.25">
      <c r="E2007" t="str">
        <f>""</f>
        <v/>
      </c>
      <c r="F2007" t="str">
        <f>""</f>
        <v/>
      </c>
      <c r="H2007" t="str">
        <f t="shared" ref="H2007:H2038" si="32">"GUARDIAN"</f>
        <v>GUARDIAN</v>
      </c>
    </row>
    <row r="2008" spans="5:8" x14ac:dyDescent="0.25">
      <c r="E2008" t="str">
        <f>""</f>
        <v/>
      </c>
      <c r="F2008" t="str">
        <f>""</f>
        <v/>
      </c>
      <c r="H2008" t="str">
        <f t="shared" si="32"/>
        <v>GUARDIAN</v>
      </c>
    </row>
    <row r="2009" spans="5:8" x14ac:dyDescent="0.25">
      <c r="E2009" t="str">
        <f>""</f>
        <v/>
      </c>
      <c r="F2009" t="str">
        <f>""</f>
        <v/>
      </c>
      <c r="H2009" t="str">
        <f t="shared" si="32"/>
        <v>GUARDIAN</v>
      </c>
    </row>
    <row r="2010" spans="5:8" x14ac:dyDescent="0.25">
      <c r="E2010" t="str">
        <f>""</f>
        <v/>
      </c>
      <c r="F2010" t="str">
        <f>""</f>
        <v/>
      </c>
      <c r="H2010" t="str">
        <f t="shared" si="32"/>
        <v>GUARDIAN</v>
      </c>
    </row>
    <row r="2011" spans="5:8" x14ac:dyDescent="0.25">
      <c r="E2011" t="str">
        <f>""</f>
        <v/>
      </c>
      <c r="F2011" t="str">
        <f>""</f>
        <v/>
      </c>
      <c r="H2011" t="str">
        <f t="shared" si="32"/>
        <v>GUARDIAN</v>
      </c>
    </row>
    <row r="2012" spans="5:8" x14ac:dyDescent="0.25">
      <c r="E2012" t="str">
        <f>""</f>
        <v/>
      </c>
      <c r="F2012" t="str">
        <f>""</f>
        <v/>
      </c>
      <c r="H2012" t="str">
        <f t="shared" si="32"/>
        <v>GUARDIAN</v>
      </c>
    </row>
    <row r="2013" spans="5:8" x14ac:dyDescent="0.25">
      <c r="E2013" t="str">
        <f>""</f>
        <v/>
      </c>
      <c r="F2013" t="str">
        <f>""</f>
        <v/>
      </c>
      <c r="H2013" t="str">
        <f t="shared" si="32"/>
        <v>GUARDIAN</v>
      </c>
    </row>
    <row r="2014" spans="5:8" x14ac:dyDescent="0.25">
      <c r="E2014" t="str">
        <f>""</f>
        <v/>
      </c>
      <c r="F2014" t="str">
        <f>""</f>
        <v/>
      </c>
      <c r="H2014" t="str">
        <f t="shared" si="32"/>
        <v>GUARDIAN</v>
      </c>
    </row>
    <row r="2015" spans="5:8" x14ac:dyDescent="0.25">
      <c r="E2015" t="str">
        <f>""</f>
        <v/>
      </c>
      <c r="F2015" t="str">
        <f>""</f>
        <v/>
      </c>
      <c r="H2015" t="str">
        <f t="shared" si="32"/>
        <v>GUARDIAN</v>
      </c>
    </row>
    <row r="2016" spans="5:8" x14ac:dyDescent="0.25">
      <c r="E2016" t="str">
        <f>""</f>
        <v/>
      </c>
      <c r="F2016" t="str">
        <f>""</f>
        <v/>
      </c>
      <c r="H2016" t="str">
        <f t="shared" si="32"/>
        <v>GUARDIAN</v>
      </c>
    </row>
    <row r="2017" spans="5:8" x14ac:dyDescent="0.25">
      <c r="E2017" t="str">
        <f>""</f>
        <v/>
      </c>
      <c r="F2017" t="str">
        <f>""</f>
        <v/>
      </c>
      <c r="H2017" t="str">
        <f t="shared" si="32"/>
        <v>GUARDIAN</v>
      </c>
    </row>
    <row r="2018" spans="5:8" x14ac:dyDescent="0.25">
      <c r="E2018" t="str">
        <f>""</f>
        <v/>
      </c>
      <c r="F2018" t="str">
        <f>""</f>
        <v/>
      </c>
      <c r="H2018" t="str">
        <f t="shared" si="32"/>
        <v>GUARDIAN</v>
      </c>
    </row>
    <row r="2019" spans="5:8" x14ac:dyDescent="0.25">
      <c r="E2019" t="str">
        <f>""</f>
        <v/>
      </c>
      <c r="F2019" t="str">
        <f>""</f>
        <v/>
      </c>
      <c r="H2019" t="str">
        <f t="shared" si="32"/>
        <v>GUARDIAN</v>
      </c>
    </row>
    <row r="2020" spans="5:8" x14ac:dyDescent="0.25">
      <c r="E2020" t="str">
        <f>""</f>
        <v/>
      </c>
      <c r="F2020" t="str">
        <f>""</f>
        <v/>
      </c>
      <c r="H2020" t="str">
        <f t="shared" si="32"/>
        <v>GUARDIAN</v>
      </c>
    </row>
    <row r="2021" spans="5:8" x14ac:dyDescent="0.25">
      <c r="E2021" t="str">
        <f>"LIA201811145076"</f>
        <v>LIA201811145076</v>
      </c>
      <c r="F2021" t="str">
        <f>"GUARDIAN"</f>
        <v>GUARDIAN</v>
      </c>
      <c r="G2021" s="2">
        <v>40.799999999999997</v>
      </c>
      <c r="H2021" t="str">
        <f t="shared" si="32"/>
        <v>GUARDIAN</v>
      </c>
    </row>
    <row r="2022" spans="5:8" x14ac:dyDescent="0.25">
      <c r="E2022" t="str">
        <f>""</f>
        <v/>
      </c>
      <c r="F2022" t="str">
        <f>""</f>
        <v/>
      </c>
      <c r="H2022" t="str">
        <f t="shared" si="32"/>
        <v>GUARDIAN</v>
      </c>
    </row>
    <row r="2023" spans="5:8" x14ac:dyDescent="0.25">
      <c r="E2023" t="str">
        <f>"LIC201810314759"</f>
        <v>LIC201810314759</v>
      </c>
      <c r="F2023" t="str">
        <f>"GUARDIAN"</f>
        <v>GUARDIAN</v>
      </c>
      <c r="G2023" s="2">
        <v>34.6</v>
      </c>
      <c r="H2023" t="str">
        <f t="shared" si="32"/>
        <v>GUARDIAN</v>
      </c>
    </row>
    <row r="2024" spans="5:8" x14ac:dyDescent="0.25">
      <c r="E2024" t="str">
        <f>"LIC201810314760"</f>
        <v>LIC201810314760</v>
      </c>
      <c r="F2024" t="str">
        <f>"GUARDIAN"</f>
        <v>GUARDIAN</v>
      </c>
      <c r="G2024" s="2">
        <v>1.05</v>
      </c>
      <c r="H2024" t="str">
        <f t="shared" si="32"/>
        <v>GUARDIAN</v>
      </c>
    </row>
    <row r="2025" spans="5:8" x14ac:dyDescent="0.25">
      <c r="E2025" t="str">
        <f>"LIC201811145075"</f>
        <v>LIC201811145075</v>
      </c>
      <c r="F2025" t="str">
        <f>"GUARDIAN"</f>
        <v>GUARDIAN</v>
      </c>
      <c r="G2025" s="2">
        <v>34.6</v>
      </c>
      <c r="H2025" t="str">
        <f t="shared" si="32"/>
        <v>GUARDIAN</v>
      </c>
    </row>
    <row r="2026" spans="5:8" x14ac:dyDescent="0.25">
      <c r="E2026" t="str">
        <f>"LIC201811145076"</f>
        <v>LIC201811145076</v>
      </c>
      <c r="F2026" t="str">
        <f>"GUARDIAN"</f>
        <v>GUARDIAN</v>
      </c>
      <c r="G2026" s="2">
        <v>1.05</v>
      </c>
      <c r="H2026" t="str">
        <f t="shared" si="32"/>
        <v>GUARDIAN</v>
      </c>
    </row>
    <row r="2027" spans="5:8" x14ac:dyDescent="0.25">
      <c r="E2027" t="str">
        <f>"LIE201810314759"</f>
        <v>LIE201810314759</v>
      </c>
      <c r="F2027" t="str">
        <f>"GUARDIAN"</f>
        <v>GUARDIAN</v>
      </c>
      <c r="G2027" s="2">
        <v>3415.6</v>
      </c>
      <c r="H2027" t="str">
        <f t="shared" si="32"/>
        <v>GUARDIAN</v>
      </c>
    </row>
    <row r="2028" spans="5:8" x14ac:dyDescent="0.25">
      <c r="E2028" t="str">
        <f>""</f>
        <v/>
      </c>
      <c r="F2028" t="str">
        <f>""</f>
        <v/>
      </c>
      <c r="H2028" t="str">
        <f t="shared" si="32"/>
        <v>GUARDIAN</v>
      </c>
    </row>
    <row r="2029" spans="5:8" x14ac:dyDescent="0.25">
      <c r="E2029" t="str">
        <f>""</f>
        <v/>
      </c>
      <c r="F2029" t="str">
        <f>""</f>
        <v/>
      </c>
      <c r="H2029" t="str">
        <f t="shared" si="32"/>
        <v>GUARDIAN</v>
      </c>
    </row>
    <row r="2030" spans="5:8" x14ac:dyDescent="0.25">
      <c r="E2030" t="str">
        <f>""</f>
        <v/>
      </c>
      <c r="F2030" t="str">
        <f>""</f>
        <v/>
      </c>
      <c r="H2030" t="str">
        <f t="shared" si="32"/>
        <v>GUARDIAN</v>
      </c>
    </row>
    <row r="2031" spans="5:8" x14ac:dyDescent="0.25">
      <c r="E2031" t="str">
        <f>""</f>
        <v/>
      </c>
      <c r="F2031" t="str">
        <f>""</f>
        <v/>
      </c>
      <c r="H2031" t="str">
        <f t="shared" si="32"/>
        <v>GUARDIAN</v>
      </c>
    </row>
    <row r="2032" spans="5:8" x14ac:dyDescent="0.25">
      <c r="E2032" t="str">
        <f>""</f>
        <v/>
      </c>
      <c r="F2032" t="str">
        <f>""</f>
        <v/>
      </c>
      <c r="H2032" t="str">
        <f t="shared" si="32"/>
        <v>GUARDIAN</v>
      </c>
    </row>
    <row r="2033" spans="5:8" x14ac:dyDescent="0.25">
      <c r="E2033" t="str">
        <f>""</f>
        <v/>
      </c>
      <c r="F2033" t="str">
        <f>""</f>
        <v/>
      </c>
      <c r="H2033" t="str">
        <f t="shared" si="32"/>
        <v>GUARDIAN</v>
      </c>
    </row>
    <row r="2034" spans="5:8" x14ac:dyDescent="0.25">
      <c r="E2034" t="str">
        <f>""</f>
        <v/>
      </c>
      <c r="F2034" t="str">
        <f>""</f>
        <v/>
      </c>
      <c r="H2034" t="str">
        <f t="shared" si="32"/>
        <v>GUARDIAN</v>
      </c>
    </row>
    <row r="2035" spans="5:8" x14ac:dyDescent="0.25">
      <c r="E2035" t="str">
        <f>""</f>
        <v/>
      </c>
      <c r="F2035" t="str">
        <f>""</f>
        <v/>
      </c>
      <c r="H2035" t="str">
        <f t="shared" si="32"/>
        <v>GUARDIAN</v>
      </c>
    </row>
    <row r="2036" spans="5:8" x14ac:dyDescent="0.25">
      <c r="E2036" t="str">
        <f>""</f>
        <v/>
      </c>
      <c r="F2036" t="str">
        <f>""</f>
        <v/>
      </c>
      <c r="H2036" t="str">
        <f t="shared" si="32"/>
        <v>GUARDIAN</v>
      </c>
    </row>
    <row r="2037" spans="5:8" x14ac:dyDescent="0.25">
      <c r="E2037" t="str">
        <f>""</f>
        <v/>
      </c>
      <c r="F2037" t="str">
        <f>""</f>
        <v/>
      </c>
      <c r="H2037" t="str">
        <f t="shared" si="32"/>
        <v>GUARDIAN</v>
      </c>
    </row>
    <row r="2038" spans="5:8" x14ac:dyDescent="0.25">
      <c r="E2038" t="str">
        <f>""</f>
        <v/>
      </c>
      <c r="F2038" t="str">
        <f>""</f>
        <v/>
      </c>
      <c r="H2038" t="str">
        <f t="shared" si="32"/>
        <v>GUARDIAN</v>
      </c>
    </row>
    <row r="2039" spans="5:8" x14ac:dyDescent="0.25">
      <c r="E2039" t="str">
        <f>""</f>
        <v/>
      </c>
      <c r="F2039" t="str">
        <f>""</f>
        <v/>
      </c>
      <c r="H2039" t="str">
        <f t="shared" ref="H2039:H2070" si="33">"GUARDIAN"</f>
        <v>GUARDIAN</v>
      </c>
    </row>
    <row r="2040" spans="5:8" x14ac:dyDescent="0.25">
      <c r="E2040" t="str">
        <f>""</f>
        <v/>
      </c>
      <c r="F2040" t="str">
        <f>""</f>
        <v/>
      </c>
      <c r="H2040" t="str">
        <f t="shared" si="33"/>
        <v>GUARDIAN</v>
      </c>
    </row>
    <row r="2041" spans="5:8" x14ac:dyDescent="0.25">
      <c r="E2041" t="str">
        <f>""</f>
        <v/>
      </c>
      <c r="F2041" t="str">
        <f>""</f>
        <v/>
      </c>
      <c r="H2041" t="str">
        <f t="shared" si="33"/>
        <v>GUARDIAN</v>
      </c>
    </row>
    <row r="2042" spans="5:8" x14ac:dyDescent="0.25">
      <c r="E2042" t="str">
        <f>""</f>
        <v/>
      </c>
      <c r="F2042" t="str">
        <f>""</f>
        <v/>
      </c>
      <c r="H2042" t="str">
        <f t="shared" si="33"/>
        <v>GUARDIAN</v>
      </c>
    </row>
    <row r="2043" spans="5:8" x14ac:dyDescent="0.25">
      <c r="E2043" t="str">
        <f>""</f>
        <v/>
      </c>
      <c r="F2043" t="str">
        <f>""</f>
        <v/>
      </c>
      <c r="H2043" t="str">
        <f t="shared" si="33"/>
        <v>GUARDIAN</v>
      </c>
    </row>
    <row r="2044" spans="5:8" x14ac:dyDescent="0.25">
      <c r="E2044" t="str">
        <f>""</f>
        <v/>
      </c>
      <c r="F2044" t="str">
        <f>""</f>
        <v/>
      </c>
      <c r="H2044" t="str">
        <f t="shared" si="33"/>
        <v>GUARDIAN</v>
      </c>
    </row>
    <row r="2045" spans="5:8" x14ac:dyDescent="0.25">
      <c r="E2045" t="str">
        <f>""</f>
        <v/>
      </c>
      <c r="F2045" t="str">
        <f>""</f>
        <v/>
      </c>
      <c r="H2045" t="str">
        <f t="shared" si="33"/>
        <v>GUARDIAN</v>
      </c>
    </row>
    <row r="2046" spans="5:8" x14ac:dyDescent="0.25">
      <c r="E2046" t="str">
        <f>""</f>
        <v/>
      </c>
      <c r="F2046" t="str">
        <f>""</f>
        <v/>
      </c>
      <c r="H2046" t="str">
        <f t="shared" si="33"/>
        <v>GUARDIAN</v>
      </c>
    </row>
    <row r="2047" spans="5:8" x14ac:dyDescent="0.25">
      <c r="E2047" t="str">
        <f>""</f>
        <v/>
      </c>
      <c r="F2047" t="str">
        <f>""</f>
        <v/>
      </c>
      <c r="H2047" t="str">
        <f t="shared" si="33"/>
        <v>GUARDIAN</v>
      </c>
    </row>
    <row r="2048" spans="5:8" x14ac:dyDescent="0.25">
      <c r="E2048" t="str">
        <f>""</f>
        <v/>
      </c>
      <c r="F2048" t="str">
        <f>""</f>
        <v/>
      </c>
      <c r="H2048" t="str">
        <f t="shared" si="33"/>
        <v>GUARDIAN</v>
      </c>
    </row>
    <row r="2049" spans="5:8" x14ac:dyDescent="0.25">
      <c r="E2049" t="str">
        <f>""</f>
        <v/>
      </c>
      <c r="F2049" t="str">
        <f>""</f>
        <v/>
      </c>
      <c r="H2049" t="str">
        <f t="shared" si="33"/>
        <v>GUARDIAN</v>
      </c>
    </row>
    <row r="2050" spans="5:8" x14ac:dyDescent="0.25">
      <c r="E2050" t="str">
        <f>""</f>
        <v/>
      </c>
      <c r="F2050" t="str">
        <f>""</f>
        <v/>
      </c>
      <c r="H2050" t="str">
        <f t="shared" si="33"/>
        <v>GUARDIAN</v>
      </c>
    </row>
    <row r="2051" spans="5:8" x14ac:dyDescent="0.25">
      <c r="E2051" t="str">
        <f>""</f>
        <v/>
      </c>
      <c r="F2051" t="str">
        <f>""</f>
        <v/>
      </c>
      <c r="H2051" t="str">
        <f t="shared" si="33"/>
        <v>GUARDIAN</v>
      </c>
    </row>
    <row r="2052" spans="5:8" x14ac:dyDescent="0.25">
      <c r="E2052" t="str">
        <f>""</f>
        <v/>
      </c>
      <c r="F2052" t="str">
        <f>""</f>
        <v/>
      </c>
      <c r="H2052" t="str">
        <f t="shared" si="33"/>
        <v>GUARDIAN</v>
      </c>
    </row>
    <row r="2053" spans="5:8" x14ac:dyDescent="0.25">
      <c r="E2053" t="str">
        <f>""</f>
        <v/>
      </c>
      <c r="F2053" t="str">
        <f>""</f>
        <v/>
      </c>
      <c r="H2053" t="str">
        <f t="shared" si="33"/>
        <v>GUARDIAN</v>
      </c>
    </row>
    <row r="2054" spans="5:8" x14ac:dyDescent="0.25">
      <c r="E2054" t="str">
        <f>""</f>
        <v/>
      </c>
      <c r="F2054" t="str">
        <f>""</f>
        <v/>
      </c>
      <c r="H2054" t="str">
        <f t="shared" si="33"/>
        <v>GUARDIAN</v>
      </c>
    </row>
    <row r="2055" spans="5:8" x14ac:dyDescent="0.25">
      <c r="E2055" t="str">
        <f>""</f>
        <v/>
      </c>
      <c r="F2055" t="str">
        <f>""</f>
        <v/>
      </c>
      <c r="H2055" t="str">
        <f t="shared" si="33"/>
        <v>GUARDIAN</v>
      </c>
    </row>
    <row r="2056" spans="5:8" x14ac:dyDescent="0.25">
      <c r="E2056" t="str">
        <f>""</f>
        <v/>
      </c>
      <c r="F2056" t="str">
        <f>""</f>
        <v/>
      </c>
      <c r="H2056" t="str">
        <f t="shared" si="33"/>
        <v>GUARDIAN</v>
      </c>
    </row>
    <row r="2057" spans="5:8" x14ac:dyDescent="0.25">
      <c r="E2057" t="str">
        <f>""</f>
        <v/>
      </c>
      <c r="F2057" t="str">
        <f>""</f>
        <v/>
      </c>
      <c r="H2057" t="str">
        <f t="shared" si="33"/>
        <v>GUARDIAN</v>
      </c>
    </row>
    <row r="2058" spans="5:8" x14ac:dyDescent="0.25">
      <c r="E2058" t="str">
        <f>""</f>
        <v/>
      </c>
      <c r="F2058" t="str">
        <f>""</f>
        <v/>
      </c>
      <c r="H2058" t="str">
        <f t="shared" si="33"/>
        <v>GUARDIAN</v>
      </c>
    </row>
    <row r="2059" spans="5:8" x14ac:dyDescent="0.25">
      <c r="E2059" t="str">
        <f>""</f>
        <v/>
      </c>
      <c r="F2059" t="str">
        <f>""</f>
        <v/>
      </c>
      <c r="H2059" t="str">
        <f t="shared" si="33"/>
        <v>GUARDIAN</v>
      </c>
    </row>
    <row r="2060" spans="5:8" x14ac:dyDescent="0.25">
      <c r="E2060" t="str">
        <f>""</f>
        <v/>
      </c>
      <c r="F2060" t="str">
        <f>""</f>
        <v/>
      </c>
      <c r="H2060" t="str">
        <f t="shared" si="33"/>
        <v>GUARDIAN</v>
      </c>
    </row>
    <row r="2061" spans="5:8" x14ac:dyDescent="0.25">
      <c r="E2061" t="str">
        <f>""</f>
        <v/>
      </c>
      <c r="F2061" t="str">
        <f>""</f>
        <v/>
      </c>
      <c r="H2061" t="str">
        <f t="shared" si="33"/>
        <v>GUARDIAN</v>
      </c>
    </row>
    <row r="2062" spans="5:8" x14ac:dyDescent="0.25">
      <c r="E2062" t="str">
        <f>""</f>
        <v/>
      </c>
      <c r="F2062" t="str">
        <f>""</f>
        <v/>
      </c>
      <c r="H2062" t="str">
        <f t="shared" si="33"/>
        <v>GUARDIAN</v>
      </c>
    </row>
    <row r="2063" spans="5:8" x14ac:dyDescent="0.25">
      <c r="E2063" t="str">
        <f>""</f>
        <v/>
      </c>
      <c r="F2063" t="str">
        <f>""</f>
        <v/>
      </c>
      <c r="H2063" t="str">
        <f t="shared" si="33"/>
        <v>GUARDIAN</v>
      </c>
    </row>
    <row r="2064" spans="5:8" x14ac:dyDescent="0.25">
      <c r="E2064" t="str">
        <f>""</f>
        <v/>
      </c>
      <c r="F2064" t="str">
        <f>""</f>
        <v/>
      </c>
      <c r="H2064" t="str">
        <f t="shared" si="33"/>
        <v>GUARDIAN</v>
      </c>
    </row>
    <row r="2065" spans="5:8" x14ac:dyDescent="0.25">
      <c r="E2065" t="str">
        <f>""</f>
        <v/>
      </c>
      <c r="F2065" t="str">
        <f>""</f>
        <v/>
      </c>
      <c r="H2065" t="str">
        <f t="shared" si="33"/>
        <v>GUARDIAN</v>
      </c>
    </row>
    <row r="2066" spans="5:8" x14ac:dyDescent="0.25">
      <c r="E2066" t="str">
        <f>""</f>
        <v/>
      </c>
      <c r="F2066" t="str">
        <f>""</f>
        <v/>
      </c>
      <c r="H2066" t="str">
        <f t="shared" si="33"/>
        <v>GUARDIAN</v>
      </c>
    </row>
    <row r="2067" spans="5:8" x14ac:dyDescent="0.25">
      <c r="E2067" t="str">
        <f>""</f>
        <v/>
      </c>
      <c r="F2067" t="str">
        <f>""</f>
        <v/>
      </c>
      <c r="H2067" t="str">
        <f t="shared" si="33"/>
        <v>GUARDIAN</v>
      </c>
    </row>
    <row r="2068" spans="5:8" x14ac:dyDescent="0.25">
      <c r="E2068" t="str">
        <f>""</f>
        <v/>
      </c>
      <c r="F2068" t="str">
        <f>""</f>
        <v/>
      </c>
      <c r="H2068" t="str">
        <f t="shared" si="33"/>
        <v>GUARDIAN</v>
      </c>
    </row>
    <row r="2069" spans="5:8" x14ac:dyDescent="0.25">
      <c r="E2069" t="str">
        <f>""</f>
        <v/>
      </c>
      <c r="F2069" t="str">
        <f>""</f>
        <v/>
      </c>
      <c r="H2069" t="str">
        <f t="shared" si="33"/>
        <v>GUARDIAN</v>
      </c>
    </row>
    <row r="2070" spans="5:8" x14ac:dyDescent="0.25">
      <c r="E2070" t="str">
        <f>""</f>
        <v/>
      </c>
      <c r="F2070" t="str">
        <f>""</f>
        <v/>
      </c>
      <c r="H2070" t="str">
        <f t="shared" si="33"/>
        <v>GUARDIAN</v>
      </c>
    </row>
    <row r="2071" spans="5:8" x14ac:dyDescent="0.25">
      <c r="E2071" t="str">
        <f>""</f>
        <v/>
      </c>
      <c r="F2071" t="str">
        <f>""</f>
        <v/>
      </c>
      <c r="H2071" t="str">
        <f t="shared" ref="H2071:H2102" si="34">"GUARDIAN"</f>
        <v>GUARDIAN</v>
      </c>
    </row>
    <row r="2072" spans="5:8" x14ac:dyDescent="0.25">
      <c r="E2072" t="str">
        <f>""</f>
        <v/>
      </c>
      <c r="F2072" t="str">
        <f>""</f>
        <v/>
      </c>
      <c r="H2072" t="str">
        <f t="shared" si="34"/>
        <v>GUARDIAN</v>
      </c>
    </row>
    <row r="2073" spans="5:8" x14ac:dyDescent="0.25">
      <c r="E2073" t="str">
        <f>"LIE201810314760"</f>
        <v>LIE201810314760</v>
      </c>
      <c r="F2073" t="str">
        <f>"GUARDIAN"</f>
        <v>GUARDIAN</v>
      </c>
      <c r="G2073" s="2">
        <v>80.849999999999994</v>
      </c>
      <c r="H2073" t="str">
        <f t="shared" si="34"/>
        <v>GUARDIAN</v>
      </c>
    </row>
    <row r="2074" spans="5:8" x14ac:dyDescent="0.25">
      <c r="E2074" t="str">
        <f>""</f>
        <v/>
      </c>
      <c r="F2074" t="str">
        <f>""</f>
        <v/>
      </c>
      <c r="H2074" t="str">
        <f t="shared" si="34"/>
        <v>GUARDIAN</v>
      </c>
    </row>
    <row r="2075" spans="5:8" x14ac:dyDescent="0.25">
      <c r="E2075" t="str">
        <f>"LIE201811145075"</f>
        <v>LIE201811145075</v>
      </c>
      <c r="F2075" t="str">
        <f>"GUARDIAN"</f>
        <v>GUARDIAN</v>
      </c>
      <c r="G2075" s="2">
        <v>3407.25</v>
      </c>
      <c r="H2075" t="str">
        <f t="shared" si="34"/>
        <v>GUARDIAN</v>
      </c>
    </row>
    <row r="2076" spans="5:8" x14ac:dyDescent="0.25">
      <c r="E2076" t="str">
        <f>""</f>
        <v/>
      </c>
      <c r="F2076" t="str">
        <f>""</f>
        <v/>
      </c>
      <c r="H2076" t="str">
        <f t="shared" si="34"/>
        <v>GUARDIAN</v>
      </c>
    </row>
    <row r="2077" spans="5:8" x14ac:dyDescent="0.25">
      <c r="E2077" t="str">
        <f>""</f>
        <v/>
      </c>
      <c r="F2077" t="str">
        <f>""</f>
        <v/>
      </c>
      <c r="H2077" t="str">
        <f t="shared" si="34"/>
        <v>GUARDIAN</v>
      </c>
    </row>
    <row r="2078" spans="5:8" x14ac:dyDescent="0.25">
      <c r="E2078" t="str">
        <f>""</f>
        <v/>
      </c>
      <c r="F2078" t="str">
        <f>""</f>
        <v/>
      </c>
      <c r="H2078" t="str">
        <f t="shared" si="34"/>
        <v>GUARDIAN</v>
      </c>
    </row>
    <row r="2079" spans="5:8" x14ac:dyDescent="0.25">
      <c r="E2079" t="str">
        <f>""</f>
        <v/>
      </c>
      <c r="F2079" t="str">
        <f>""</f>
        <v/>
      </c>
      <c r="H2079" t="str">
        <f t="shared" si="34"/>
        <v>GUARDIAN</v>
      </c>
    </row>
    <row r="2080" spans="5:8" x14ac:dyDescent="0.25">
      <c r="E2080" t="str">
        <f>""</f>
        <v/>
      </c>
      <c r="F2080" t="str">
        <f>""</f>
        <v/>
      </c>
      <c r="H2080" t="str">
        <f t="shared" si="34"/>
        <v>GUARDIAN</v>
      </c>
    </row>
    <row r="2081" spans="5:8" x14ac:dyDescent="0.25">
      <c r="E2081" t="str">
        <f>""</f>
        <v/>
      </c>
      <c r="F2081" t="str">
        <f>""</f>
        <v/>
      </c>
      <c r="H2081" t="str">
        <f t="shared" si="34"/>
        <v>GUARDIAN</v>
      </c>
    </row>
    <row r="2082" spans="5:8" x14ac:dyDescent="0.25">
      <c r="E2082" t="str">
        <f>""</f>
        <v/>
      </c>
      <c r="F2082" t="str">
        <f>""</f>
        <v/>
      </c>
      <c r="H2082" t="str">
        <f t="shared" si="34"/>
        <v>GUARDIAN</v>
      </c>
    </row>
    <row r="2083" spans="5:8" x14ac:dyDescent="0.25">
      <c r="E2083" t="str">
        <f>""</f>
        <v/>
      </c>
      <c r="F2083" t="str">
        <f>""</f>
        <v/>
      </c>
      <c r="H2083" t="str">
        <f t="shared" si="34"/>
        <v>GUARDIAN</v>
      </c>
    </row>
    <row r="2084" spans="5:8" x14ac:dyDescent="0.25">
      <c r="E2084" t="str">
        <f>""</f>
        <v/>
      </c>
      <c r="F2084" t="str">
        <f>""</f>
        <v/>
      </c>
      <c r="H2084" t="str">
        <f t="shared" si="34"/>
        <v>GUARDIAN</v>
      </c>
    </row>
    <row r="2085" spans="5:8" x14ac:dyDescent="0.25">
      <c r="E2085" t="str">
        <f>""</f>
        <v/>
      </c>
      <c r="F2085" t="str">
        <f>""</f>
        <v/>
      </c>
      <c r="H2085" t="str">
        <f t="shared" si="34"/>
        <v>GUARDIAN</v>
      </c>
    </row>
    <row r="2086" spans="5:8" x14ac:dyDescent="0.25">
      <c r="E2086" t="str">
        <f>""</f>
        <v/>
      </c>
      <c r="F2086" t="str">
        <f>""</f>
        <v/>
      </c>
      <c r="H2086" t="str">
        <f t="shared" si="34"/>
        <v>GUARDIAN</v>
      </c>
    </row>
    <row r="2087" spans="5:8" x14ac:dyDescent="0.25">
      <c r="E2087" t="str">
        <f>""</f>
        <v/>
      </c>
      <c r="F2087" t="str">
        <f>""</f>
        <v/>
      </c>
      <c r="H2087" t="str">
        <f t="shared" si="34"/>
        <v>GUARDIAN</v>
      </c>
    </row>
    <row r="2088" spans="5:8" x14ac:dyDescent="0.25">
      <c r="E2088" t="str">
        <f>""</f>
        <v/>
      </c>
      <c r="F2088" t="str">
        <f>""</f>
        <v/>
      </c>
      <c r="H2088" t="str">
        <f t="shared" si="34"/>
        <v>GUARDIAN</v>
      </c>
    </row>
    <row r="2089" spans="5:8" x14ac:dyDescent="0.25">
      <c r="E2089" t="str">
        <f>""</f>
        <v/>
      </c>
      <c r="F2089" t="str">
        <f>""</f>
        <v/>
      </c>
      <c r="H2089" t="str">
        <f t="shared" si="34"/>
        <v>GUARDIAN</v>
      </c>
    </row>
    <row r="2090" spans="5:8" x14ac:dyDescent="0.25">
      <c r="E2090" t="str">
        <f>""</f>
        <v/>
      </c>
      <c r="F2090" t="str">
        <f>""</f>
        <v/>
      </c>
      <c r="H2090" t="str">
        <f t="shared" si="34"/>
        <v>GUARDIAN</v>
      </c>
    </row>
    <row r="2091" spans="5:8" x14ac:dyDescent="0.25">
      <c r="E2091" t="str">
        <f>""</f>
        <v/>
      </c>
      <c r="F2091" t="str">
        <f>""</f>
        <v/>
      </c>
      <c r="H2091" t="str">
        <f t="shared" si="34"/>
        <v>GUARDIAN</v>
      </c>
    </row>
    <row r="2092" spans="5:8" x14ac:dyDescent="0.25">
      <c r="E2092" t="str">
        <f>""</f>
        <v/>
      </c>
      <c r="F2092" t="str">
        <f>""</f>
        <v/>
      </c>
      <c r="H2092" t="str">
        <f t="shared" si="34"/>
        <v>GUARDIAN</v>
      </c>
    </row>
    <row r="2093" spans="5:8" x14ac:dyDescent="0.25">
      <c r="E2093" t="str">
        <f>""</f>
        <v/>
      </c>
      <c r="F2093" t="str">
        <f>""</f>
        <v/>
      </c>
      <c r="H2093" t="str">
        <f t="shared" si="34"/>
        <v>GUARDIAN</v>
      </c>
    </row>
    <row r="2094" spans="5:8" x14ac:dyDescent="0.25">
      <c r="E2094" t="str">
        <f>""</f>
        <v/>
      </c>
      <c r="F2094" t="str">
        <f>""</f>
        <v/>
      </c>
      <c r="H2094" t="str">
        <f t="shared" si="34"/>
        <v>GUARDIAN</v>
      </c>
    </row>
    <row r="2095" spans="5:8" x14ac:dyDescent="0.25">
      <c r="E2095" t="str">
        <f>""</f>
        <v/>
      </c>
      <c r="F2095" t="str">
        <f>""</f>
        <v/>
      </c>
      <c r="H2095" t="str">
        <f t="shared" si="34"/>
        <v>GUARDIAN</v>
      </c>
    </row>
    <row r="2096" spans="5:8" x14ac:dyDescent="0.25">
      <c r="E2096" t="str">
        <f>""</f>
        <v/>
      </c>
      <c r="F2096" t="str">
        <f>""</f>
        <v/>
      </c>
      <c r="H2096" t="str">
        <f t="shared" si="34"/>
        <v>GUARDIAN</v>
      </c>
    </row>
    <row r="2097" spans="5:8" x14ac:dyDescent="0.25">
      <c r="E2097" t="str">
        <f>""</f>
        <v/>
      </c>
      <c r="F2097" t="str">
        <f>""</f>
        <v/>
      </c>
      <c r="H2097" t="str">
        <f t="shared" si="34"/>
        <v>GUARDIAN</v>
      </c>
    </row>
    <row r="2098" spans="5:8" x14ac:dyDescent="0.25">
      <c r="E2098" t="str">
        <f>""</f>
        <v/>
      </c>
      <c r="F2098" t="str">
        <f>""</f>
        <v/>
      </c>
      <c r="H2098" t="str">
        <f t="shared" si="34"/>
        <v>GUARDIAN</v>
      </c>
    </row>
    <row r="2099" spans="5:8" x14ac:dyDescent="0.25">
      <c r="E2099" t="str">
        <f>""</f>
        <v/>
      </c>
      <c r="F2099" t="str">
        <f>""</f>
        <v/>
      </c>
      <c r="H2099" t="str">
        <f t="shared" si="34"/>
        <v>GUARDIAN</v>
      </c>
    </row>
    <row r="2100" spans="5:8" x14ac:dyDescent="0.25">
      <c r="E2100" t="str">
        <f>""</f>
        <v/>
      </c>
      <c r="F2100" t="str">
        <f>""</f>
        <v/>
      </c>
      <c r="H2100" t="str">
        <f t="shared" si="34"/>
        <v>GUARDIAN</v>
      </c>
    </row>
    <row r="2101" spans="5:8" x14ac:dyDescent="0.25">
      <c r="E2101" t="str">
        <f>""</f>
        <v/>
      </c>
      <c r="F2101" t="str">
        <f>""</f>
        <v/>
      </c>
      <c r="H2101" t="str">
        <f t="shared" si="34"/>
        <v>GUARDIAN</v>
      </c>
    </row>
    <row r="2102" spans="5:8" x14ac:dyDescent="0.25">
      <c r="E2102" t="str">
        <f>""</f>
        <v/>
      </c>
      <c r="F2102" t="str">
        <f>""</f>
        <v/>
      </c>
      <c r="H2102" t="str">
        <f t="shared" si="34"/>
        <v>GUARDIAN</v>
      </c>
    </row>
    <row r="2103" spans="5:8" x14ac:dyDescent="0.25">
      <c r="E2103" t="str">
        <f>""</f>
        <v/>
      </c>
      <c r="F2103" t="str">
        <f>""</f>
        <v/>
      </c>
      <c r="H2103" t="str">
        <f t="shared" ref="H2103:H2133" si="35">"GUARDIAN"</f>
        <v>GUARDIAN</v>
      </c>
    </row>
    <row r="2104" spans="5:8" x14ac:dyDescent="0.25">
      <c r="E2104" t="str">
        <f>""</f>
        <v/>
      </c>
      <c r="F2104" t="str">
        <f>""</f>
        <v/>
      </c>
      <c r="H2104" t="str">
        <f t="shared" si="35"/>
        <v>GUARDIAN</v>
      </c>
    </row>
    <row r="2105" spans="5:8" x14ac:dyDescent="0.25">
      <c r="E2105" t="str">
        <f>""</f>
        <v/>
      </c>
      <c r="F2105" t="str">
        <f>""</f>
        <v/>
      </c>
      <c r="H2105" t="str">
        <f t="shared" si="35"/>
        <v>GUARDIAN</v>
      </c>
    </row>
    <row r="2106" spans="5:8" x14ac:dyDescent="0.25">
      <c r="E2106" t="str">
        <f>""</f>
        <v/>
      </c>
      <c r="F2106" t="str">
        <f>""</f>
        <v/>
      </c>
      <c r="H2106" t="str">
        <f t="shared" si="35"/>
        <v>GUARDIAN</v>
      </c>
    </row>
    <row r="2107" spans="5:8" x14ac:dyDescent="0.25">
      <c r="E2107" t="str">
        <f>""</f>
        <v/>
      </c>
      <c r="F2107" t="str">
        <f>""</f>
        <v/>
      </c>
      <c r="H2107" t="str">
        <f t="shared" si="35"/>
        <v>GUARDIAN</v>
      </c>
    </row>
    <row r="2108" spans="5:8" x14ac:dyDescent="0.25">
      <c r="E2108" t="str">
        <f>""</f>
        <v/>
      </c>
      <c r="F2108" t="str">
        <f>""</f>
        <v/>
      </c>
      <c r="H2108" t="str">
        <f t="shared" si="35"/>
        <v>GUARDIAN</v>
      </c>
    </row>
    <row r="2109" spans="5:8" x14ac:dyDescent="0.25">
      <c r="E2109" t="str">
        <f>""</f>
        <v/>
      </c>
      <c r="F2109" t="str">
        <f>""</f>
        <v/>
      </c>
      <c r="H2109" t="str">
        <f t="shared" si="35"/>
        <v>GUARDIAN</v>
      </c>
    </row>
    <row r="2110" spans="5:8" x14ac:dyDescent="0.25">
      <c r="E2110" t="str">
        <f>""</f>
        <v/>
      </c>
      <c r="F2110" t="str">
        <f>""</f>
        <v/>
      </c>
      <c r="H2110" t="str">
        <f t="shared" si="35"/>
        <v>GUARDIAN</v>
      </c>
    </row>
    <row r="2111" spans="5:8" x14ac:dyDescent="0.25">
      <c r="E2111" t="str">
        <f>""</f>
        <v/>
      </c>
      <c r="F2111" t="str">
        <f>""</f>
        <v/>
      </c>
      <c r="H2111" t="str">
        <f t="shared" si="35"/>
        <v>GUARDIAN</v>
      </c>
    </row>
    <row r="2112" spans="5:8" x14ac:dyDescent="0.25">
      <c r="E2112" t="str">
        <f>""</f>
        <v/>
      </c>
      <c r="F2112" t="str">
        <f>""</f>
        <v/>
      </c>
      <c r="H2112" t="str">
        <f t="shared" si="35"/>
        <v>GUARDIAN</v>
      </c>
    </row>
    <row r="2113" spans="5:8" x14ac:dyDescent="0.25">
      <c r="E2113" t="str">
        <f>""</f>
        <v/>
      </c>
      <c r="F2113" t="str">
        <f>""</f>
        <v/>
      </c>
      <c r="H2113" t="str">
        <f t="shared" si="35"/>
        <v>GUARDIAN</v>
      </c>
    </row>
    <row r="2114" spans="5:8" x14ac:dyDescent="0.25">
      <c r="E2114" t="str">
        <f>""</f>
        <v/>
      </c>
      <c r="F2114" t="str">
        <f>""</f>
        <v/>
      </c>
      <c r="H2114" t="str">
        <f t="shared" si="35"/>
        <v>GUARDIAN</v>
      </c>
    </row>
    <row r="2115" spans="5:8" x14ac:dyDescent="0.25">
      <c r="E2115" t="str">
        <f>""</f>
        <v/>
      </c>
      <c r="F2115" t="str">
        <f>""</f>
        <v/>
      </c>
      <c r="H2115" t="str">
        <f t="shared" si="35"/>
        <v>GUARDIAN</v>
      </c>
    </row>
    <row r="2116" spans="5:8" x14ac:dyDescent="0.25">
      <c r="E2116" t="str">
        <f>""</f>
        <v/>
      </c>
      <c r="F2116" t="str">
        <f>""</f>
        <v/>
      </c>
      <c r="H2116" t="str">
        <f t="shared" si="35"/>
        <v>GUARDIAN</v>
      </c>
    </row>
    <row r="2117" spans="5:8" x14ac:dyDescent="0.25">
      <c r="E2117" t="str">
        <f>""</f>
        <v/>
      </c>
      <c r="F2117" t="str">
        <f>""</f>
        <v/>
      </c>
      <c r="H2117" t="str">
        <f t="shared" si="35"/>
        <v>GUARDIAN</v>
      </c>
    </row>
    <row r="2118" spans="5:8" x14ac:dyDescent="0.25">
      <c r="E2118" t="str">
        <f>""</f>
        <v/>
      </c>
      <c r="F2118" t="str">
        <f>""</f>
        <v/>
      </c>
      <c r="H2118" t="str">
        <f t="shared" si="35"/>
        <v>GUARDIAN</v>
      </c>
    </row>
    <row r="2119" spans="5:8" x14ac:dyDescent="0.25">
      <c r="E2119" t="str">
        <f>""</f>
        <v/>
      </c>
      <c r="F2119" t="str">
        <f>""</f>
        <v/>
      </c>
      <c r="H2119" t="str">
        <f t="shared" si="35"/>
        <v>GUARDIAN</v>
      </c>
    </row>
    <row r="2120" spans="5:8" x14ac:dyDescent="0.25">
      <c r="E2120" t="str">
        <f>""</f>
        <v/>
      </c>
      <c r="F2120" t="str">
        <f>""</f>
        <v/>
      </c>
      <c r="H2120" t="str">
        <f t="shared" si="35"/>
        <v>GUARDIAN</v>
      </c>
    </row>
    <row r="2121" spans="5:8" x14ac:dyDescent="0.25">
      <c r="E2121" t="str">
        <f>""</f>
        <v/>
      </c>
      <c r="F2121" t="str">
        <f>""</f>
        <v/>
      </c>
      <c r="H2121" t="str">
        <f t="shared" si="35"/>
        <v>GUARDIAN</v>
      </c>
    </row>
    <row r="2122" spans="5:8" x14ac:dyDescent="0.25">
      <c r="E2122" t="str">
        <f>"LIE201811145076"</f>
        <v>LIE201811145076</v>
      </c>
      <c r="F2122" t="str">
        <f>"GUARDIAN"</f>
        <v>GUARDIAN</v>
      </c>
      <c r="G2122" s="2">
        <v>80.849999999999994</v>
      </c>
      <c r="H2122" t="str">
        <f t="shared" si="35"/>
        <v>GUARDIAN</v>
      </c>
    </row>
    <row r="2123" spans="5:8" x14ac:dyDescent="0.25">
      <c r="E2123" t="str">
        <f>""</f>
        <v/>
      </c>
      <c r="F2123" t="str">
        <f>""</f>
        <v/>
      </c>
      <c r="H2123" t="str">
        <f t="shared" si="35"/>
        <v>GUARDIAN</v>
      </c>
    </row>
    <row r="2124" spans="5:8" x14ac:dyDescent="0.25">
      <c r="E2124" t="str">
        <f>"LIS201810314759"</f>
        <v>LIS201810314759</v>
      </c>
      <c r="F2124" t="str">
        <f t="shared" ref="F2124:F2133" si="36">"GUARDIAN"</f>
        <v>GUARDIAN</v>
      </c>
      <c r="G2124" s="2">
        <v>461.6</v>
      </c>
      <c r="H2124" t="str">
        <f t="shared" si="35"/>
        <v>GUARDIAN</v>
      </c>
    </row>
    <row r="2125" spans="5:8" x14ac:dyDescent="0.25">
      <c r="E2125" t="str">
        <f>"LIS201810314760"</f>
        <v>LIS201810314760</v>
      </c>
      <c r="F2125" t="str">
        <f t="shared" si="36"/>
        <v>GUARDIAN</v>
      </c>
      <c r="G2125" s="2">
        <v>36.15</v>
      </c>
      <c r="H2125" t="str">
        <f t="shared" si="35"/>
        <v>GUARDIAN</v>
      </c>
    </row>
    <row r="2126" spans="5:8" x14ac:dyDescent="0.25">
      <c r="E2126" t="str">
        <f>"LIS201811145075"</f>
        <v>LIS201811145075</v>
      </c>
      <c r="F2126" t="str">
        <f t="shared" si="36"/>
        <v>GUARDIAN</v>
      </c>
      <c r="G2126" s="2">
        <v>461.6</v>
      </c>
      <c r="H2126" t="str">
        <f t="shared" si="35"/>
        <v>GUARDIAN</v>
      </c>
    </row>
    <row r="2127" spans="5:8" x14ac:dyDescent="0.25">
      <c r="E2127" t="str">
        <f>"LIS201811145076"</f>
        <v>LIS201811145076</v>
      </c>
      <c r="F2127" t="str">
        <f t="shared" si="36"/>
        <v>GUARDIAN</v>
      </c>
      <c r="G2127" s="2">
        <v>36.15</v>
      </c>
      <c r="H2127" t="str">
        <f t="shared" si="35"/>
        <v>GUARDIAN</v>
      </c>
    </row>
    <row r="2128" spans="5:8" x14ac:dyDescent="0.25">
      <c r="E2128" t="str">
        <f>"LTD201810314759"</f>
        <v>LTD201810314759</v>
      </c>
      <c r="F2128" t="str">
        <f t="shared" si="36"/>
        <v>GUARDIAN</v>
      </c>
      <c r="G2128" s="2">
        <v>868.22</v>
      </c>
      <c r="H2128" t="str">
        <f t="shared" si="35"/>
        <v>GUARDIAN</v>
      </c>
    </row>
    <row r="2129" spans="1:8" x14ac:dyDescent="0.25">
      <c r="E2129" t="str">
        <f>"LTD201811145075"</f>
        <v>LTD201811145075</v>
      </c>
      <c r="F2129" t="str">
        <f t="shared" si="36"/>
        <v>GUARDIAN</v>
      </c>
      <c r="G2129" s="2">
        <v>868.22</v>
      </c>
      <c r="H2129" t="str">
        <f t="shared" si="35"/>
        <v>GUARDIAN</v>
      </c>
    </row>
    <row r="2130" spans="1:8" x14ac:dyDescent="0.25">
      <c r="A2130" t="s">
        <v>560</v>
      </c>
      <c r="B2130">
        <v>0</v>
      </c>
      <c r="C2130" s="3">
        <v>112.44</v>
      </c>
      <c r="D2130" s="1">
        <v>43433</v>
      </c>
      <c r="E2130" t="str">
        <f>"AEG201810314759"</f>
        <v>AEG201810314759</v>
      </c>
      <c r="F2130" t="str">
        <f t="shared" si="36"/>
        <v>GUARDIAN</v>
      </c>
      <c r="G2130" s="2">
        <v>6.66</v>
      </c>
      <c r="H2130" t="str">
        <f t="shared" si="35"/>
        <v>GUARDIAN</v>
      </c>
    </row>
    <row r="2131" spans="1:8" x14ac:dyDescent="0.25">
      <c r="E2131" t="str">
        <f>"AEG201811145075"</f>
        <v>AEG201811145075</v>
      </c>
      <c r="F2131" t="str">
        <f t="shared" si="36"/>
        <v>GUARDIAN</v>
      </c>
      <c r="G2131" s="2">
        <v>6.66</v>
      </c>
      <c r="H2131" t="str">
        <f t="shared" si="35"/>
        <v>GUARDIAN</v>
      </c>
    </row>
    <row r="2132" spans="1:8" x14ac:dyDescent="0.25">
      <c r="E2132" t="str">
        <f>"AFG201810314759"</f>
        <v>AFG201810314759</v>
      </c>
      <c r="F2132" t="str">
        <f t="shared" si="36"/>
        <v>GUARDIAN</v>
      </c>
      <c r="G2132" s="2">
        <v>49.56</v>
      </c>
      <c r="H2132" t="str">
        <f t="shared" si="35"/>
        <v>GUARDIAN</v>
      </c>
    </row>
    <row r="2133" spans="1:8" x14ac:dyDescent="0.25">
      <c r="E2133" t="str">
        <f>"AFG201811145075"</f>
        <v>AFG201811145075</v>
      </c>
      <c r="F2133" t="str">
        <f t="shared" si="36"/>
        <v>GUARDIAN</v>
      </c>
      <c r="G2133" s="2">
        <v>49.56</v>
      </c>
      <c r="H2133" t="str">
        <f t="shared" si="35"/>
        <v>GUARDIAN</v>
      </c>
    </row>
    <row r="2134" spans="1:8" x14ac:dyDescent="0.25">
      <c r="A2134" t="s">
        <v>561</v>
      </c>
      <c r="B2134">
        <v>47024</v>
      </c>
      <c r="C2134" s="3">
        <v>238.43</v>
      </c>
      <c r="D2134" s="1">
        <v>43406</v>
      </c>
      <c r="E2134" t="str">
        <f>"IJ2201810314759"</f>
        <v>IJ2201810314759</v>
      </c>
      <c r="F2134" t="str">
        <f>"LISA JACKSON 2 IRS LEVY"</f>
        <v>LISA JACKSON 2 IRS LEVY</v>
      </c>
      <c r="G2134" s="2">
        <v>238.43</v>
      </c>
      <c r="H2134" t="str">
        <f>"LISA JACKSON 2 IRS LEVY"</f>
        <v>LISA JACKSON 2 IRS LEVY</v>
      </c>
    </row>
    <row r="2135" spans="1:8" x14ac:dyDescent="0.25">
      <c r="A2135" t="s">
        <v>561</v>
      </c>
      <c r="B2135">
        <v>47051</v>
      </c>
      <c r="C2135" s="3">
        <v>238.43</v>
      </c>
      <c r="D2135" s="1">
        <v>43420</v>
      </c>
      <c r="E2135" t="str">
        <f>"IJ2201811145075"</f>
        <v>IJ2201811145075</v>
      </c>
      <c r="F2135" t="str">
        <f>"LISA JACKSON 2 IRS LEVY"</f>
        <v>LISA JACKSON 2 IRS LEVY</v>
      </c>
      <c r="G2135" s="2">
        <v>238.43</v>
      </c>
      <c r="H2135" t="str">
        <f>"LISA JACKSON 2 IRS LEVY"</f>
        <v>LISA JACKSON 2 IRS LEVY</v>
      </c>
    </row>
    <row r="2136" spans="1:8" x14ac:dyDescent="0.25">
      <c r="A2136" t="s">
        <v>561</v>
      </c>
      <c r="B2136">
        <v>47163</v>
      </c>
      <c r="C2136" s="3">
        <v>238.43</v>
      </c>
      <c r="D2136" s="1">
        <v>43434</v>
      </c>
      <c r="E2136" t="str">
        <f>"IJ2201811275300"</f>
        <v>IJ2201811275300</v>
      </c>
      <c r="F2136" t="str">
        <f>"LISA JACKSON 2 IRS LEVY"</f>
        <v>LISA JACKSON 2 IRS LEVY</v>
      </c>
      <c r="G2136" s="2">
        <v>238.43</v>
      </c>
      <c r="H2136" t="str">
        <f>"LISA JACKSON 2 IRS LEVY"</f>
        <v>LISA JACKSON 2 IRS LEVY</v>
      </c>
    </row>
    <row r="2137" spans="1:8" x14ac:dyDescent="0.25">
      <c r="A2137" t="s">
        <v>562</v>
      </c>
      <c r="B2137">
        <v>0</v>
      </c>
      <c r="C2137" s="3">
        <v>229737.03</v>
      </c>
      <c r="D2137" s="1">
        <v>43406</v>
      </c>
      <c r="E2137" t="str">
        <f>"T3 201811024807"</f>
        <v>T3 201811024807</v>
      </c>
      <c r="F2137" t="str">
        <f>"SOCIAL SECURITY TAXES"</f>
        <v>SOCIAL SECURITY TAXES</v>
      </c>
      <c r="G2137" s="2">
        <v>-3.72</v>
      </c>
      <c r="H2137" t="str">
        <f>"SOCIAL SECURITY TAXES"</f>
        <v>SOCIAL SECURITY TAXES</v>
      </c>
    </row>
    <row r="2138" spans="1:8" x14ac:dyDescent="0.25">
      <c r="E2138" t="str">
        <f>""</f>
        <v/>
      </c>
      <c r="F2138" t="str">
        <f>""</f>
        <v/>
      </c>
      <c r="H2138" t="str">
        <f>"SOCIAL SECURITY TAXES"</f>
        <v>SOCIAL SECURITY TAXES</v>
      </c>
    </row>
    <row r="2139" spans="1:8" x14ac:dyDescent="0.25">
      <c r="E2139" t="str">
        <f>"T4 201811024807"</f>
        <v>T4 201811024807</v>
      </c>
      <c r="F2139" t="str">
        <f>"MEDICARE TAXES"</f>
        <v>MEDICARE TAXES</v>
      </c>
      <c r="G2139" s="2">
        <v>-0.86</v>
      </c>
      <c r="H2139" t="str">
        <f>"MEDICARE TAXES"</f>
        <v>MEDICARE TAXES</v>
      </c>
    </row>
    <row r="2140" spans="1:8" x14ac:dyDescent="0.25">
      <c r="E2140" t="str">
        <f>""</f>
        <v/>
      </c>
      <c r="F2140" t="str">
        <f>""</f>
        <v/>
      </c>
      <c r="H2140" t="str">
        <f>"MEDICARE TAXES"</f>
        <v>MEDICARE TAXES</v>
      </c>
    </row>
    <row r="2141" spans="1:8" x14ac:dyDescent="0.25">
      <c r="E2141" t="str">
        <f>"T1 201810314759"</f>
        <v>T1 201810314759</v>
      </c>
      <c r="F2141" t="str">
        <f>"FEDERAL WITHHOLDING"</f>
        <v>FEDERAL WITHHOLDING</v>
      </c>
      <c r="G2141" s="2">
        <v>76854.960000000006</v>
      </c>
      <c r="H2141" t="str">
        <f>"FEDERAL WITHHOLDING"</f>
        <v>FEDERAL WITHHOLDING</v>
      </c>
    </row>
    <row r="2142" spans="1:8" x14ac:dyDescent="0.25">
      <c r="E2142" t="str">
        <f>"T1 201810314760"</f>
        <v>T1 201810314760</v>
      </c>
      <c r="F2142" t="str">
        <f>"FEDERAL WITHHOLDING"</f>
        <v>FEDERAL WITHHOLDING</v>
      </c>
      <c r="G2142" s="2">
        <v>3202.22</v>
      </c>
      <c r="H2142" t="str">
        <f>"FEDERAL WITHHOLDING"</f>
        <v>FEDERAL WITHHOLDING</v>
      </c>
    </row>
    <row r="2143" spans="1:8" x14ac:dyDescent="0.25">
      <c r="E2143" t="str">
        <f>"T1 201810314761"</f>
        <v>T1 201810314761</v>
      </c>
      <c r="F2143" t="str">
        <f>"FEDERAL WITHHOLDING"</f>
        <v>FEDERAL WITHHOLDING</v>
      </c>
      <c r="G2143" s="2">
        <v>3458.97</v>
      </c>
      <c r="H2143" t="str">
        <f>"FEDERAL WITHHOLDING"</f>
        <v>FEDERAL WITHHOLDING</v>
      </c>
    </row>
    <row r="2144" spans="1:8" x14ac:dyDescent="0.25">
      <c r="E2144" t="str">
        <f>"T3 201810314759"</f>
        <v>T3 201810314759</v>
      </c>
      <c r="F2144" t="str">
        <f>"SOCIAL SECURITY TAXES"</f>
        <v>SOCIAL SECURITY TAXES</v>
      </c>
      <c r="G2144" s="2">
        <v>108693.7</v>
      </c>
      <c r="H2144" t="str">
        <f t="shared" ref="H2144:H2175" si="37">"SOCIAL SECURITY TAXES"</f>
        <v>SOCIAL SECURITY TAXES</v>
      </c>
    </row>
    <row r="2145" spans="5:8" x14ac:dyDescent="0.25">
      <c r="E2145" t="str">
        <f>""</f>
        <v/>
      </c>
      <c r="F2145" t="str">
        <f>""</f>
        <v/>
      </c>
      <c r="H2145" t="str">
        <f t="shared" si="37"/>
        <v>SOCIAL SECURITY TAXES</v>
      </c>
    </row>
    <row r="2146" spans="5:8" x14ac:dyDescent="0.25">
      <c r="E2146" t="str">
        <f>""</f>
        <v/>
      </c>
      <c r="F2146" t="str">
        <f>""</f>
        <v/>
      </c>
      <c r="H2146" t="str">
        <f t="shared" si="37"/>
        <v>SOCIAL SECURITY TAXES</v>
      </c>
    </row>
    <row r="2147" spans="5:8" x14ac:dyDescent="0.25">
      <c r="E2147" t="str">
        <f>""</f>
        <v/>
      </c>
      <c r="F2147" t="str">
        <f>""</f>
        <v/>
      </c>
      <c r="H2147" t="str">
        <f t="shared" si="37"/>
        <v>SOCIAL SECURITY TAXES</v>
      </c>
    </row>
    <row r="2148" spans="5:8" x14ac:dyDescent="0.25">
      <c r="E2148" t="str">
        <f>""</f>
        <v/>
      </c>
      <c r="F2148" t="str">
        <f>""</f>
        <v/>
      </c>
      <c r="H2148" t="str">
        <f t="shared" si="37"/>
        <v>SOCIAL SECURITY TAXES</v>
      </c>
    </row>
    <row r="2149" spans="5:8" x14ac:dyDescent="0.25">
      <c r="E2149" t="str">
        <f>""</f>
        <v/>
      </c>
      <c r="F2149" t="str">
        <f>""</f>
        <v/>
      </c>
      <c r="H2149" t="str">
        <f t="shared" si="37"/>
        <v>SOCIAL SECURITY TAXES</v>
      </c>
    </row>
    <row r="2150" spans="5:8" x14ac:dyDescent="0.25">
      <c r="E2150" t="str">
        <f>""</f>
        <v/>
      </c>
      <c r="F2150" t="str">
        <f>""</f>
        <v/>
      </c>
      <c r="H2150" t="str">
        <f t="shared" si="37"/>
        <v>SOCIAL SECURITY TAXES</v>
      </c>
    </row>
    <row r="2151" spans="5:8" x14ac:dyDescent="0.25">
      <c r="E2151" t="str">
        <f>""</f>
        <v/>
      </c>
      <c r="F2151" t="str">
        <f>""</f>
        <v/>
      </c>
      <c r="H2151" t="str">
        <f t="shared" si="37"/>
        <v>SOCIAL SECURITY TAXES</v>
      </c>
    </row>
    <row r="2152" spans="5:8" x14ac:dyDescent="0.25">
      <c r="E2152" t="str">
        <f>""</f>
        <v/>
      </c>
      <c r="F2152" t="str">
        <f>""</f>
        <v/>
      </c>
      <c r="H2152" t="str">
        <f t="shared" si="37"/>
        <v>SOCIAL SECURITY TAXES</v>
      </c>
    </row>
    <row r="2153" spans="5:8" x14ac:dyDescent="0.25">
      <c r="E2153" t="str">
        <f>""</f>
        <v/>
      </c>
      <c r="F2153" t="str">
        <f>""</f>
        <v/>
      </c>
      <c r="H2153" t="str">
        <f t="shared" si="37"/>
        <v>SOCIAL SECURITY TAXES</v>
      </c>
    </row>
    <row r="2154" spans="5:8" x14ac:dyDescent="0.25">
      <c r="E2154" t="str">
        <f>""</f>
        <v/>
      </c>
      <c r="F2154" t="str">
        <f>""</f>
        <v/>
      </c>
      <c r="H2154" t="str">
        <f t="shared" si="37"/>
        <v>SOCIAL SECURITY TAXES</v>
      </c>
    </row>
    <row r="2155" spans="5:8" x14ac:dyDescent="0.25">
      <c r="E2155" t="str">
        <f>""</f>
        <v/>
      </c>
      <c r="F2155" t="str">
        <f>""</f>
        <v/>
      </c>
      <c r="H2155" t="str">
        <f t="shared" si="37"/>
        <v>SOCIAL SECURITY TAXES</v>
      </c>
    </row>
    <row r="2156" spans="5:8" x14ac:dyDescent="0.25">
      <c r="E2156" t="str">
        <f>""</f>
        <v/>
      </c>
      <c r="F2156" t="str">
        <f>""</f>
        <v/>
      </c>
      <c r="H2156" t="str">
        <f t="shared" si="37"/>
        <v>SOCIAL SECURITY TAXES</v>
      </c>
    </row>
    <row r="2157" spans="5:8" x14ac:dyDescent="0.25">
      <c r="E2157" t="str">
        <f>""</f>
        <v/>
      </c>
      <c r="F2157" t="str">
        <f>""</f>
        <v/>
      </c>
      <c r="H2157" t="str">
        <f t="shared" si="37"/>
        <v>SOCIAL SECURITY TAXES</v>
      </c>
    </row>
    <row r="2158" spans="5:8" x14ac:dyDescent="0.25">
      <c r="E2158" t="str">
        <f>""</f>
        <v/>
      </c>
      <c r="F2158" t="str">
        <f>""</f>
        <v/>
      </c>
      <c r="H2158" t="str">
        <f t="shared" si="37"/>
        <v>SOCIAL SECURITY TAXES</v>
      </c>
    </row>
    <row r="2159" spans="5:8" x14ac:dyDescent="0.25">
      <c r="E2159" t="str">
        <f>""</f>
        <v/>
      </c>
      <c r="F2159" t="str">
        <f>""</f>
        <v/>
      </c>
      <c r="H2159" t="str">
        <f t="shared" si="37"/>
        <v>SOCIAL SECURITY TAXES</v>
      </c>
    </row>
    <row r="2160" spans="5:8" x14ac:dyDescent="0.25">
      <c r="E2160" t="str">
        <f>""</f>
        <v/>
      </c>
      <c r="F2160" t="str">
        <f>""</f>
        <v/>
      </c>
      <c r="H2160" t="str">
        <f t="shared" si="37"/>
        <v>SOCIAL SECURITY TAXES</v>
      </c>
    </row>
    <row r="2161" spans="5:8" x14ac:dyDescent="0.25">
      <c r="E2161" t="str">
        <f>""</f>
        <v/>
      </c>
      <c r="F2161" t="str">
        <f>""</f>
        <v/>
      </c>
      <c r="H2161" t="str">
        <f t="shared" si="37"/>
        <v>SOCIAL SECURITY TAXES</v>
      </c>
    </row>
    <row r="2162" spans="5:8" x14ac:dyDescent="0.25">
      <c r="E2162" t="str">
        <f>""</f>
        <v/>
      </c>
      <c r="F2162" t="str">
        <f>""</f>
        <v/>
      </c>
      <c r="H2162" t="str">
        <f t="shared" si="37"/>
        <v>SOCIAL SECURITY TAXES</v>
      </c>
    </row>
    <row r="2163" spans="5:8" x14ac:dyDescent="0.25">
      <c r="E2163" t="str">
        <f>""</f>
        <v/>
      </c>
      <c r="F2163" t="str">
        <f>""</f>
        <v/>
      </c>
      <c r="H2163" t="str">
        <f t="shared" si="37"/>
        <v>SOCIAL SECURITY TAXES</v>
      </c>
    </row>
    <row r="2164" spans="5:8" x14ac:dyDescent="0.25">
      <c r="E2164" t="str">
        <f>""</f>
        <v/>
      </c>
      <c r="F2164" t="str">
        <f>""</f>
        <v/>
      </c>
      <c r="H2164" t="str">
        <f t="shared" si="37"/>
        <v>SOCIAL SECURITY TAXES</v>
      </c>
    </row>
    <row r="2165" spans="5:8" x14ac:dyDescent="0.25">
      <c r="E2165" t="str">
        <f>""</f>
        <v/>
      </c>
      <c r="F2165" t="str">
        <f>""</f>
        <v/>
      </c>
      <c r="H2165" t="str">
        <f t="shared" si="37"/>
        <v>SOCIAL SECURITY TAXES</v>
      </c>
    </row>
    <row r="2166" spans="5:8" x14ac:dyDescent="0.25">
      <c r="E2166" t="str">
        <f>""</f>
        <v/>
      </c>
      <c r="F2166" t="str">
        <f>""</f>
        <v/>
      </c>
      <c r="H2166" t="str">
        <f t="shared" si="37"/>
        <v>SOCIAL SECURITY TAXES</v>
      </c>
    </row>
    <row r="2167" spans="5:8" x14ac:dyDescent="0.25">
      <c r="E2167" t="str">
        <f>""</f>
        <v/>
      </c>
      <c r="F2167" t="str">
        <f>""</f>
        <v/>
      </c>
      <c r="H2167" t="str">
        <f t="shared" si="37"/>
        <v>SOCIAL SECURITY TAXES</v>
      </c>
    </row>
    <row r="2168" spans="5:8" x14ac:dyDescent="0.25">
      <c r="E2168" t="str">
        <f>""</f>
        <v/>
      </c>
      <c r="F2168" t="str">
        <f>""</f>
        <v/>
      </c>
      <c r="H2168" t="str">
        <f t="shared" si="37"/>
        <v>SOCIAL SECURITY TAXES</v>
      </c>
    </row>
    <row r="2169" spans="5:8" x14ac:dyDescent="0.25">
      <c r="E2169" t="str">
        <f>""</f>
        <v/>
      </c>
      <c r="F2169" t="str">
        <f>""</f>
        <v/>
      </c>
      <c r="H2169" t="str">
        <f t="shared" si="37"/>
        <v>SOCIAL SECURITY TAXES</v>
      </c>
    </row>
    <row r="2170" spans="5:8" x14ac:dyDescent="0.25">
      <c r="E2170" t="str">
        <f>""</f>
        <v/>
      </c>
      <c r="F2170" t="str">
        <f>""</f>
        <v/>
      </c>
      <c r="H2170" t="str">
        <f t="shared" si="37"/>
        <v>SOCIAL SECURITY TAXES</v>
      </c>
    </row>
    <row r="2171" spans="5:8" x14ac:dyDescent="0.25">
      <c r="E2171" t="str">
        <f>""</f>
        <v/>
      </c>
      <c r="F2171" t="str">
        <f>""</f>
        <v/>
      </c>
      <c r="H2171" t="str">
        <f t="shared" si="37"/>
        <v>SOCIAL SECURITY TAXES</v>
      </c>
    </row>
    <row r="2172" spans="5:8" x14ac:dyDescent="0.25">
      <c r="E2172" t="str">
        <f>""</f>
        <v/>
      </c>
      <c r="F2172" t="str">
        <f>""</f>
        <v/>
      </c>
      <c r="H2172" t="str">
        <f t="shared" si="37"/>
        <v>SOCIAL SECURITY TAXES</v>
      </c>
    </row>
    <row r="2173" spans="5:8" x14ac:dyDescent="0.25">
      <c r="E2173" t="str">
        <f>""</f>
        <v/>
      </c>
      <c r="F2173" t="str">
        <f>""</f>
        <v/>
      </c>
      <c r="H2173" t="str">
        <f t="shared" si="37"/>
        <v>SOCIAL SECURITY TAXES</v>
      </c>
    </row>
    <row r="2174" spans="5:8" x14ac:dyDescent="0.25">
      <c r="E2174" t="str">
        <f>""</f>
        <v/>
      </c>
      <c r="F2174" t="str">
        <f>""</f>
        <v/>
      </c>
      <c r="H2174" t="str">
        <f t="shared" si="37"/>
        <v>SOCIAL SECURITY TAXES</v>
      </c>
    </row>
    <row r="2175" spans="5:8" x14ac:dyDescent="0.25">
      <c r="E2175" t="str">
        <f>""</f>
        <v/>
      </c>
      <c r="F2175" t="str">
        <f>""</f>
        <v/>
      </c>
      <c r="H2175" t="str">
        <f t="shared" si="37"/>
        <v>SOCIAL SECURITY TAXES</v>
      </c>
    </row>
    <row r="2176" spans="5:8" x14ac:dyDescent="0.25">
      <c r="E2176" t="str">
        <f>""</f>
        <v/>
      </c>
      <c r="F2176" t="str">
        <f>""</f>
        <v/>
      </c>
      <c r="H2176" t="str">
        <f t="shared" ref="H2176:H2203" si="38">"SOCIAL SECURITY TAXES"</f>
        <v>SOCIAL SECURITY TAXES</v>
      </c>
    </row>
    <row r="2177" spans="5:8" x14ac:dyDescent="0.25">
      <c r="E2177" t="str">
        <f>""</f>
        <v/>
      </c>
      <c r="F2177" t="str">
        <f>""</f>
        <v/>
      </c>
      <c r="H2177" t="str">
        <f t="shared" si="38"/>
        <v>SOCIAL SECURITY TAXES</v>
      </c>
    </row>
    <row r="2178" spans="5:8" x14ac:dyDescent="0.25">
      <c r="E2178" t="str">
        <f>""</f>
        <v/>
      </c>
      <c r="F2178" t="str">
        <f>""</f>
        <v/>
      </c>
      <c r="H2178" t="str">
        <f t="shared" si="38"/>
        <v>SOCIAL SECURITY TAXES</v>
      </c>
    </row>
    <row r="2179" spans="5:8" x14ac:dyDescent="0.25">
      <c r="E2179" t="str">
        <f>""</f>
        <v/>
      </c>
      <c r="F2179" t="str">
        <f>""</f>
        <v/>
      </c>
      <c r="H2179" t="str">
        <f t="shared" si="38"/>
        <v>SOCIAL SECURITY TAXES</v>
      </c>
    </row>
    <row r="2180" spans="5:8" x14ac:dyDescent="0.25">
      <c r="E2180" t="str">
        <f>""</f>
        <v/>
      </c>
      <c r="F2180" t="str">
        <f>""</f>
        <v/>
      </c>
      <c r="H2180" t="str">
        <f t="shared" si="38"/>
        <v>SOCIAL SECURITY TAXES</v>
      </c>
    </row>
    <row r="2181" spans="5:8" x14ac:dyDescent="0.25">
      <c r="E2181" t="str">
        <f>""</f>
        <v/>
      </c>
      <c r="F2181" t="str">
        <f>""</f>
        <v/>
      </c>
      <c r="H2181" t="str">
        <f t="shared" si="38"/>
        <v>SOCIAL SECURITY TAXES</v>
      </c>
    </row>
    <row r="2182" spans="5:8" x14ac:dyDescent="0.25">
      <c r="E2182" t="str">
        <f>""</f>
        <v/>
      </c>
      <c r="F2182" t="str">
        <f>""</f>
        <v/>
      </c>
      <c r="H2182" t="str">
        <f t="shared" si="38"/>
        <v>SOCIAL SECURITY TAXES</v>
      </c>
    </row>
    <row r="2183" spans="5:8" x14ac:dyDescent="0.25">
      <c r="E2183" t="str">
        <f>""</f>
        <v/>
      </c>
      <c r="F2183" t="str">
        <f>""</f>
        <v/>
      </c>
      <c r="H2183" t="str">
        <f t="shared" si="38"/>
        <v>SOCIAL SECURITY TAXES</v>
      </c>
    </row>
    <row r="2184" spans="5:8" x14ac:dyDescent="0.25">
      <c r="E2184" t="str">
        <f>""</f>
        <v/>
      </c>
      <c r="F2184" t="str">
        <f>""</f>
        <v/>
      </c>
      <c r="H2184" t="str">
        <f t="shared" si="38"/>
        <v>SOCIAL SECURITY TAXES</v>
      </c>
    </row>
    <row r="2185" spans="5:8" x14ac:dyDescent="0.25">
      <c r="E2185" t="str">
        <f>""</f>
        <v/>
      </c>
      <c r="F2185" t="str">
        <f>""</f>
        <v/>
      </c>
      <c r="H2185" t="str">
        <f t="shared" si="38"/>
        <v>SOCIAL SECURITY TAXES</v>
      </c>
    </row>
    <row r="2186" spans="5:8" x14ac:dyDescent="0.25">
      <c r="E2186" t="str">
        <f>""</f>
        <v/>
      </c>
      <c r="F2186" t="str">
        <f>""</f>
        <v/>
      </c>
      <c r="H2186" t="str">
        <f t="shared" si="38"/>
        <v>SOCIAL SECURITY TAXES</v>
      </c>
    </row>
    <row r="2187" spans="5:8" x14ac:dyDescent="0.25">
      <c r="E2187" t="str">
        <f>""</f>
        <v/>
      </c>
      <c r="F2187" t="str">
        <f>""</f>
        <v/>
      </c>
      <c r="H2187" t="str">
        <f t="shared" si="38"/>
        <v>SOCIAL SECURITY TAXES</v>
      </c>
    </row>
    <row r="2188" spans="5:8" x14ac:dyDescent="0.25">
      <c r="E2188" t="str">
        <f>""</f>
        <v/>
      </c>
      <c r="F2188" t="str">
        <f>""</f>
        <v/>
      </c>
      <c r="H2188" t="str">
        <f t="shared" si="38"/>
        <v>SOCIAL SECURITY TAXES</v>
      </c>
    </row>
    <row r="2189" spans="5:8" x14ac:dyDescent="0.25">
      <c r="E2189" t="str">
        <f>""</f>
        <v/>
      </c>
      <c r="F2189" t="str">
        <f>""</f>
        <v/>
      </c>
      <c r="H2189" t="str">
        <f t="shared" si="38"/>
        <v>SOCIAL SECURITY TAXES</v>
      </c>
    </row>
    <row r="2190" spans="5:8" x14ac:dyDescent="0.25">
      <c r="E2190" t="str">
        <f>""</f>
        <v/>
      </c>
      <c r="F2190" t="str">
        <f>""</f>
        <v/>
      </c>
      <c r="H2190" t="str">
        <f t="shared" si="38"/>
        <v>SOCIAL SECURITY TAXES</v>
      </c>
    </row>
    <row r="2191" spans="5:8" x14ac:dyDescent="0.25">
      <c r="E2191" t="str">
        <f>""</f>
        <v/>
      </c>
      <c r="F2191" t="str">
        <f>""</f>
        <v/>
      </c>
      <c r="H2191" t="str">
        <f t="shared" si="38"/>
        <v>SOCIAL SECURITY TAXES</v>
      </c>
    </row>
    <row r="2192" spans="5:8" x14ac:dyDescent="0.25">
      <c r="E2192" t="str">
        <f>""</f>
        <v/>
      </c>
      <c r="F2192" t="str">
        <f>""</f>
        <v/>
      </c>
      <c r="H2192" t="str">
        <f t="shared" si="38"/>
        <v>SOCIAL SECURITY TAXES</v>
      </c>
    </row>
    <row r="2193" spans="5:8" x14ac:dyDescent="0.25">
      <c r="E2193" t="str">
        <f>""</f>
        <v/>
      </c>
      <c r="F2193" t="str">
        <f>""</f>
        <v/>
      </c>
      <c r="H2193" t="str">
        <f t="shared" si="38"/>
        <v>SOCIAL SECURITY TAXES</v>
      </c>
    </row>
    <row r="2194" spans="5:8" x14ac:dyDescent="0.25">
      <c r="E2194" t="str">
        <f>""</f>
        <v/>
      </c>
      <c r="F2194" t="str">
        <f>""</f>
        <v/>
      </c>
      <c r="H2194" t="str">
        <f t="shared" si="38"/>
        <v>SOCIAL SECURITY TAXES</v>
      </c>
    </row>
    <row r="2195" spans="5:8" x14ac:dyDescent="0.25">
      <c r="E2195" t="str">
        <f>""</f>
        <v/>
      </c>
      <c r="F2195" t="str">
        <f>""</f>
        <v/>
      </c>
      <c r="H2195" t="str">
        <f t="shared" si="38"/>
        <v>SOCIAL SECURITY TAXES</v>
      </c>
    </row>
    <row r="2196" spans="5:8" x14ac:dyDescent="0.25">
      <c r="E2196" t="str">
        <f>"T3 201810314760"</f>
        <v>T3 201810314760</v>
      </c>
      <c r="F2196" t="str">
        <f>"SOCIAL SECURITY TAXES"</f>
        <v>SOCIAL SECURITY TAXES</v>
      </c>
      <c r="G2196" s="2">
        <v>4419.2</v>
      </c>
      <c r="H2196" t="str">
        <f t="shared" si="38"/>
        <v>SOCIAL SECURITY TAXES</v>
      </c>
    </row>
    <row r="2197" spans="5:8" x14ac:dyDescent="0.25">
      <c r="E2197" t="str">
        <f>""</f>
        <v/>
      </c>
      <c r="F2197" t="str">
        <f>""</f>
        <v/>
      </c>
      <c r="H2197" t="str">
        <f t="shared" si="38"/>
        <v>SOCIAL SECURITY TAXES</v>
      </c>
    </row>
    <row r="2198" spans="5:8" x14ac:dyDescent="0.25">
      <c r="E2198" t="str">
        <f>"T3 201810314761"</f>
        <v>T3 201810314761</v>
      </c>
      <c r="F2198" t="str">
        <f>"SOCIAL SECURITY TAXES"</f>
        <v>SOCIAL SECURITY TAXES</v>
      </c>
      <c r="G2198" s="2">
        <v>5024.62</v>
      </c>
      <c r="H2198" t="str">
        <f t="shared" si="38"/>
        <v>SOCIAL SECURITY TAXES</v>
      </c>
    </row>
    <row r="2199" spans="5:8" x14ac:dyDescent="0.25">
      <c r="E2199" t="str">
        <f>""</f>
        <v/>
      </c>
      <c r="F2199" t="str">
        <f>""</f>
        <v/>
      </c>
      <c r="H2199" t="str">
        <f t="shared" si="38"/>
        <v>SOCIAL SECURITY TAXES</v>
      </c>
    </row>
    <row r="2200" spans="5:8" x14ac:dyDescent="0.25">
      <c r="E2200" t="str">
        <f>"T3 201810314762"</f>
        <v>T3 201810314762</v>
      </c>
      <c r="F2200" t="str">
        <f>"SOCIAL SECURITY TAXES"</f>
        <v>SOCIAL SECURITY TAXES</v>
      </c>
      <c r="G2200" s="2">
        <v>361.78</v>
      </c>
      <c r="H2200" t="str">
        <f t="shared" si="38"/>
        <v>SOCIAL SECURITY TAXES</v>
      </c>
    </row>
    <row r="2201" spans="5:8" x14ac:dyDescent="0.25">
      <c r="E2201" t="str">
        <f>""</f>
        <v/>
      </c>
      <c r="F2201" t="str">
        <f>""</f>
        <v/>
      </c>
      <c r="H2201" t="str">
        <f t="shared" si="38"/>
        <v>SOCIAL SECURITY TAXES</v>
      </c>
    </row>
    <row r="2202" spans="5:8" x14ac:dyDescent="0.25">
      <c r="E2202" t="str">
        <f>"T3 201811014776"</f>
        <v>T3 201811014776</v>
      </c>
      <c r="F2202" t="str">
        <f>"SOCIAL SECURITY TAXES"</f>
        <v>SOCIAL SECURITY TAXES</v>
      </c>
      <c r="G2202" s="2">
        <v>10.199999999999999</v>
      </c>
      <c r="H2202" t="str">
        <f t="shared" si="38"/>
        <v>SOCIAL SECURITY TAXES</v>
      </c>
    </row>
    <row r="2203" spans="5:8" x14ac:dyDescent="0.25">
      <c r="E2203" t="str">
        <f>""</f>
        <v/>
      </c>
      <c r="F2203" t="str">
        <f>""</f>
        <v/>
      </c>
      <c r="H2203" t="str">
        <f t="shared" si="38"/>
        <v>SOCIAL SECURITY TAXES</v>
      </c>
    </row>
    <row r="2204" spans="5:8" x14ac:dyDescent="0.25">
      <c r="E2204" t="str">
        <f>"T4 201810314759"</f>
        <v>T4 201810314759</v>
      </c>
      <c r="F2204" t="str">
        <f>"MEDICARE TAXES"</f>
        <v>MEDICARE TAXES</v>
      </c>
      <c r="G2204" s="2">
        <v>25420.28</v>
      </c>
      <c r="H2204" t="str">
        <f t="shared" ref="H2204:H2235" si="39">"MEDICARE TAXES"</f>
        <v>MEDICARE TAXES</v>
      </c>
    </row>
    <row r="2205" spans="5:8" x14ac:dyDescent="0.25">
      <c r="E2205" t="str">
        <f>""</f>
        <v/>
      </c>
      <c r="F2205" t="str">
        <f>""</f>
        <v/>
      </c>
      <c r="H2205" t="str">
        <f t="shared" si="39"/>
        <v>MEDICARE TAXES</v>
      </c>
    </row>
    <row r="2206" spans="5:8" x14ac:dyDescent="0.25">
      <c r="E2206" t="str">
        <f>""</f>
        <v/>
      </c>
      <c r="F2206" t="str">
        <f>""</f>
        <v/>
      </c>
      <c r="H2206" t="str">
        <f t="shared" si="39"/>
        <v>MEDICARE TAXES</v>
      </c>
    </row>
    <row r="2207" spans="5:8" x14ac:dyDescent="0.25">
      <c r="E2207" t="str">
        <f>""</f>
        <v/>
      </c>
      <c r="F2207" t="str">
        <f>""</f>
        <v/>
      </c>
      <c r="H2207" t="str">
        <f t="shared" si="39"/>
        <v>MEDICARE TAXES</v>
      </c>
    </row>
    <row r="2208" spans="5:8" x14ac:dyDescent="0.25">
      <c r="E2208" t="str">
        <f>""</f>
        <v/>
      </c>
      <c r="F2208" t="str">
        <f>""</f>
        <v/>
      </c>
      <c r="H2208" t="str">
        <f t="shared" si="39"/>
        <v>MEDICARE TAXES</v>
      </c>
    </row>
    <row r="2209" spans="5:8" x14ac:dyDescent="0.25">
      <c r="E2209" t="str">
        <f>""</f>
        <v/>
      </c>
      <c r="F2209" t="str">
        <f>""</f>
        <v/>
      </c>
      <c r="H2209" t="str">
        <f t="shared" si="39"/>
        <v>MEDICARE TAXES</v>
      </c>
    </row>
    <row r="2210" spans="5:8" x14ac:dyDescent="0.25">
      <c r="E2210" t="str">
        <f>""</f>
        <v/>
      </c>
      <c r="F2210" t="str">
        <f>""</f>
        <v/>
      </c>
      <c r="H2210" t="str">
        <f t="shared" si="39"/>
        <v>MEDICARE TAXES</v>
      </c>
    </row>
    <row r="2211" spans="5:8" x14ac:dyDescent="0.25">
      <c r="E2211" t="str">
        <f>""</f>
        <v/>
      </c>
      <c r="F2211" t="str">
        <f>""</f>
        <v/>
      </c>
      <c r="H2211" t="str">
        <f t="shared" si="39"/>
        <v>MEDICARE TAXES</v>
      </c>
    </row>
    <row r="2212" spans="5:8" x14ac:dyDescent="0.25">
      <c r="E2212" t="str">
        <f>""</f>
        <v/>
      </c>
      <c r="F2212" t="str">
        <f>""</f>
        <v/>
      </c>
      <c r="H2212" t="str">
        <f t="shared" si="39"/>
        <v>MEDICARE TAXES</v>
      </c>
    </row>
    <row r="2213" spans="5:8" x14ac:dyDescent="0.25">
      <c r="E2213" t="str">
        <f>""</f>
        <v/>
      </c>
      <c r="F2213" t="str">
        <f>""</f>
        <v/>
      </c>
      <c r="H2213" t="str">
        <f t="shared" si="39"/>
        <v>MEDICARE TAXES</v>
      </c>
    </row>
    <row r="2214" spans="5:8" x14ac:dyDescent="0.25">
      <c r="E2214" t="str">
        <f>""</f>
        <v/>
      </c>
      <c r="F2214" t="str">
        <f>""</f>
        <v/>
      </c>
      <c r="H2214" t="str">
        <f t="shared" si="39"/>
        <v>MEDICARE TAXES</v>
      </c>
    </row>
    <row r="2215" spans="5:8" x14ac:dyDescent="0.25">
      <c r="E2215" t="str">
        <f>""</f>
        <v/>
      </c>
      <c r="F2215" t="str">
        <f>""</f>
        <v/>
      </c>
      <c r="H2215" t="str">
        <f t="shared" si="39"/>
        <v>MEDICARE TAXES</v>
      </c>
    </row>
    <row r="2216" spans="5:8" x14ac:dyDescent="0.25">
      <c r="E2216" t="str">
        <f>""</f>
        <v/>
      </c>
      <c r="F2216" t="str">
        <f>""</f>
        <v/>
      </c>
      <c r="H2216" t="str">
        <f t="shared" si="39"/>
        <v>MEDICARE TAXES</v>
      </c>
    </row>
    <row r="2217" spans="5:8" x14ac:dyDescent="0.25">
      <c r="E2217" t="str">
        <f>""</f>
        <v/>
      </c>
      <c r="F2217" t="str">
        <f>""</f>
        <v/>
      </c>
      <c r="H2217" t="str">
        <f t="shared" si="39"/>
        <v>MEDICARE TAXES</v>
      </c>
    </row>
    <row r="2218" spans="5:8" x14ac:dyDescent="0.25">
      <c r="E2218" t="str">
        <f>""</f>
        <v/>
      </c>
      <c r="F2218" t="str">
        <f>""</f>
        <v/>
      </c>
      <c r="H2218" t="str">
        <f t="shared" si="39"/>
        <v>MEDICARE TAXES</v>
      </c>
    </row>
    <row r="2219" spans="5:8" x14ac:dyDescent="0.25">
      <c r="E2219" t="str">
        <f>""</f>
        <v/>
      </c>
      <c r="F2219" t="str">
        <f>""</f>
        <v/>
      </c>
      <c r="H2219" t="str">
        <f t="shared" si="39"/>
        <v>MEDICARE TAXES</v>
      </c>
    </row>
    <row r="2220" spans="5:8" x14ac:dyDescent="0.25">
      <c r="E2220" t="str">
        <f>""</f>
        <v/>
      </c>
      <c r="F2220" t="str">
        <f>""</f>
        <v/>
      </c>
      <c r="H2220" t="str">
        <f t="shared" si="39"/>
        <v>MEDICARE TAXES</v>
      </c>
    </row>
    <row r="2221" spans="5:8" x14ac:dyDescent="0.25">
      <c r="E2221" t="str">
        <f>""</f>
        <v/>
      </c>
      <c r="F2221" t="str">
        <f>""</f>
        <v/>
      </c>
      <c r="H2221" t="str">
        <f t="shared" si="39"/>
        <v>MEDICARE TAXES</v>
      </c>
    </row>
    <row r="2222" spans="5:8" x14ac:dyDescent="0.25">
      <c r="E2222" t="str">
        <f>""</f>
        <v/>
      </c>
      <c r="F2222" t="str">
        <f>""</f>
        <v/>
      </c>
      <c r="H2222" t="str">
        <f t="shared" si="39"/>
        <v>MEDICARE TAXES</v>
      </c>
    </row>
    <row r="2223" spans="5:8" x14ac:dyDescent="0.25">
      <c r="E2223" t="str">
        <f>""</f>
        <v/>
      </c>
      <c r="F2223" t="str">
        <f>""</f>
        <v/>
      </c>
      <c r="H2223" t="str">
        <f t="shared" si="39"/>
        <v>MEDICARE TAXES</v>
      </c>
    </row>
    <row r="2224" spans="5:8" x14ac:dyDescent="0.25">
      <c r="E2224" t="str">
        <f>""</f>
        <v/>
      </c>
      <c r="F2224" t="str">
        <f>""</f>
        <v/>
      </c>
      <c r="H2224" t="str">
        <f t="shared" si="39"/>
        <v>MEDICARE TAXES</v>
      </c>
    </row>
    <row r="2225" spans="5:8" x14ac:dyDescent="0.25">
      <c r="E2225" t="str">
        <f>""</f>
        <v/>
      </c>
      <c r="F2225" t="str">
        <f>""</f>
        <v/>
      </c>
      <c r="H2225" t="str">
        <f t="shared" si="39"/>
        <v>MEDICARE TAXES</v>
      </c>
    </row>
    <row r="2226" spans="5:8" x14ac:dyDescent="0.25">
      <c r="E2226" t="str">
        <f>""</f>
        <v/>
      </c>
      <c r="F2226" t="str">
        <f>""</f>
        <v/>
      </c>
      <c r="H2226" t="str">
        <f t="shared" si="39"/>
        <v>MEDICARE TAXES</v>
      </c>
    </row>
    <row r="2227" spans="5:8" x14ac:dyDescent="0.25">
      <c r="E2227" t="str">
        <f>""</f>
        <v/>
      </c>
      <c r="F2227" t="str">
        <f>""</f>
        <v/>
      </c>
      <c r="H2227" t="str">
        <f t="shared" si="39"/>
        <v>MEDICARE TAXES</v>
      </c>
    </row>
    <row r="2228" spans="5:8" x14ac:dyDescent="0.25">
      <c r="E2228" t="str">
        <f>""</f>
        <v/>
      </c>
      <c r="F2228" t="str">
        <f>""</f>
        <v/>
      </c>
      <c r="H2228" t="str">
        <f t="shared" si="39"/>
        <v>MEDICARE TAXES</v>
      </c>
    </row>
    <row r="2229" spans="5:8" x14ac:dyDescent="0.25">
      <c r="E2229" t="str">
        <f>""</f>
        <v/>
      </c>
      <c r="F2229" t="str">
        <f>""</f>
        <v/>
      </c>
      <c r="H2229" t="str">
        <f t="shared" si="39"/>
        <v>MEDICARE TAXES</v>
      </c>
    </row>
    <row r="2230" spans="5:8" x14ac:dyDescent="0.25">
      <c r="E2230" t="str">
        <f>""</f>
        <v/>
      </c>
      <c r="F2230" t="str">
        <f>""</f>
        <v/>
      </c>
      <c r="H2230" t="str">
        <f t="shared" si="39"/>
        <v>MEDICARE TAXES</v>
      </c>
    </row>
    <row r="2231" spans="5:8" x14ac:dyDescent="0.25">
      <c r="E2231" t="str">
        <f>""</f>
        <v/>
      </c>
      <c r="F2231" t="str">
        <f>""</f>
        <v/>
      </c>
      <c r="H2231" t="str">
        <f t="shared" si="39"/>
        <v>MEDICARE TAXES</v>
      </c>
    </row>
    <row r="2232" spans="5:8" x14ac:dyDescent="0.25">
      <c r="E2232" t="str">
        <f>""</f>
        <v/>
      </c>
      <c r="F2232" t="str">
        <f>""</f>
        <v/>
      </c>
      <c r="H2232" t="str">
        <f t="shared" si="39"/>
        <v>MEDICARE TAXES</v>
      </c>
    </row>
    <row r="2233" spans="5:8" x14ac:dyDescent="0.25">
      <c r="E2233" t="str">
        <f>""</f>
        <v/>
      </c>
      <c r="F2233" t="str">
        <f>""</f>
        <v/>
      </c>
      <c r="H2233" t="str">
        <f t="shared" si="39"/>
        <v>MEDICARE TAXES</v>
      </c>
    </row>
    <row r="2234" spans="5:8" x14ac:dyDescent="0.25">
      <c r="E2234" t="str">
        <f>""</f>
        <v/>
      </c>
      <c r="F2234" t="str">
        <f>""</f>
        <v/>
      </c>
      <c r="H2234" t="str">
        <f t="shared" si="39"/>
        <v>MEDICARE TAXES</v>
      </c>
    </row>
    <row r="2235" spans="5:8" x14ac:dyDescent="0.25">
      <c r="E2235" t="str">
        <f>""</f>
        <v/>
      </c>
      <c r="F2235" t="str">
        <f>""</f>
        <v/>
      </c>
      <c r="H2235" t="str">
        <f t="shared" si="39"/>
        <v>MEDICARE TAXES</v>
      </c>
    </row>
    <row r="2236" spans="5:8" x14ac:dyDescent="0.25">
      <c r="E2236" t="str">
        <f>""</f>
        <v/>
      </c>
      <c r="F2236" t="str">
        <f>""</f>
        <v/>
      </c>
      <c r="H2236" t="str">
        <f t="shared" ref="H2236:H2263" si="40">"MEDICARE TAXES"</f>
        <v>MEDICARE TAXES</v>
      </c>
    </row>
    <row r="2237" spans="5:8" x14ac:dyDescent="0.25">
      <c r="E2237" t="str">
        <f>""</f>
        <v/>
      </c>
      <c r="F2237" t="str">
        <f>""</f>
        <v/>
      </c>
      <c r="H2237" t="str">
        <f t="shared" si="40"/>
        <v>MEDICARE TAXES</v>
      </c>
    </row>
    <row r="2238" spans="5:8" x14ac:dyDescent="0.25">
      <c r="E2238" t="str">
        <f>""</f>
        <v/>
      </c>
      <c r="F2238" t="str">
        <f>""</f>
        <v/>
      </c>
      <c r="H2238" t="str">
        <f t="shared" si="40"/>
        <v>MEDICARE TAXES</v>
      </c>
    </row>
    <row r="2239" spans="5:8" x14ac:dyDescent="0.25">
      <c r="E2239" t="str">
        <f>""</f>
        <v/>
      </c>
      <c r="F2239" t="str">
        <f>""</f>
        <v/>
      </c>
      <c r="H2239" t="str">
        <f t="shared" si="40"/>
        <v>MEDICARE TAXES</v>
      </c>
    </row>
    <row r="2240" spans="5:8" x14ac:dyDescent="0.25">
      <c r="E2240" t="str">
        <f>""</f>
        <v/>
      </c>
      <c r="F2240" t="str">
        <f>""</f>
        <v/>
      </c>
      <c r="H2240" t="str">
        <f t="shared" si="40"/>
        <v>MEDICARE TAXES</v>
      </c>
    </row>
    <row r="2241" spans="5:8" x14ac:dyDescent="0.25">
      <c r="E2241" t="str">
        <f>""</f>
        <v/>
      </c>
      <c r="F2241" t="str">
        <f>""</f>
        <v/>
      </c>
      <c r="H2241" t="str">
        <f t="shared" si="40"/>
        <v>MEDICARE TAXES</v>
      </c>
    </row>
    <row r="2242" spans="5:8" x14ac:dyDescent="0.25">
      <c r="E2242" t="str">
        <f>""</f>
        <v/>
      </c>
      <c r="F2242" t="str">
        <f>""</f>
        <v/>
      </c>
      <c r="H2242" t="str">
        <f t="shared" si="40"/>
        <v>MEDICARE TAXES</v>
      </c>
    </row>
    <row r="2243" spans="5:8" x14ac:dyDescent="0.25">
      <c r="E2243" t="str">
        <f>""</f>
        <v/>
      </c>
      <c r="F2243" t="str">
        <f>""</f>
        <v/>
      </c>
      <c r="H2243" t="str">
        <f t="shared" si="40"/>
        <v>MEDICARE TAXES</v>
      </c>
    </row>
    <row r="2244" spans="5:8" x14ac:dyDescent="0.25">
      <c r="E2244" t="str">
        <f>""</f>
        <v/>
      </c>
      <c r="F2244" t="str">
        <f>""</f>
        <v/>
      </c>
      <c r="H2244" t="str">
        <f t="shared" si="40"/>
        <v>MEDICARE TAXES</v>
      </c>
    </row>
    <row r="2245" spans="5:8" x14ac:dyDescent="0.25">
      <c r="E2245" t="str">
        <f>""</f>
        <v/>
      </c>
      <c r="F2245" t="str">
        <f>""</f>
        <v/>
      </c>
      <c r="H2245" t="str">
        <f t="shared" si="40"/>
        <v>MEDICARE TAXES</v>
      </c>
    </row>
    <row r="2246" spans="5:8" x14ac:dyDescent="0.25">
      <c r="E2246" t="str">
        <f>""</f>
        <v/>
      </c>
      <c r="F2246" t="str">
        <f>""</f>
        <v/>
      </c>
      <c r="H2246" t="str">
        <f t="shared" si="40"/>
        <v>MEDICARE TAXES</v>
      </c>
    </row>
    <row r="2247" spans="5:8" x14ac:dyDescent="0.25">
      <c r="E2247" t="str">
        <f>""</f>
        <v/>
      </c>
      <c r="F2247" t="str">
        <f>""</f>
        <v/>
      </c>
      <c r="H2247" t="str">
        <f t="shared" si="40"/>
        <v>MEDICARE TAXES</v>
      </c>
    </row>
    <row r="2248" spans="5:8" x14ac:dyDescent="0.25">
      <c r="E2248" t="str">
        <f>""</f>
        <v/>
      </c>
      <c r="F2248" t="str">
        <f>""</f>
        <v/>
      </c>
      <c r="H2248" t="str">
        <f t="shared" si="40"/>
        <v>MEDICARE TAXES</v>
      </c>
    </row>
    <row r="2249" spans="5:8" x14ac:dyDescent="0.25">
      <c r="E2249" t="str">
        <f>""</f>
        <v/>
      </c>
      <c r="F2249" t="str">
        <f>""</f>
        <v/>
      </c>
      <c r="H2249" t="str">
        <f t="shared" si="40"/>
        <v>MEDICARE TAXES</v>
      </c>
    </row>
    <row r="2250" spans="5:8" x14ac:dyDescent="0.25">
      <c r="E2250" t="str">
        <f>""</f>
        <v/>
      </c>
      <c r="F2250" t="str">
        <f>""</f>
        <v/>
      </c>
      <c r="H2250" t="str">
        <f t="shared" si="40"/>
        <v>MEDICARE TAXES</v>
      </c>
    </row>
    <row r="2251" spans="5:8" x14ac:dyDescent="0.25">
      <c r="E2251" t="str">
        <f>""</f>
        <v/>
      </c>
      <c r="F2251" t="str">
        <f>""</f>
        <v/>
      </c>
      <c r="H2251" t="str">
        <f t="shared" si="40"/>
        <v>MEDICARE TAXES</v>
      </c>
    </row>
    <row r="2252" spans="5:8" x14ac:dyDescent="0.25">
      <c r="E2252" t="str">
        <f>""</f>
        <v/>
      </c>
      <c r="F2252" t="str">
        <f>""</f>
        <v/>
      </c>
      <c r="H2252" t="str">
        <f t="shared" si="40"/>
        <v>MEDICARE TAXES</v>
      </c>
    </row>
    <row r="2253" spans="5:8" x14ac:dyDescent="0.25">
      <c r="E2253" t="str">
        <f>""</f>
        <v/>
      </c>
      <c r="F2253" t="str">
        <f>""</f>
        <v/>
      </c>
      <c r="H2253" t="str">
        <f t="shared" si="40"/>
        <v>MEDICARE TAXES</v>
      </c>
    </row>
    <row r="2254" spans="5:8" x14ac:dyDescent="0.25">
      <c r="E2254" t="str">
        <f>""</f>
        <v/>
      </c>
      <c r="F2254" t="str">
        <f>""</f>
        <v/>
      </c>
      <c r="H2254" t="str">
        <f t="shared" si="40"/>
        <v>MEDICARE TAXES</v>
      </c>
    </row>
    <row r="2255" spans="5:8" x14ac:dyDescent="0.25">
      <c r="E2255" t="str">
        <f>""</f>
        <v/>
      </c>
      <c r="F2255" t="str">
        <f>""</f>
        <v/>
      </c>
      <c r="H2255" t="str">
        <f t="shared" si="40"/>
        <v>MEDICARE TAXES</v>
      </c>
    </row>
    <row r="2256" spans="5:8" x14ac:dyDescent="0.25">
      <c r="E2256" t="str">
        <f>"T4 201810314760"</f>
        <v>T4 201810314760</v>
      </c>
      <c r="F2256" t="str">
        <f>"MEDICARE TAXES"</f>
        <v>MEDICARE TAXES</v>
      </c>
      <c r="G2256" s="2">
        <v>1033.54</v>
      </c>
      <c r="H2256" t="str">
        <f t="shared" si="40"/>
        <v>MEDICARE TAXES</v>
      </c>
    </row>
    <row r="2257" spans="1:8" x14ac:dyDescent="0.25">
      <c r="E2257" t="str">
        <f>""</f>
        <v/>
      </c>
      <c r="F2257" t="str">
        <f>""</f>
        <v/>
      </c>
      <c r="H2257" t="str">
        <f t="shared" si="40"/>
        <v>MEDICARE TAXES</v>
      </c>
    </row>
    <row r="2258" spans="1:8" x14ac:dyDescent="0.25">
      <c r="E2258" t="str">
        <f>"T4 201810314761"</f>
        <v>T4 201810314761</v>
      </c>
      <c r="F2258" t="str">
        <f>"MEDICARE TAXES"</f>
        <v>MEDICARE TAXES</v>
      </c>
      <c r="G2258" s="2">
        <v>1175.1600000000001</v>
      </c>
      <c r="H2258" t="str">
        <f t="shared" si="40"/>
        <v>MEDICARE TAXES</v>
      </c>
    </row>
    <row r="2259" spans="1:8" x14ac:dyDescent="0.25">
      <c r="E2259" t="str">
        <f>""</f>
        <v/>
      </c>
      <c r="F2259" t="str">
        <f>""</f>
        <v/>
      </c>
      <c r="H2259" t="str">
        <f t="shared" si="40"/>
        <v>MEDICARE TAXES</v>
      </c>
    </row>
    <row r="2260" spans="1:8" x14ac:dyDescent="0.25">
      <c r="E2260" t="str">
        <f>"T4 201810314762"</f>
        <v>T4 201810314762</v>
      </c>
      <c r="F2260" t="str">
        <f>"MEDICARE TAXES"</f>
        <v>MEDICARE TAXES</v>
      </c>
      <c r="G2260" s="2">
        <v>84.6</v>
      </c>
      <c r="H2260" t="str">
        <f t="shared" si="40"/>
        <v>MEDICARE TAXES</v>
      </c>
    </row>
    <row r="2261" spans="1:8" x14ac:dyDescent="0.25">
      <c r="E2261" t="str">
        <f>""</f>
        <v/>
      </c>
      <c r="F2261" t="str">
        <f>""</f>
        <v/>
      </c>
      <c r="H2261" t="str">
        <f t="shared" si="40"/>
        <v>MEDICARE TAXES</v>
      </c>
    </row>
    <row r="2262" spans="1:8" x14ac:dyDescent="0.25">
      <c r="E2262" t="str">
        <f>"T4 201811014776"</f>
        <v>T4 201811014776</v>
      </c>
      <c r="F2262" t="str">
        <f>"MEDICARE TAXES"</f>
        <v>MEDICARE TAXES</v>
      </c>
      <c r="G2262" s="2">
        <v>2.38</v>
      </c>
      <c r="H2262" t="str">
        <f t="shared" si="40"/>
        <v>MEDICARE TAXES</v>
      </c>
    </row>
    <row r="2263" spans="1:8" x14ac:dyDescent="0.25">
      <c r="E2263" t="str">
        <f>""</f>
        <v/>
      </c>
      <c r="F2263" t="str">
        <f>""</f>
        <v/>
      </c>
      <c r="H2263" t="str">
        <f t="shared" si="40"/>
        <v>MEDICARE TAXES</v>
      </c>
    </row>
    <row r="2264" spans="1:8" x14ac:dyDescent="0.25">
      <c r="A2264" t="s">
        <v>562</v>
      </c>
      <c r="B2264">
        <v>0</v>
      </c>
      <c r="C2264" s="3">
        <v>217879.92</v>
      </c>
      <c r="D2264" s="1">
        <v>43420</v>
      </c>
      <c r="E2264" t="str">
        <f>"T1 201811145075"</f>
        <v>T1 201811145075</v>
      </c>
      <c r="F2264" t="str">
        <f>"FEDERAL WITHHOLDING"</f>
        <v>FEDERAL WITHHOLDING</v>
      </c>
      <c r="G2264" s="2">
        <v>71696.38</v>
      </c>
      <c r="H2264" t="str">
        <f>"FEDERAL WITHHOLDING"</f>
        <v>FEDERAL WITHHOLDING</v>
      </c>
    </row>
    <row r="2265" spans="1:8" x14ac:dyDescent="0.25">
      <c r="E2265" t="str">
        <f>"T1 201811145076"</f>
        <v>T1 201811145076</v>
      </c>
      <c r="F2265" t="str">
        <f>"FEDERAL WITHHOLDING"</f>
        <v>FEDERAL WITHHOLDING</v>
      </c>
      <c r="G2265" s="2">
        <v>2918.54</v>
      </c>
      <c r="H2265" t="str">
        <f>"FEDERAL WITHHOLDING"</f>
        <v>FEDERAL WITHHOLDING</v>
      </c>
    </row>
    <row r="2266" spans="1:8" x14ac:dyDescent="0.25">
      <c r="E2266" t="str">
        <f>"T1 201811145077"</f>
        <v>T1 201811145077</v>
      </c>
      <c r="F2266" t="str">
        <f>"FEDERAL WITHHOLDING"</f>
        <v>FEDERAL WITHHOLDING</v>
      </c>
      <c r="G2266" s="2">
        <v>3422.56</v>
      </c>
      <c r="H2266" t="str">
        <f>"FEDERAL WITHHOLDING"</f>
        <v>FEDERAL WITHHOLDING</v>
      </c>
    </row>
    <row r="2267" spans="1:8" x14ac:dyDescent="0.25">
      <c r="E2267" t="str">
        <f>"T3 201811145075"</f>
        <v>T3 201811145075</v>
      </c>
      <c r="F2267" t="str">
        <f>"SOCIAL SECURITY TAXES"</f>
        <v>SOCIAL SECURITY TAXES</v>
      </c>
      <c r="G2267" s="2">
        <v>103902.54</v>
      </c>
      <c r="H2267" t="str">
        <f t="shared" ref="H2267:H2298" si="41">"SOCIAL SECURITY TAXES"</f>
        <v>SOCIAL SECURITY TAXES</v>
      </c>
    </row>
    <row r="2268" spans="1:8" x14ac:dyDescent="0.25">
      <c r="E2268" t="str">
        <f>""</f>
        <v/>
      </c>
      <c r="F2268" t="str">
        <f>""</f>
        <v/>
      </c>
      <c r="H2268" t="str">
        <f t="shared" si="41"/>
        <v>SOCIAL SECURITY TAXES</v>
      </c>
    </row>
    <row r="2269" spans="1:8" x14ac:dyDescent="0.25">
      <c r="E2269" t="str">
        <f>""</f>
        <v/>
      </c>
      <c r="F2269" t="str">
        <f>""</f>
        <v/>
      </c>
      <c r="H2269" t="str">
        <f t="shared" si="41"/>
        <v>SOCIAL SECURITY TAXES</v>
      </c>
    </row>
    <row r="2270" spans="1:8" x14ac:dyDescent="0.25">
      <c r="E2270" t="str">
        <f>""</f>
        <v/>
      </c>
      <c r="F2270" t="str">
        <f>""</f>
        <v/>
      </c>
      <c r="H2270" t="str">
        <f t="shared" si="41"/>
        <v>SOCIAL SECURITY TAXES</v>
      </c>
    </row>
    <row r="2271" spans="1:8" x14ac:dyDescent="0.25">
      <c r="E2271" t="str">
        <f>""</f>
        <v/>
      </c>
      <c r="F2271" t="str">
        <f>""</f>
        <v/>
      </c>
      <c r="H2271" t="str">
        <f t="shared" si="41"/>
        <v>SOCIAL SECURITY TAXES</v>
      </c>
    </row>
    <row r="2272" spans="1:8" x14ac:dyDescent="0.25">
      <c r="E2272" t="str">
        <f>""</f>
        <v/>
      </c>
      <c r="F2272" t="str">
        <f>""</f>
        <v/>
      </c>
      <c r="H2272" t="str">
        <f t="shared" si="41"/>
        <v>SOCIAL SECURITY TAXES</v>
      </c>
    </row>
    <row r="2273" spans="5:8" x14ac:dyDescent="0.25">
      <c r="E2273" t="str">
        <f>""</f>
        <v/>
      </c>
      <c r="F2273" t="str">
        <f>""</f>
        <v/>
      </c>
      <c r="H2273" t="str">
        <f t="shared" si="41"/>
        <v>SOCIAL SECURITY TAXES</v>
      </c>
    </row>
    <row r="2274" spans="5:8" x14ac:dyDescent="0.25">
      <c r="E2274" t="str">
        <f>""</f>
        <v/>
      </c>
      <c r="F2274" t="str">
        <f>""</f>
        <v/>
      </c>
      <c r="H2274" t="str">
        <f t="shared" si="41"/>
        <v>SOCIAL SECURITY TAXES</v>
      </c>
    </row>
    <row r="2275" spans="5:8" x14ac:dyDescent="0.25">
      <c r="E2275" t="str">
        <f>""</f>
        <v/>
      </c>
      <c r="F2275" t="str">
        <f>""</f>
        <v/>
      </c>
      <c r="H2275" t="str">
        <f t="shared" si="41"/>
        <v>SOCIAL SECURITY TAXES</v>
      </c>
    </row>
    <row r="2276" spans="5:8" x14ac:dyDescent="0.25">
      <c r="E2276" t="str">
        <f>""</f>
        <v/>
      </c>
      <c r="F2276" t="str">
        <f>""</f>
        <v/>
      </c>
      <c r="H2276" t="str">
        <f t="shared" si="41"/>
        <v>SOCIAL SECURITY TAXES</v>
      </c>
    </row>
    <row r="2277" spans="5:8" x14ac:dyDescent="0.25">
      <c r="E2277" t="str">
        <f>""</f>
        <v/>
      </c>
      <c r="F2277" t="str">
        <f>""</f>
        <v/>
      </c>
      <c r="H2277" t="str">
        <f t="shared" si="41"/>
        <v>SOCIAL SECURITY TAXES</v>
      </c>
    </row>
    <row r="2278" spans="5:8" x14ac:dyDescent="0.25">
      <c r="E2278" t="str">
        <f>""</f>
        <v/>
      </c>
      <c r="F2278" t="str">
        <f>""</f>
        <v/>
      </c>
      <c r="H2278" t="str">
        <f t="shared" si="41"/>
        <v>SOCIAL SECURITY TAXES</v>
      </c>
    </row>
    <row r="2279" spans="5:8" x14ac:dyDescent="0.25">
      <c r="E2279" t="str">
        <f>""</f>
        <v/>
      </c>
      <c r="F2279" t="str">
        <f>""</f>
        <v/>
      </c>
      <c r="H2279" t="str">
        <f t="shared" si="41"/>
        <v>SOCIAL SECURITY TAXES</v>
      </c>
    </row>
    <row r="2280" spans="5:8" x14ac:dyDescent="0.25">
      <c r="E2280" t="str">
        <f>""</f>
        <v/>
      </c>
      <c r="F2280" t="str">
        <f>""</f>
        <v/>
      </c>
      <c r="H2280" t="str">
        <f t="shared" si="41"/>
        <v>SOCIAL SECURITY TAXES</v>
      </c>
    </row>
    <row r="2281" spans="5:8" x14ac:dyDescent="0.25">
      <c r="E2281" t="str">
        <f>""</f>
        <v/>
      </c>
      <c r="F2281" t="str">
        <f>""</f>
        <v/>
      </c>
      <c r="H2281" t="str">
        <f t="shared" si="41"/>
        <v>SOCIAL SECURITY TAXES</v>
      </c>
    </row>
    <row r="2282" spans="5:8" x14ac:dyDescent="0.25">
      <c r="E2282" t="str">
        <f>""</f>
        <v/>
      </c>
      <c r="F2282" t="str">
        <f>""</f>
        <v/>
      </c>
      <c r="H2282" t="str">
        <f t="shared" si="41"/>
        <v>SOCIAL SECURITY TAXES</v>
      </c>
    </row>
    <row r="2283" spans="5:8" x14ac:dyDescent="0.25">
      <c r="E2283" t="str">
        <f>""</f>
        <v/>
      </c>
      <c r="F2283" t="str">
        <f>""</f>
        <v/>
      </c>
      <c r="H2283" t="str">
        <f t="shared" si="41"/>
        <v>SOCIAL SECURITY TAXES</v>
      </c>
    </row>
    <row r="2284" spans="5:8" x14ac:dyDescent="0.25">
      <c r="E2284" t="str">
        <f>""</f>
        <v/>
      </c>
      <c r="F2284" t="str">
        <f>""</f>
        <v/>
      </c>
      <c r="H2284" t="str">
        <f t="shared" si="41"/>
        <v>SOCIAL SECURITY TAXES</v>
      </c>
    </row>
    <row r="2285" spans="5:8" x14ac:dyDescent="0.25">
      <c r="E2285" t="str">
        <f>""</f>
        <v/>
      </c>
      <c r="F2285" t="str">
        <f>""</f>
        <v/>
      </c>
      <c r="H2285" t="str">
        <f t="shared" si="41"/>
        <v>SOCIAL SECURITY TAXES</v>
      </c>
    </row>
    <row r="2286" spans="5:8" x14ac:dyDescent="0.25">
      <c r="E2286" t="str">
        <f>""</f>
        <v/>
      </c>
      <c r="F2286" t="str">
        <f>""</f>
        <v/>
      </c>
      <c r="H2286" t="str">
        <f t="shared" si="41"/>
        <v>SOCIAL SECURITY TAXES</v>
      </c>
    </row>
    <row r="2287" spans="5:8" x14ac:dyDescent="0.25">
      <c r="E2287" t="str">
        <f>""</f>
        <v/>
      </c>
      <c r="F2287" t="str">
        <f>""</f>
        <v/>
      </c>
      <c r="H2287" t="str">
        <f t="shared" si="41"/>
        <v>SOCIAL SECURITY TAXES</v>
      </c>
    </row>
    <row r="2288" spans="5:8" x14ac:dyDescent="0.25">
      <c r="E2288" t="str">
        <f>""</f>
        <v/>
      </c>
      <c r="F2288" t="str">
        <f>""</f>
        <v/>
      </c>
      <c r="H2288" t="str">
        <f t="shared" si="41"/>
        <v>SOCIAL SECURITY TAXES</v>
      </c>
    </row>
    <row r="2289" spans="5:8" x14ac:dyDescent="0.25">
      <c r="E2289" t="str">
        <f>""</f>
        <v/>
      </c>
      <c r="F2289" t="str">
        <f>""</f>
        <v/>
      </c>
      <c r="H2289" t="str">
        <f t="shared" si="41"/>
        <v>SOCIAL SECURITY TAXES</v>
      </c>
    </row>
    <row r="2290" spans="5:8" x14ac:dyDescent="0.25">
      <c r="E2290" t="str">
        <f>""</f>
        <v/>
      </c>
      <c r="F2290" t="str">
        <f>""</f>
        <v/>
      </c>
      <c r="H2290" t="str">
        <f t="shared" si="41"/>
        <v>SOCIAL SECURITY TAXES</v>
      </c>
    </row>
    <row r="2291" spans="5:8" x14ac:dyDescent="0.25">
      <c r="E2291" t="str">
        <f>""</f>
        <v/>
      </c>
      <c r="F2291" t="str">
        <f>""</f>
        <v/>
      </c>
      <c r="H2291" t="str">
        <f t="shared" si="41"/>
        <v>SOCIAL SECURITY TAXES</v>
      </c>
    </row>
    <row r="2292" spans="5:8" x14ac:dyDescent="0.25">
      <c r="E2292" t="str">
        <f>""</f>
        <v/>
      </c>
      <c r="F2292" t="str">
        <f>""</f>
        <v/>
      </c>
      <c r="H2292" t="str">
        <f t="shared" si="41"/>
        <v>SOCIAL SECURITY TAXES</v>
      </c>
    </row>
    <row r="2293" spans="5:8" x14ac:dyDescent="0.25">
      <c r="E2293" t="str">
        <f>""</f>
        <v/>
      </c>
      <c r="F2293" t="str">
        <f>""</f>
        <v/>
      </c>
      <c r="H2293" t="str">
        <f t="shared" si="41"/>
        <v>SOCIAL SECURITY TAXES</v>
      </c>
    </row>
    <row r="2294" spans="5:8" x14ac:dyDescent="0.25">
      <c r="E2294" t="str">
        <f>""</f>
        <v/>
      </c>
      <c r="F2294" t="str">
        <f>""</f>
        <v/>
      </c>
      <c r="H2294" t="str">
        <f t="shared" si="41"/>
        <v>SOCIAL SECURITY TAXES</v>
      </c>
    </row>
    <row r="2295" spans="5:8" x14ac:dyDescent="0.25">
      <c r="E2295" t="str">
        <f>""</f>
        <v/>
      </c>
      <c r="F2295" t="str">
        <f>""</f>
        <v/>
      </c>
      <c r="H2295" t="str">
        <f t="shared" si="41"/>
        <v>SOCIAL SECURITY TAXES</v>
      </c>
    </row>
    <row r="2296" spans="5:8" x14ac:dyDescent="0.25">
      <c r="E2296" t="str">
        <f>""</f>
        <v/>
      </c>
      <c r="F2296" t="str">
        <f>""</f>
        <v/>
      </c>
      <c r="H2296" t="str">
        <f t="shared" si="41"/>
        <v>SOCIAL SECURITY TAXES</v>
      </c>
    </row>
    <row r="2297" spans="5:8" x14ac:dyDescent="0.25">
      <c r="E2297" t="str">
        <f>""</f>
        <v/>
      </c>
      <c r="F2297" t="str">
        <f>""</f>
        <v/>
      </c>
      <c r="H2297" t="str">
        <f t="shared" si="41"/>
        <v>SOCIAL SECURITY TAXES</v>
      </c>
    </row>
    <row r="2298" spans="5:8" x14ac:dyDescent="0.25">
      <c r="E2298" t="str">
        <f>""</f>
        <v/>
      </c>
      <c r="F2298" t="str">
        <f>""</f>
        <v/>
      </c>
      <c r="H2298" t="str">
        <f t="shared" si="41"/>
        <v>SOCIAL SECURITY TAXES</v>
      </c>
    </row>
    <row r="2299" spans="5:8" x14ac:dyDescent="0.25">
      <c r="E2299" t="str">
        <f>""</f>
        <v/>
      </c>
      <c r="F2299" t="str">
        <f>""</f>
        <v/>
      </c>
      <c r="H2299" t="str">
        <f t="shared" ref="H2299:H2324" si="42">"SOCIAL SECURITY TAXES"</f>
        <v>SOCIAL SECURITY TAXES</v>
      </c>
    </row>
    <row r="2300" spans="5:8" x14ac:dyDescent="0.25">
      <c r="E2300" t="str">
        <f>""</f>
        <v/>
      </c>
      <c r="F2300" t="str">
        <f>""</f>
        <v/>
      </c>
      <c r="H2300" t="str">
        <f t="shared" si="42"/>
        <v>SOCIAL SECURITY TAXES</v>
      </c>
    </row>
    <row r="2301" spans="5:8" x14ac:dyDescent="0.25">
      <c r="E2301" t="str">
        <f>""</f>
        <v/>
      </c>
      <c r="F2301" t="str">
        <f>""</f>
        <v/>
      </c>
      <c r="H2301" t="str">
        <f t="shared" si="42"/>
        <v>SOCIAL SECURITY TAXES</v>
      </c>
    </row>
    <row r="2302" spans="5:8" x14ac:dyDescent="0.25">
      <c r="E2302" t="str">
        <f>""</f>
        <v/>
      </c>
      <c r="F2302" t="str">
        <f>""</f>
        <v/>
      </c>
      <c r="H2302" t="str">
        <f t="shared" si="42"/>
        <v>SOCIAL SECURITY TAXES</v>
      </c>
    </row>
    <row r="2303" spans="5:8" x14ac:dyDescent="0.25">
      <c r="E2303" t="str">
        <f>""</f>
        <v/>
      </c>
      <c r="F2303" t="str">
        <f>""</f>
        <v/>
      </c>
      <c r="H2303" t="str">
        <f t="shared" si="42"/>
        <v>SOCIAL SECURITY TAXES</v>
      </c>
    </row>
    <row r="2304" spans="5:8" x14ac:dyDescent="0.25">
      <c r="E2304" t="str">
        <f>""</f>
        <v/>
      </c>
      <c r="F2304" t="str">
        <f>""</f>
        <v/>
      </c>
      <c r="H2304" t="str">
        <f t="shared" si="42"/>
        <v>SOCIAL SECURITY TAXES</v>
      </c>
    </row>
    <row r="2305" spans="5:8" x14ac:dyDescent="0.25">
      <c r="E2305" t="str">
        <f>""</f>
        <v/>
      </c>
      <c r="F2305" t="str">
        <f>""</f>
        <v/>
      </c>
      <c r="H2305" t="str">
        <f t="shared" si="42"/>
        <v>SOCIAL SECURITY TAXES</v>
      </c>
    </row>
    <row r="2306" spans="5:8" x14ac:dyDescent="0.25">
      <c r="E2306" t="str">
        <f>""</f>
        <v/>
      </c>
      <c r="F2306" t="str">
        <f>""</f>
        <v/>
      </c>
      <c r="H2306" t="str">
        <f t="shared" si="42"/>
        <v>SOCIAL SECURITY TAXES</v>
      </c>
    </row>
    <row r="2307" spans="5:8" x14ac:dyDescent="0.25">
      <c r="E2307" t="str">
        <f>""</f>
        <v/>
      </c>
      <c r="F2307" t="str">
        <f>""</f>
        <v/>
      </c>
      <c r="H2307" t="str">
        <f t="shared" si="42"/>
        <v>SOCIAL SECURITY TAXES</v>
      </c>
    </row>
    <row r="2308" spans="5:8" x14ac:dyDescent="0.25">
      <c r="E2308" t="str">
        <f>""</f>
        <v/>
      </c>
      <c r="F2308" t="str">
        <f>""</f>
        <v/>
      </c>
      <c r="H2308" t="str">
        <f t="shared" si="42"/>
        <v>SOCIAL SECURITY TAXES</v>
      </c>
    </row>
    <row r="2309" spans="5:8" x14ac:dyDescent="0.25">
      <c r="E2309" t="str">
        <f>""</f>
        <v/>
      </c>
      <c r="F2309" t="str">
        <f>""</f>
        <v/>
      </c>
      <c r="H2309" t="str">
        <f t="shared" si="42"/>
        <v>SOCIAL SECURITY TAXES</v>
      </c>
    </row>
    <row r="2310" spans="5:8" x14ac:dyDescent="0.25">
      <c r="E2310" t="str">
        <f>""</f>
        <v/>
      </c>
      <c r="F2310" t="str">
        <f>""</f>
        <v/>
      </c>
      <c r="H2310" t="str">
        <f t="shared" si="42"/>
        <v>SOCIAL SECURITY TAXES</v>
      </c>
    </row>
    <row r="2311" spans="5:8" x14ac:dyDescent="0.25">
      <c r="E2311" t="str">
        <f>""</f>
        <v/>
      </c>
      <c r="F2311" t="str">
        <f>""</f>
        <v/>
      </c>
      <c r="H2311" t="str">
        <f t="shared" si="42"/>
        <v>SOCIAL SECURITY TAXES</v>
      </c>
    </row>
    <row r="2312" spans="5:8" x14ac:dyDescent="0.25">
      <c r="E2312" t="str">
        <f>""</f>
        <v/>
      </c>
      <c r="F2312" t="str">
        <f>""</f>
        <v/>
      </c>
      <c r="H2312" t="str">
        <f t="shared" si="42"/>
        <v>SOCIAL SECURITY TAXES</v>
      </c>
    </row>
    <row r="2313" spans="5:8" x14ac:dyDescent="0.25">
      <c r="E2313" t="str">
        <f>""</f>
        <v/>
      </c>
      <c r="F2313" t="str">
        <f>""</f>
        <v/>
      </c>
      <c r="H2313" t="str">
        <f t="shared" si="42"/>
        <v>SOCIAL SECURITY TAXES</v>
      </c>
    </row>
    <row r="2314" spans="5:8" x14ac:dyDescent="0.25">
      <c r="E2314" t="str">
        <f>""</f>
        <v/>
      </c>
      <c r="F2314" t="str">
        <f>""</f>
        <v/>
      </c>
      <c r="H2314" t="str">
        <f t="shared" si="42"/>
        <v>SOCIAL SECURITY TAXES</v>
      </c>
    </row>
    <row r="2315" spans="5:8" x14ac:dyDescent="0.25">
      <c r="E2315" t="str">
        <f>""</f>
        <v/>
      </c>
      <c r="F2315" t="str">
        <f>""</f>
        <v/>
      </c>
      <c r="H2315" t="str">
        <f t="shared" si="42"/>
        <v>SOCIAL SECURITY TAXES</v>
      </c>
    </row>
    <row r="2316" spans="5:8" x14ac:dyDescent="0.25">
      <c r="E2316" t="str">
        <f>""</f>
        <v/>
      </c>
      <c r="F2316" t="str">
        <f>""</f>
        <v/>
      </c>
      <c r="H2316" t="str">
        <f t="shared" si="42"/>
        <v>SOCIAL SECURITY TAXES</v>
      </c>
    </row>
    <row r="2317" spans="5:8" x14ac:dyDescent="0.25">
      <c r="E2317" t="str">
        <f>""</f>
        <v/>
      </c>
      <c r="F2317" t="str">
        <f>""</f>
        <v/>
      </c>
      <c r="H2317" t="str">
        <f t="shared" si="42"/>
        <v>SOCIAL SECURITY TAXES</v>
      </c>
    </row>
    <row r="2318" spans="5:8" x14ac:dyDescent="0.25">
      <c r="E2318" t="str">
        <f>""</f>
        <v/>
      </c>
      <c r="F2318" t="str">
        <f>""</f>
        <v/>
      </c>
      <c r="H2318" t="str">
        <f t="shared" si="42"/>
        <v>SOCIAL SECURITY TAXES</v>
      </c>
    </row>
    <row r="2319" spans="5:8" x14ac:dyDescent="0.25">
      <c r="E2319" t="str">
        <f>"T3 201811145076"</f>
        <v>T3 201811145076</v>
      </c>
      <c r="F2319" t="str">
        <f>"SOCIAL SECURITY TAXES"</f>
        <v>SOCIAL SECURITY TAXES</v>
      </c>
      <c r="G2319" s="2">
        <v>4046.5</v>
      </c>
      <c r="H2319" t="str">
        <f t="shared" si="42"/>
        <v>SOCIAL SECURITY TAXES</v>
      </c>
    </row>
    <row r="2320" spans="5:8" x14ac:dyDescent="0.25">
      <c r="E2320" t="str">
        <f>""</f>
        <v/>
      </c>
      <c r="F2320" t="str">
        <f>""</f>
        <v/>
      </c>
      <c r="H2320" t="str">
        <f t="shared" si="42"/>
        <v>SOCIAL SECURITY TAXES</v>
      </c>
    </row>
    <row r="2321" spans="5:8" x14ac:dyDescent="0.25">
      <c r="E2321" t="str">
        <f>"T3 201811145077"</f>
        <v>T3 201811145077</v>
      </c>
      <c r="F2321" t="str">
        <f>"SOCIAL SECURITY TAXES"</f>
        <v>SOCIAL SECURITY TAXES</v>
      </c>
      <c r="G2321" s="2">
        <v>5004.16</v>
      </c>
      <c r="H2321" t="str">
        <f t="shared" si="42"/>
        <v>SOCIAL SECURITY TAXES</v>
      </c>
    </row>
    <row r="2322" spans="5:8" x14ac:dyDescent="0.25">
      <c r="E2322" t="str">
        <f>""</f>
        <v/>
      </c>
      <c r="F2322" t="str">
        <f>""</f>
        <v/>
      </c>
      <c r="H2322" t="str">
        <f t="shared" si="42"/>
        <v>SOCIAL SECURITY TAXES</v>
      </c>
    </row>
    <row r="2323" spans="5:8" x14ac:dyDescent="0.25">
      <c r="E2323" t="str">
        <f>"T3 201811155156"</f>
        <v>T3 201811155156</v>
      </c>
      <c r="F2323" t="str">
        <f>"SOCIAL SECURITY TAXES"</f>
        <v>SOCIAL SECURITY TAXES</v>
      </c>
      <c r="G2323" s="2">
        <v>383.16</v>
      </c>
      <c r="H2323" t="str">
        <f t="shared" si="42"/>
        <v>SOCIAL SECURITY TAXES</v>
      </c>
    </row>
    <row r="2324" spans="5:8" x14ac:dyDescent="0.25">
      <c r="E2324" t="str">
        <f>""</f>
        <v/>
      </c>
      <c r="F2324" t="str">
        <f>""</f>
        <v/>
      </c>
      <c r="H2324" t="str">
        <f t="shared" si="42"/>
        <v>SOCIAL SECURITY TAXES</v>
      </c>
    </row>
    <row r="2325" spans="5:8" x14ac:dyDescent="0.25">
      <c r="E2325" t="str">
        <f>"T4 201811145075"</f>
        <v>T4 201811145075</v>
      </c>
      <c r="F2325" t="str">
        <f>"MEDICARE TAXES"</f>
        <v>MEDICARE TAXES</v>
      </c>
      <c r="G2325" s="2">
        <v>24299.7</v>
      </c>
      <c r="H2325" t="str">
        <f t="shared" ref="H2325:H2356" si="43">"MEDICARE TAXES"</f>
        <v>MEDICARE TAXES</v>
      </c>
    </row>
    <row r="2326" spans="5:8" x14ac:dyDescent="0.25">
      <c r="E2326" t="str">
        <f>""</f>
        <v/>
      </c>
      <c r="F2326" t="str">
        <f>""</f>
        <v/>
      </c>
      <c r="H2326" t="str">
        <f t="shared" si="43"/>
        <v>MEDICARE TAXES</v>
      </c>
    </row>
    <row r="2327" spans="5:8" x14ac:dyDescent="0.25">
      <c r="E2327" t="str">
        <f>""</f>
        <v/>
      </c>
      <c r="F2327" t="str">
        <f>""</f>
        <v/>
      </c>
      <c r="H2327" t="str">
        <f t="shared" si="43"/>
        <v>MEDICARE TAXES</v>
      </c>
    </row>
    <row r="2328" spans="5:8" x14ac:dyDescent="0.25">
      <c r="E2328" t="str">
        <f>""</f>
        <v/>
      </c>
      <c r="F2328" t="str">
        <f>""</f>
        <v/>
      </c>
      <c r="H2328" t="str">
        <f t="shared" si="43"/>
        <v>MEDICARE TAXES</v>
      </c>
    </row>
    <row r="2329" spans="5:8" x14ac:dyDescent="0.25">
      <c r="E2329" t="str">
        <f>""</f>
        <v/>
      </c>
      <c r="F2329" t="str">
        <f>""</f>
        <v/>
      </c>
      <c r="H2329" t="str">
        <f t="shared" si="43"/>
        <v>MEDICARE TAXES</v>
      </c>
    </row>
    <row r="2330" spans="5:8" x14ac:dyDescent="0.25">
      <c r="E2330" t="str">
        <f>""</f>
        <v/>
      </c>
      <c r="F2330" t="str">
        <f>""</f>
        <v/>
      </c>
      <c r="H2330" t="str">
        <f t="shared" si="43"/>
        <v>MEDICARE TAXES</v>
      </c>
    </row>
    <row r="2331" spans="5:8" x14ac:dyDescent="0.25">
      <c r="E2331" t="str">
        <f>""</f>
        <v/>
      </c>
      <c r="F2331" t="str">
        <f>""</f>
        <v/>
      </c>
      <c r="H2331" t="str">
        <f t="shared" si="43"/>
        <v>MEDICARE TAXES</v>
      </c>
    </row>
    <row r="2332" spans="5:8" x14ac:dyDescent="0.25">
      <c r="E2332" t="str">
        <f>""</f>
        <v/>
      </c>
      <c r="F2332" t="str">
        <f>""</f>
        <v/>
      </c>
      <c r="H2332" t="str">
        <f t="shared" si="43"/>
        <v>MEDICARE TAXES</v>
      </c>
    </row>
    <row r="2333" spans="5:8" x14ac:dyDescent="0.25">
      <c r="E2333" t="str">
        <f>""</f>
        <v/>
      </c>
      <c r="F2333" t="str">
        <f>""</f>
        <v/>
      </c>
      <c r="H2333" t="str">
        <f t="shared" si="43"/>
        <v>MEDICARE TAXES</v>
      </c>
    </row>
    <row r="2334" spans="5:8" x14ac:dyDescent="0.25">
      <c r="E2334" t="str">
        <f>""</f>
        <v/>
      </c>
      <c r="F2334" t="str">
        <f>""</f>
        <v/>
      </c>
      <c r="H2334" t="str">
        <f t="shared" si="43"/>
        <v>MEDICARE TAXES</v>
      </c>
    </row>
    <row r="2335" spans="5:8" x14ac:dyDescent="0.25">
      <c r="E2335" t="str">
        <f>""</f>
        <v/>
      </c>
      <c r="F2335" t="str">
        <f>""</f>
        <v/>
      </c>
      <c r="H2335" t="str">
        <f t="shared" si="43"/>
        <v>MEDICARE TAXES</v>
      </c>
    </row>
    <row r="2336" spans="5:8" x14ac:dyDescent="0.25">
      <c r="E2336" t="str">
        <f>""</f>
        <v/>
      </c>
      <c r="F2336" t="str">
        <f>""</f>
        <v/>
      </c>
      <c r="H2336" t="str">
        <f t="shared" si="43"/>
        <v>MEDICARE TAXES</v>
      </c>
    </row>
    <row r="2337" spans="5:8" x14ac:dyDescent="0.25">
      <c r="E2337" t="str">
        <f>""</f>
        <v/>
      </c>
      <c r="F2337" t="str">
        <f>""</f>
        <v/>
      </c>
      <c r="H2337" t="str">
        <f t="shared" si="43"/>
        <v>MEDICARE TAXES</v>
      </c>
    </row>
    <row r="2338" spans="5:8" x14ac:dyDescent="0.25">
      <c r="E2338" t="str">
        <f>""</f>
        <v/>
      </c>
      <c r="F2338" t="str">
        <f>""</f>
        <v/>
      </c>
      <c r="H2338" t="str">
        <f t="shared" si="43"/>
        <v>MEDICARE TAXES</v>
      </c>
    </row>
    <row r="2339" spans="5:8" x14ac:dyDescent="0.25">
      <c r="E2339" t="str">
        <f>""</f>
        <v/>
      </c>
      <c r="F2339" t="str">
        <f>""</f>
        <v/>
      </c>
      <c r="H2339" t="str">
        <f t="shared" si="43"/>
        <v>MEDICARE TAXES</v>
      </c>
    </row>
    <row r="2340" spans="5:8" x14ac:dyDescent="0.25">
      <c r="E2340" t="str">
        <f>""</f>
        <v/>
      </c>
      <c r="F2340" t="str">
        <f>""</f>
        <v/>
      </c>
      <c r="H2340" t="str">
        <f t="shared" si="43"/>
        <v>MEDICARE TAXES</v>
      </c>
    </row>
    <row r="2341" spans="5:8" x14ac:dyDescent="0.25">
      <c r="E2341" t="str">
        <f>""</f>
        <v/>
      </c>
      <c r="F2341" t="str">
        <f>""</f>
        <v/>
      </c>
      <c r="H2341" t="str">
        <f t="shared" si="43"/>
        <v>MEDICARE TAXES</v>
      </c>
    </row>
    <row r="2342" spans="5:8" x14ac:dyDescent="0.25">
      <c r="E2342" t="str">
        <f>""</f>
        <v/>
      </c>
      <c r="F2342" t="str">
        <f>""</f>
        <v/>
      </c>
      <c r="H2342" t="str">
        <f t="shared" si="43"/>
        <v>MEDICARE TAXES</v>
      </c>
    </row>
    <row r="2343" spans="5:8" x14ac:dyDescent="0.25">
      <c r="E2343" t="str">
        <f>""</f>
        <v/>
      </c>
      <c r="F2343" t="str">
        <f>""</f>
        <v/>
      </c>
      <c r="H2343" t="str">
        <f t="shared" si="43"/>
        <v>MEDICARE TAXES</v>
      </c>
    </row>
    <row r="2344" spans="5:8" x14ac:dyDescent="0.25">
      <c r="E2344" t="str">
        <f>""</f>
        <v/>
      </c>
      <c r="F2344" t="str">
        <f>""</f>
        <v/>
      </c>
      <c r="H2344" t="str">
        <f t="shared" si="43"/>
        <v>MEDICARE TAXES</v>
      </c>
    </row>
    <row r="2345" spans="5:8" x14ac:dyDescent="0.25">
      <c r="E2345" t="str">
        <f>""</f>
        <v/>
      </c>
      <c r="F2345" t="str">
        <f>""</f>
        <v/>
      </c>
      <c r="H2345" t="str">
        <f t="shared" si="43"/>
        <v>MEDICARE TAXES</v>
      </c>
    </row>
    <row r="2346" spans="5:8" x14ac:dyDescent="0.25">
      <c r="E2346" t="str">
        <f>""</f>
        <v/>
      </c>
      <c r="F2346" t="str">
        <f>""</f>
        <v/>
      </c>
      <c r="H2346" t="str">
        <f t="shared" si="43"/>
        <v>MEDICARE TAXES</v>
      </c>
    </row>
    <row r="2347" spans="5:8" x14ac:dyDescent="0.25">
      <c r="E2347" t="str">
        <f>""</f>
        <v/>
      </c>
      <c r="F2347" t="str">
        <f>""</f>
        <v/>
      </c>
      <c r="H2347" t="str">
        <f t="shared" si="43"/>
        <v>MEDICARE TAXES</v>
      </c>
    </row>
    <row r="2348" spans="5:8" x14ac:dyDescent="0.25">
      <c r="E2348" t="str">
        <f>""</f>
        <v/>
      </c>
      <c r="F2348" t="str">
        <f>""</f>
        <v/>
      </c>
      <c r="H2348" t="str">
        <f t="shared" si="43"/>
        <v>MEDICARE TAXES</v>
      </c>
    </row>
    <row r="2349" spans="5:8" x14ac:dyDescent="0.25">
      <c r="E2349" t="str">
        <f>""</f>
        <v/>
      </c>
      <c r="F2349" t="str">
        <f>""</f>
        <v/>
      </c>
      <c r="H2349" t="str">
        <f t="shared" si="43"/>
        <v>MEDICARE TAXES</v>
      </c>
    </row>
    <row r="2350" spans="5:8" x14ac:dyDescent="0.25">
      <c r="E2350" t="str">
        <f>""</f>
        <v/>
      </c>
      <c r="F2350" t="str">
        <f>""</f>
        <v/>
      </c>
      <c r="H2350" t="str">
        <f t="shared" si="43"/>
        <v>MEDICARE TAXES</v>
      </c>
    </row>
    <row r="2351" spans="5:8" x14ac:dyDescent="0.25">
      <c r="E2351" t="str">
        <f>""</f>
        <v/>
      </c>
      <c r="F2351" t="str">
        <f>""</f>
        <v/>
      </c>
      <c r="H2351" t="str">
        <f t="shared" si="43"/>
        <v>MEDICARE TAXES</v>
      </c>
    </row>
    <row r="2352" spans="5:8" x14ac:dyDescent="0.25">
      <c r="E2352" t="str">
        <f>""</f>
        <v/>
      </c>
      <c r="F2352" t="str">
        <f>""</f>
        <v/>
      </c>
      <c r="H2352" t="str">
        <f t="shared" si="43"/>
        <v>MEDICARE TAXES</v>
      </c>
    </row>
    <row r="2353" spans="5:8" x14ac:dyDescent="0.25">
      <c r="E2353" t="str">
        <f>""</f>
        <v/>
      </c>
      <c r="F2353" t="str">
        <f>""</f>
        <v/>
      </c>
      <c r="H2353" t="str">
        <f t="shared" si="43"/>
        <v>MEDICARE TAXES</v>
      </c>
    </row>
    <row r="2354" spans="5:8" x14ac:dyDescent="0.25">
      <c r="E2354" t="str">
        <f>""</f>
        <v/>
      </c>
      <c r="F2354" t="str">
        <f>""</f>
        <v/>
      </c>
      <c r="H2354" t="str">
        <f t="shared" si="43"/>
        <v>MEDICARE TAXES</v>
      </c>
    </row>
    <row r="2355" spans="5:8" x14ac:dyDescent="0.25">
      <c r="E2355" t="str">
        <f>""</f>
        <v/>
      </c>
      <c r="F2355" t="str">
        <f>""</f>
        <v/>
      </c>
      <c r="H2355" t="str">
        <f t="shared" si="43"/>
        <v>MEDICARE TAXES</v>
      </c>
    </row>
    <row r="2356" spans="5:8" x14ac:dyDescent="0.25">
      <c r="E2356" t="str">
        <f>""</f>
        <v/>
      </c>
      <c r="F2356" t="str">
        <f>""</f>
        <v/>
      </c>
      <c r="H2356" t="str">
        <f t="shared" si="43"/>
        <v>MEDICARE TAXES</v>
      </c>
    </row>
    <row r="2357" spans="5:8" x14ac:dyDescent="0.25">
      <c r="E2357" t="str">
        <f>""</f>
        <v/>
      </c>
      <c r="F2357" t="str">
        <f>""</f>
        <v/>
      </c>
      <c r="H2357" t="str">
        <f t="shared" ref="H2357:H2382" si="44">"MEDICARE TAXES"</f>
        <v>MEDICARE TAXES</v>
      </c>
    </row>
    <row r="2358" spans="5:8" x14ac:dyDescent="0.25">
      <c r="E2358" t="str">
        <f>""</f>
        <v/>
      </c>
      <c r="F2358" t="str">
        <f>""</f>
        <v/>
      </c>
      <c r="H2358" t="str">
        <f t="shared" si="44"/>
        <v>MEDICARE TAXES</v>
      </c>
    </row>
    <row r="2359" spans="5:8" x14ac:dyDescent="0.25">
      <c r="E2359" t="str">
        <f>""</f>
        <v/>
      </c>
      <c r="F2359" t="str">
        <f>""</f>
        <v/>
      </c>
      <c r="H2359" t="str">
        <f t="shared" si="44"/>
        <v>MEDICARE TAXES</v>
      </c>
    </row>
    <row r="2360" spans="5:8" x14ac:dyDescent="0.25">
      <c r="E2360" t="str">
        <f>""</f>
        <v/>
      </c>
      <c r="F2360" t="str">
        <f>""</f>
        <v/>
      </c>
      <c r="H2360" t="str">
        <f t="shared" si="44"/>
        <v>MEDICARE TAXES</v>
      </c>
    </row>
    <row r="2361" spans="5:8" x14ac:dyDescent="0.25">
      <c r="E2361" t="str">
        <f>""</f>
        <v/>
      </c>
      <c r="F2361" t="str">
        <f>""</f>
        <v/>
      </c>
      <c r="H2361" t="str">
        <f t="shared" si="44"/>
        <v>MEDICARE TAXES</v>
      </c>
    </row>
    <row r="2362" spans="5:8" x14ac:dyDescent="0.25">
      <c r="E2362" t="str">
        <f>""</f>
        <v/>
      </c>
      <c r="F2362" t="str">
        <f>""</f>
        <v/>
      </c>
      <c r="H2362" t="str">
        <f t="shared" si="44"/>
        <v>MEDICARE TAXES</v>
      </c>
    </row>
    <row r="2363" spans="5:8" x14ac:dyDescent="0.25">
      <c r="E2363" t="str">
        <f>""</f>
        <v/>
      </c>
      <c r="F2363" t="str">
        <f>""</f>
        <v/>
      </c>
      <c r="H2363" t="str">
        <f t="shared" si="44"/>
        <v>MEDICARE TAXES</v>
      </c>
    </row>
    <row r="2364" spans="5:8" x14ac:dyDescent="0.25">
      <c r="E2364" t="str">
        <f>""</f>
        <v/>
      </c>
      <c r="F2364" t="str">
        <f>""</f>
        <v/>
      </c>
      <c r="H2364" t="str">
        <f t="shared" si="44"/>
        <v>MEDICARE TAXES</v>
      </c>
    </row>
    <row r="2365" spans="5:8" x14ac:dyDescent="0.25">
      <c r="E2365" t="str">
        <f>""</f>
        <v/>
      </c>
      <c r="F2365" t="str">
        <f>""</f>
        <v/>
      </c>
      <c r="H2365" t="str">
        <f t="shared" si="44"/>
        <v>MEDICARE TAXES</v>
      </c>
    </row>
    <row r="2366" spans="5:8" x14ac:dyDescent="0.25">
      <c r="E2366" t="str">
        <f>""</f>
        <v/>
      </c>
      <c r="F2366" t="str">
        <f>""</f>
        <v/>
      </c>
      <c r="H2366" t="str">
        <f t="shared" si="44"/>
        <v>MEDICARE TAXES</v>
      </c>
    </row>
    <row r="2367" spans="5:8" x14ac:dyDescent="0.25">
      <c r="E2367" t="str">
        <f>""</f>
        <v/>
      </c>
      <c r="F2367" t="str">
        <f>""</f>
        <v/>
      </c>
      <c r="H2367" t="str">
        <f t="shared" si="44"/>
        <v>MEDICARE TAXES</v>
      </c>
    </row>
    <row r="2368" spans="5:8" x14ac:dyDescent="0.25">
      <c r="E2368" t="str">
        <f>""</f>
        <v/>
      </c>
      <c r="F2368" t="str">
        <f>""</f>
        <v/>
      </c>
      <c r="H2368" t="str">
        <f t="shared" si="44"/>
        <v>MEDICARE TAXES</v>
      </c>
    </row>
    <row r="2369" spans="1:8" x14ac:dyDescent="0.25">
      <c r="E2369" t="str">
        <f>""</f>
        <v/>
      </c>
      <c r="F2369" t="str">
        <f>""</f>
        <v/>
      </c>
      <c r="H2369" t="str">
        <f t="shared" si="44"/>
        <v>MEDICARE TAXES</v>
      </c>
    </row>
    <row r="2370" spans="1:8" x14ac:dyDescent="0.25">
      <c r="E2370" t="str">
        <f>""</f>
        <v/>
      </c>
      <c r="F2370" t="str">
        <f>""</f>
        <v/>
      </c>
      <c r="H2370" t="str">
        <f t="shared" si="44"/>
        <v>MEDICARE TAXES</v>
      </c>
    </row>
    <row r="2371" spans="1:8" x14ac:dyDescent="0.25">
      <c r="E2371" t="str">
        <f>""</f>
        <v/>
      </c>
      <c r="F2371" t="str">
        <f>""</f>
        <v/>
      </c>
      <c r="H2371" t="str">
        <f t="shared" si="44"/>
        <v>MEDICARE TAXES</v>
      </c>
    </row>
    <row r="2372" spans="1:8" x14ac:dyDescent="0.25">
      <c r="E2372" t="str">
        <f>""</f>
        <v/>
      </c>
      <c r="F2372" t="str">
        <f>""</f>
        <v/>
      </c>
      <c r="H2372" t="str">
        <f t="shared" si="44"/>
        <v>MEDICARE TAXES</v>
      </c>
    </row>
    <row r="2373" spans="1:8" x14ac:dyDescent="0.25">
      <c r="E2373" t="str">
        <f>""</f>
        <v/>
      </c>
      <c r="F2373" t="str">
        <f>""</f>
        <v/>
      </c>
      <c r="H2373" t="str">
        <f t="shared" si="44"/>
        <v>MEDICARE TAXES</v>
      </c>
    </row>
    <row r="2374" spans="1:8" x14ac:dyDescent="0.25">
      <c r="E2374" t="str">
        <f>""</f>
        <v/>
      </c>
      <c r="F2374" t="str">
        <f>""</f>
        <v/>
      </c>
      <c r="H2374" t="str">
        <f t="shared" si="44"/>
        <v>MEDICARE TAXES</v>
      </c>
    </row>
    <row r="2375" spans="1:8" x14ac:dyDescent="0.25">
      <c r="E2375" t="str">
        <f>""</f>
        <v/>
      </c>
      <c r="F2375" t="str">
        <f>""</f>
        <v/>
      </c>
      <c r="H2375" t="str">
        <f t="shared" si="44"/>
        <v>MEDICARE TAXES</v>
      </c>
    </row>
    <row r="2376" spans="1:8" x14ac:dyDescent="0.25">
      <c r="E2376" t="str">
        <f>""</f>
        <v/>
      </c>
      <c r="F2376" t="str">
        <f>""</f>
        <v/>
      </c>
      <c r="H2376" t="str">
        <f t="shared" si="44"/>
        <v>MEDICARE TAXES</v>
      </c>
    </row>
    <row r="2377" spans="1:8" x14ac:dyDescent="0.25">
      <c r="E2377" t="str">
        <f>"T4 201811145076"</f>
        <v>T4 201811145076</v>
      </c>
      <c r="F2377" t="str">
        <f>"MEDICARE TAXES"</f>
        <v>MEDICARE TAXES</v>
      </c>
      <c r="G2377" s="2">
        <v>946.38</v>
      </c>
      <c r="H2377" t="str">
        <f t="shared" si="44"/>
        <v>MEDICARE TAXES</v>
      </c>
    </row>
    <row r="2378" spans="1:8" x14ac:dyDescent="0.25">
      <c r="E2378" t="str">
        <f>""</f>
        <v/>
      </c>
      <c r="F2378" t="str">
        <f>""</f>
        <v/>
      </c>
      <c r="H2378" t="str">
        <f t="shared" si="44"/>
        <v>MEDICARE TAXES</v>
      </c>
    </row>
    <row r="2379" spans="1:8" x14ac:dyDescent="0.25">
      <c r="E2379" t="str">
        <f>"T4 201811145077"</f>
        <v>T4 201811145077</v>
      </c>
      <c r="F2379" t="str">
        <f>"MEDICARE TAXES"</f>
        <v>MEDICARE TAXES</v>
      </c>
      <c r="G2379" s="2">
        <v>1170.4000000000001</v>
      </c>
      <c r="H2379" t="str">
        <f t="shared" si="44"/>
        <v>MEDICARE TAXES</v>
      </c>
    </row>
    <row r="2380" spans="1:8" x14ac:dyDescent="0.25">
      <c r="E2380" t="str">
        <f>""</f>
        <v/>
      </c>
      <c r="F2380" t="str">
        <f>""</f>
        <v/>
      </c>
      <c r="H2380" t="str">
        <f t="shared" si="44"/>
        <v>MEDICARE TAXES</v>
      </c>
    </row>
    <row r="2381" spans="1:8" x14ac:dyDescent="0.25">
      <c r="E2381" t="str">
        <f>"T4 201811155156"</f>
        <v>T4 201811155156</v>
      </c>
      <c r="F2381" t="str">
        <f>"MEDICARE TAXES"</f>
        <v>MEDICARE TAXES</v>
      </c>
      <c r="G2381" s="2">
        <v>89.6</v>
      </c>
      <c r="H2381" t="str">
        <f t="shared" si="44"/>
        <v>MEDICARE TAXES</v>
      </c>
    </row>
    <row r="2382" spans="1:8" x14ac:dyDescent="0.25">
      <c r="E2382" t="str">
        <f>""</f>
        <v/>
      </c>
      <c r="F2382" t="str">
        <f>""</f>
        <v/>
      </c>
      <c r="H2382" t="str">
        <f t="shared" si="44"/>
        <v>MEDICARE TAXES</v>
      </c>
    </row>
    <row r="2383" spans="1:8" x14ac:dyDescent="0.25">
      <c r="A2383" t="s">
        <v>562</v>
      </c>
      <c r="B2383">
        <v>0</v>
      </c>
      <c r="C2383" s="3">
        <v>80961.75</v>
      </c>
      <c r="D2383" s="1">
        <v>43425</v>
      </c>
      <c r="E2383" t="str">
        <f>"T1 201811195270"</f>
        <v>T1 201811195270</v>
      </c>
      <c r="F2383" t="str">
        <f>"FEDERAL WITHHOLDING"</f>
        <v>FEDERAL WITHHOLDING</v>
      </c>
      <c r="G2383" s="2">
        <v>21751.31</v>
      </c>
      <c r="H2383" t="str">
        <f>"FEDERAL WITHHOLDING"</f>
        <v>FEDERAL WITHHOLDING</v>
      </c>
    </row>
    <row r="2384" spans="1:8" x14ac:dyDescent="0.25">
      <c r="E2384" t="str">
        <f>"T1 201811195271"</f>
        <v>T1 201811195271</v>
      </c>
      <c r="F2384" t="str">
        <f>"FEDERAL WITHHOLDING"</f>
        <v>FEDERAL WITHHOLDING</v>
      </c>
      <c r="G2384" s="2">
        <v>2301.37</v>
      </c>
      <c r="H2384" t="str">
        <f>"FEDERAL WITHHOLDING"</f>
        <v>FEDERAL WITHHOLDING</v>
      </c>
    </row>
    <row r="2385" spans="5:8" x14ac:dyDescent="0.25">
      <c r="E2385" t="str">
        <f>"T1 201811195272"</f>
        <v>T1 201811195272</v>
      </c>
      <c r="F2385" t="str">
        <f>"FEDERAL WITHHOLDING"</f>
        <v>FEDERAL WITHHOLDING</v>
      </c>
      <c r="G2385" s="2">
        <v>2690.43</v>
      </c>
      <c r="H2385" t="str">
        <f>"FEDERAL WITHHOLDING"</f>
        <v>FEDERAL WITHHOLDING</v>
      </c>
    </row>
    <row r="2386" spans="5:8" x14ac:dyDescent="0.25">
      <c r="E2386" t="str">
        <f>"T3 201811195270"</f>
        <v>T3 201811195270</v>
      </c>
      <c r="F2386" t="str">
        <f>"SOCIAL SECURITY TAXES"</f>
        <v>SOCIAL SECURITY TAXES</v>
      </c>
      <c r="G2386" s="2">
        <v>31449.38</v>
      </c>
      <c r="H2386" t="str">
        <f t="shared" ref="H2386:H2430" si="45">"SOCIAL SECURITY TAXES"</f>
        <v>SOCIAL SECURITY TAXES</v>
      </c>
    </row>
    <row r="2387" spans="5:8" x14ac:dyDescent="0.25">
      <c r="E2387" t="str">
        <f>""</f>
        <v/>
      </c>
      <c r="F2387" t="str">
        <f>""</f>
        <v/>
      </c>
      <c r="H2387" t="str">
        <f t="shared" si="45"/>
        <v>SOCIAL SECURITY TAXES</v>
      </c>
    </row>
    <row r="2388" spans="5:8" x14ac:dyDescent="0.25">
      <c r="E2388" t="str">
        <f>""</f>
        <v/>
      </c>
      <c r="F2388" t="str">
        <f>""</f>
        <v/>
      </c>
      <c r="H2388" t="str">
        <f t="shared" si="45"/>
        <v>SOCIAL SECURITY TAXES</v>
      </c>
    </row>
    <row r="2389" spans="5:8" x14ac:dyDescent="0.25">
      <c r="E2389" t="str">
        <f>""</f>
        <v/>
      </c>
      <c r="F2389" t="str">
        <f>""</f>
        <v/>
      </c>
      <c r="H2389" t="str">
        <f t="shared" si="45"/>
        <v>SOCIAL SECURITY TAXES</v>
      </c>
    </row>
    <row r="2390" spans="5:8" x14ac:dyDescent="0.25">
      <c r="E2390" t="str">
        <f>""</f>
        <v/>
      </c>
      <c r="F2390" t="str">
        <f>""</f>
        <v/>
      </c>
      <c r="H2390" t="str">
        <f t="shared" si="45"/>
        <v>SOCIAL SECURITY TAXES</v>
      </c>
    </row>
    <row r="2391" spans="5:8" x14ac:dyDescent="0.25">
      <c r="E2391" t="str">
        <f>""</f>
        <v/>
      </c>
      <c r="F2391" t="str">
        <f>""</f>
        <v/>
      </c>
      <c r="H2391" t="str">
        <f t="shared" si="45"/>
        <v>SOCIAL SECURITY TAXES</v>
      </c>
    </row>
    <row r="2392" spans="5:8" x14ac:dyDescent="0.25">
      <c r="E2392" t="str">
        <f>""</f>
        <v/>
      </c>
      <c r="F2392" t="str">
        <f>""</f>
        <v/>
      </c>
      <c r="H2392" t="str">
        <f t="shared" si="45"/>
        <v>SOCIAL SECURITY TAXES</v>
      </c>
    </row>
    <row r="2393" spans="5:8" x14ac:dyDescent="0.25">
      <c r="E2393" t="str">
        <f>""</f>
        <v/>
      </c>
      <c r="F2393" t="str">
        <f>""</f>
        <v/>
      </c>
      <c r="H2393" t="str">
        <f t="shared" si="45"/>
        <v>SOCIAL SECURITY TAXES</v>
      </c>
    </row>
    <row r="2394" spans="5:8" x14ac:dyDescent="0.25">
      <c r="E2394" t="str">
        <f>""</f>
        <v/>
      </c>
      <c r="F2394" t="str">
        <f>""</f>
        <v/>
      </c>
      <c r="H2394" t="str">
        <f t="shared" si="45"/>
        <v>SOCIAL SECURITY TAXES</v>
      </c>
    </row>
    <row r="2395" spans="5:8" x14ac:dyDescent="0.25">
      <c r="E2395" t="str">
        <f>""</f>
        <v/>
      </c>
      <c r="F2395" t="str">
        <f>""</f>
        <v/>
      </c>
      <c r="H2395" t="str">
        <f t="shared" si="45"/>
        <v>SOCIAL SECURITY TAXES</v>
      </c>
    </row>
    <row r="2396" spans="5:8" x14ac:dyDescent="0.25">
      <c r="E2396" t="str">
        <f>""</f>
        <v/>
      </c>
      <c r="F2396" t="str">
        <f>""</f>
        <v/>
      </c>
      <c r="H2396" t="str">
        <f t="shared" si="45"/>
        <v>SOCIAL SECURITY TAXES</v>
      </c>
    </row>
    <row r="2397" spans="5:8" x14ac:dyDescent="0.25">
      <c r="E2397" t="str">
        <f>""</f>
        <v/>
      </c>
      <c r="F2397" t="str">
        <f>""</f>
        <v/>
      </c>
      <c r="H2397" t="str">
        <f t="shared" si="45"/>
        <v>SOCIAL SECURITY TAXES</v>
      </c>
    </row>
    <row r="2398" spans="5:8" x14ac:dyDescent="0.25">
      <c r="E2398" t="str">
        <f>""</f>
        <v/>
      </c>
      <c r="F2398" t="str">
        <f>""</f>
        <v/>
      </c>
      <c r="H2398" t="str">
        <f t="shared" si="45"/>
        <v>SOCIAL SECURITY TAXES</v>
      </c>
    </row>
    <row r="2399" spans="5:8" x14ac:dyDescent="0.25">
      <c r="E2399" t="str">
        <f>""</f>
        <v/>
      </c>
      <c r="F2399" t="str">
        <f>""</f>
        <v/>
      </c>
      <c r="H2399" t="str">
        <f t="shared" si="45"/>
        <v>SOCIAL SECURITY TAXES</v>
      </c>
    </row>
    <row r="2400" spans="5:8" x14ac:dyDescent="0.25">
      <c r="E2400" t="str">
        <f>""</f>
        <v/>
      </c>
      <c r="F2400" t="str">
        <f>""</f>
        <v/>
      </c>
      <c r="H2400" t="str">
        <f t="shared" si="45"/>
        <v>SOCIAL SECURITY TAXES</v>
      </c>
    </row>
    <row r="2401" spans="5:8" x14ac:dyDescent="0.25">
      <c r="E2401" t="str">
        <f>""</f>
        <v/>
      </c>
      <c r="F2401" t="str">
        <f>""</f>
        <v/>
      </c>
      <c r="H2401" t="str">
        <f t="shared" si="45"/>
        <v>SOCIAL SECURITY TAXES</v>
      </c>
    </row>
    <row r="2402" spans="5:8" x14ac:dyDescent="0.25">
      <c r="E2402" t="str">
        <f>""</f>
        <v/>
      </c>
      <c r="F2402" t="str">
        <f>""</f>
        <v/>
      </c>
      <c r="H2402" t="str">
        <f t="shared" si="45"/>
        <v>SOCIAL SECURITY TAXES</v>
      </c>
    </row>
    <row r="2403" spans="5:8" x14ac:dyDescent="0.25">
      <c r="E2403" t="str">
        <f>""</f>
        <v/>
      </c>
      <c r="F2403" t="str">
        <f>""</f>
        <v/>
      </c>
      <c r="H2403" t="str">
        <f t="shared" si="45"/>
        <v>SOCIAL SECURITY TAXES</v>
      </c>
    </row>
    <row r="2404" spans="5:8" x14ac:dyDescent="0.25">
      <c r="E2404" t="str">
        <f>""</f>
        <v/>
      </c>
      <c r="F2404" t="str">
        <f>""</f>
        <v/>
      </c>
      <c r="H2404" t="str">
        <f t="shared" si="45"/>
        <v>SOCIAL SECURITY TAXES</v>
      </c>
    </row>
    <row r="2405" spans="5:8" x14ac:dyDescent="0.25">
      <c r="E2405" t="str">
        <f>""</f>
        <v/>
      </c>
      <c r="F2405" t="str">
        <f>""</f>
        <v/>
      </c>
      <c r="H2405" t="str">
        <f t="shared" si="45"/>
        <v>SOCIAL SECURITY TAXES</v>
      </c>
    </row>
    <row r="2406" spans="5:8" x14ac:dyDescent="0.25">
      <c r="E2406" t="str">
        <f>""</f>
        <v/>
      </c>
      <c r="F2406" t="str">
        <f>""</f>
        <v/>
      </c>
      <c r="H2406" t="str">
        <f t="shared" si="45"/>
        <v>SOCIAL SECURITY TAXES</v>
      </c>
    </row>
    <row r="2407" spans="5:8" x14ac:dyDescent="0.25">
      <c r="E2407" t="str">
        <f>""</f>
        <v/>
      </c>
      <c r="F2407" t="str">
        <f>""</f>
        <v/>
      </c>
      <c r="H2407" t="str">
        <f t="shared" si="45"/>
        <v>SOCIAL SECURITY TAXES</v>
      </c>
    </row>
    <row r="2408" spans="5:8" x14ac:dyDescent="0.25">
      <c r="E2408" t="str">
        <f>""</f>
        <v/>
      </c>
      <c r="F2408" t="str">
        <f>""</f>
        <v/>
      </c>
      <c r="H2408" t="str">
        <f t="shared" si="45"/>
        <v>SOCIAL SECURITY TAXES</v>
      </c>
    </row>
    <row r="2409" spans="5:8" x14ac:dyDescent="0.25">
      <c r="E2409" t="str">
        <f>""</f>
        <v/>
      </c>
      <c r="F2409" t="str">
        <f>""</f>
        <v/>
      </c>
      <c r="H2409" t="str">
        <f t="shared" si="45"/>
        <v>SOCIAL SECURITY TAXES</v>
      </c>
    </row>
    <row r="2410" spans="5:8" x14ac:dyDescent="0.25">
      <c r="E2410" t="str">
        <f>""</f>
        <v/>
      </c>
      <c r="F2410" t="str">
        <f>""</f>
        <v/>
      </c>
      <c r="H2410" t="str">
        <f t="shared" si="45"/>
        <v>SOCIAL SECURITY TAXES</v>
      </c>
    </row>
    <row r="2411" spans="5:8" x14ac:dyDescent="0.25">
      <c r="E2411" t="str">
        <f>""</f>
        <v/>
      </c>
      <c r="F2411" t="str">
        <f>""</f>
        <v/>
      </c>
      <c r="H2411" t="str">
        <f t="shared" si="45"/>
        <v>SOCIAL SECURITY TAXES</v>
      </c>
    </row>
    <row r="2412" spans="5:8" x14ac:dyDescent="0.25">
      <c r="E2412" t="str">
        <f>""</f>
        <v/>
      </c>
      <c r="F2412" t="str">
        <f>""</f>
        <v/>
      </c>
      <c r="H2412" t="str">
        <f t="shared" si="45"/>
        <v>SOCIAL SECURITY TAXES</v>
      </c>
    </row>
    <row r="2413" spans="5:8" x14ac:dyDescent="0.25">
      <c r="E2413" t="str">
        <f>""</f>
        <v/>
      </c>
      <c r="F2413" t="str">
        <f>""</f>
        <v/>
      </c>
      <c r="H2413" t="str">
        <f t="shared" si="45"/>
        <v>SOCIAL SECURITY TAXES</v>
      </c>
    </row>
    <row r="2414" spans="5:8" x14ac:dyDescent="0.25">
      <c r="E2414" t="str">
        <f>""</f>
        <v/>
      </c>
      <c r="F2414" t="str">
        <f>""</f>
        <v/>
      </c>
      <c r="H2414" t="str">
        <f t="shared" si="45"/>
        <v>SOCIAL SECURITY TAXES</v>
      </c>
    </row>
    <row r="2415" spans="5:8" x14ac:dyDescent="0.25">
      <c r="E2415" t="str">
        <f>""</f>
        <v/>
      </c>
      <c r="F2415" t="str">
        <f>""</f>
        <v/>
      </c>
      <c r="H2415" t="str">
        <f t="shared" si="45"/>
        <v>SOCIAL SECURITY TAXES</v>
      </c>
    </row>
    <row r="2416" spans="5:8" x14ac:dyDescent="0.25">
      <c r="E2416" t="str">
        <f>""</f>
        <v/>
      </c>
      <c r="F2416" t="str">
        <f>""</f>
        <v/>
      </c>
      <c r="H2416" t="str">
        <f t="shared" si="45"/>
        <v>SOCIAL SECURITY TAXES</v>
      </c>
    </row>
    <row r="2417" spans="5:8" x14ac:dyDescent="0.25">
      <c r="E2417" t="str">
        <f>""</f>
        <v/>
      </c>
      <c r="F2417" t="str">
        <f>""</f>
        <v/>
      </c>
      <c r="H2417" t="str">
        <f t="shared" si="45"/>
        <v>SOCIAL SECURITY TAXES</v>
      </c>
    </row>
    <row r="2418" spans="5:8" x14ac:dyDescent="0.25">
      <c r="E2418" t="str">
        <f>""</f>
        <v/>
      </c>
      <c r="F2418" t="str">
        <f>""</f>
        <v/>
      </c>
      <c r="H2418" t="str">
        <f t="shared" si="45"/>
        <v>SOCIAL SECURITY TAXES</v>
      </c>
    </row>
    <row r="2419" spans="5:8" x14ac:dyDescent="0.25">
      <c r="E2419" t="str">
        <f>""</f>
        <v/>
      </c>
      <c r="F2419" t="str">
        <f>""</f>
        <v/>
      </c>
      <c r="H2419" t="str">
        <f t="shared" si="45"/>
        <v>SOCIAL SECURITY TAXES</v>
      </c>
    </row>
    <row r="2420" spans="5:8" x14ac:dyDescent="0.25">
      <c r="E2420" t="str">
        <f>""</f>
        <v/>
      </c>
      <c r="F2420" t="str">
        <f>""</f>
        <v/>
      </c>
      <c r="H2420" t="str">
        <f t="shared" si="45"/>
        <v>SOCIAL SECURITY TAXES</v>
      </c>
    </row>
    <row r="2421" spans="5:8" x14ac:dyDescent="0.25">
      <c r="E2421" t="str">
        <f>""</f>
        <v/>
      </c>
      <c r="F2421" t="str">
        <f>""</f>
        <v/>
      </c>
      <c r="H2421" t="str">
        <f t="shared" si="45"/>
        <v>SOCIAL SECURITY TAXES</v>
      </c>
    </row>
    <row r="2422" spans="5:8" x14ac:dyDescent="0.25">
      <c r="E2422" t="str">
        <f>""</f>
        <v/>
      </c>
      <c r="F2422" t="str">
        <f>""</f>
        <v/>
      </c>
      <c r="H2422" t="str">
        <f t="shared" si="45"/>
        <v>SOCIAL SECURITY TAXES</v>
      </c>
    </row>
    <row r="2423" spans="5:8" x14ac:dyDescent="0.25">
      <c r="E2423" t="str">
        <f>""</f>
        <v/>
      </c>
      <c r="F2423" t="str">
        <f>""</f>
        <v/>
      </c>
      <c r="H2423" t="str">
        <f t="shared" si="45"/>
        <v>SOCIAL SECURITY TAXES</v>
      </c>
    </row>
    <row r="2424" spans="5:8" x14ac:dyDescent="0.25">
      <c r="E2424" t="str">
        <f>""</f>
        <v/>
      </c>
      <c r="F2424" t="str">
        <f>""</f>
        <v/>
      </c>
      <c r="H2424" t="str">
        <f t="shared" si="45"/>
        <v>SOCIAL SECURITY TAXES</v>
      </c>
    </row>
    <row r="2425" spans="5:8" x14ac:dyDescent="0.25">
      <c r="E2425" t="str">
        <f>"T3 201811195271"</f>
        <v>T3 201811195271</v>
      </c>
      <c r="F2425" t="str">
        <f>"SOCIAL SECURITY TAXES"</f>
        <v>SOCIAL SECURITY TAXES</v>
      </c>
      <c r="G2425" s="2">
        <v>3180.6</v>
      </c>
      <c r="H2425" t="str">
        <f t="shared" si="45"/>
        <v>SOCIAL SECURITY TAXES</v>
      </c>
    </row>
    <row r="2426" spans="5:8" x14ac:dyDescent="0.25">
      <c r="E2426" t="str">
        <f>""</f>
        <v/>
      </c>
      <c r="F2426" t="str">
        <f>""</f>
        <v/>
      </c>
      <c r="H2426" t="str">
        <f t="shared" si="45"/>
        <v>SOCIAL SECURITY TAXES</v>
      </c>
    </row>
    <row r="2427" spans="5:8" x14ac:dyDescent="0.25">
      <c r="E2427" t="str">
        <f>"T3 201811195272"</f>
        <v>T3 201811195272</v>
      </c>
      <c r="F2427" t="str">
        <f>"SOCIAL SECURITY TAXES"</f>
        <v>SOCIAL SECURITY TAXES</v>
      </c>
      <c r="G2427" s="2">
        <v>3456.26</v>
      </c>
      <c r="H2427" t="str">
        <f t="shared" si="45"/>
        <v>SOCIAL SECURITY TAXES</v>
      </c>
    </row>
    <row r="2428" spans="5:8" x14ac:dyDescent="0.25">
      <c r="E2428" t="str">
        <f>""</f>
        <v/>
      </c>
      <c r="F2428" t="str">
        <f>""</f>
        <v/>
      </c>
      <c r="H2428" t="str">
        <f t="shared" si="45"/>
        <v>SOCIAL SECURITY TAXES</v>
      </c>
    </row>
    <row r="2429" spans="5:8" x14ac:dyDescent="0.25">
      <c r="E2429" t="str">
        <f>"T3 201811195278"</f>
        <v>T3 201811195278</v>
      </c>
      <c r="F2429" t="str">
        <f>"SOCIAL SECURITY TAXES"</f>
        <v>SOCIAL SECURITY TAXES</v>
      </c>
      <c r="G2429" s="2">
        <v>5855.5</v>
      </c>
      <c r="H2429" t="str">
        <f t="shared" si="45"/>
        <v>SOCIAL SECURITY TAXES</v>
      </c>
    </row>
    <row r="2430" spans="5:8" x14ac:dyDescent="0.25">
      <c r="E2430" t="str">
        <f>""</f>
        <v/>
      </c>
      <c r="F2430" t="str">
        <f>""</f>
        <v/>
      </c>
      <c r="H2430" t="str">
        <f t="shared" si="45"/>
        <v>SOCIAL SECURITY TAXES</v>
      </c>
    </row>
    <row r="2431" spans="5:8" x14ac:dyDescent="0.25">
      <c r="E2431" t="str">
        <f>"T4 201811195270"</f>
        <v>T4 201811195270</v>
      </c>
      <c r="F2431" t="str">
        <f>"MEDICARE TAXES"</f>
        <v>MEDICARE TAXES</v>
      </c>
      <c r="G2431" s="2">
        <v>7355.24</v>
      </c>
      <c r="H2431" t="str">
        <f t="shared" ref="H2431:H2475" si="46">"MEDICARE TAXES"</f>
        <v>MEDICARE TAXES</v>
      </c>
    </row>
    <row r="2432" spans="5:8" x14ac:dyDescent="0.25">
      <c r="E2432" t="str">
        <f>""</f>
        <v/>
      </c>
      <c r="F2432" t="str">
        <f>""</f>
        <v/>
      </c>
      <c r="H2432" t="str">
        <f t="shared" si="46"/>
        <v>MEDICARE TAXES</v>
      </c>
    </row>
    <row r="2433" spans="5:8" x14ac:dyDescent="0.25">
      <c r="E2433" t="str">
        <f>""</f>
        <v/>
      </c>
      <c r="F2433" t="str">
        <f>""</f>
        <v/>
      </c>
      <c r="H2433" t="str">
        <f t="shared" si="46"/>
        <v>MEDICARE TAXES</v>
      </c>
    </row>
    <row r="2434" spans="5:8" x14ac:dyDescent="0.25">
      <c r="E2434" t="str">
        <f>""</f>
        <v/>
      </c>
      <c r="F2434" t="str">
        <f>""</f>
        <v/>
      </c>
      <c r="H2434" t="str">
        <f t="shared" si="46"/>
        <v>MEDICARE TAXES</v>
      </c>
    </row>
    <row r="2435" spans="5:8" x14ac:dyDescent="0.25">
      <c r="E2435" t="str">
        <f>""</f>
        <v/>
      </c>
      <c r="F2435" t="str">
        <f>""</f>
        <v/>
      </c>
      <c r="H2435" t="str">
        <f t="shared" si="46"/>
        <v>MEDICARE TAXES</v>
      </c>
    </row>
    <row r="2436" spans="5:8" x14ac:dyDescent="0.25">
      <c r="E2436" t="str">
        <f>""</f>
        <v/>
      </c>
      <c r="F2436" t="str">
        <f>""</f>
        <v/>
      </c>
      <c r="H2436" t="str">
        <f t="shared" si="46"/>
        <v>MEDICARE TAXES</v>
      </c>
    </row>
    <row r="2437" spans="5:8" x14ac:dyDescent="0.25">
      <c r="E2437" t="str">
        <f>""</f>
        <v/>
      </c>
      <c r="F2437" t="str">
        <f>""</f>
        <v/>
      </c>
      <c r="H2437" t="str">
        <f t="shared" si="46"/>
        <v>MEDICARE TAXES</v>
      </c>
    </row>
    <row r="2438" spans="5:8" x14ac:dyDescent="0.25">
      <c r="E2438" t="str">
        <f>""</f>
        <v/>
      </c>
      <c r="F2438" t="str">
        <f>""</f>
        <v/>
      </c>
      <c r="H2438" t="str">
        <f t="shared" si="46"/>
        <v>MEDICARE TAXES</v>
      </c>
    </row>
    <row r="2439" spans="5:8" x14ac:dyDescent="0.25">
      <c r="E2439" t="str">
        <f>""</f>
        <v/>
      </c>
      <c r="F2439" t="str">
        <f>""</f>
        <v/>
      </c>
      <c r="H2439" t="str">
        <f t="shared" si="46"/>
        <v>MEDICARE TAXES</v>
      </c>
    </row>
    <row r="2440" spans="5:8" x14ac:dyDescent="0.25">
      <c r="E2440" t="str">
        <f>""</f>
        <v/>
      </c>
      <c r="F2440" t="str">
        <f>""</f>
        <v/>
      </c>
      <c r="H2440" t="str">
        <f t="shared" si="46"/>
        <v>MEDICARE TAXES</v>
      </c>
    </row>
    <row r="2441" spans="5:8" x14ac:dyDescent="0.25">
      <c r="E2441" t="str">
        <f>""</f>
        <v/>
      </c>
      <c r="F2441" t="str">
        <f>""</f>
        <v/>
      </c>
      <c r="H2441" t="str">
        <f t="shared" si="46"/>
        <v>MEDICARE TAXES</v>
      </c>
    </row>
    <row r="2442" spans="5:8" x14ac:dyDescent="0.25">
      <c r="E2442" t="str">
        <f>""</f>
        <v/>
      </c>
      <c r="F2442" t="str">
        <f>""</f>
        <v/>
      </c>
      <c r="H2442" t="str">
        <f t="shared" si="46"/>
        <v>MEDICARE TAXES</v>
      </c>
    </row>
    <row r="2443" spans="5:8" x14ac:dyDescent="0.25">
      <c r="E2443" t="str">
        <f>""</f>
        <v/>
      </c>
      <c r="F2443" t="str">
        <f>""</f>
        <v/>
      </c>
      <c r="H2443" t="str">
        <f t="shared" si="46"/>
        <v>MEDICARE TAXES</v>
      </c>
    </row>
    <row r="2444" spans="5:8" x14ac:dyDescent="0.25">
      <c r="E2444" t="str">
        <f>""</f>
        <v/>
      </c>
      <c r="F2444" t="str">
        <f>""</f>
        <v/>
      </c>
      <c r="H2444" t="str">
        <f t="shared" si="46"/>
        <v>MEDICARE TAXES</v>
      </c>
    </row>
    <row r="2445" spans="5:8" x14ac:dyDescent="0.25">
      <c r="E2445" t="str">
        <f>""</f>
        <v/>
      </c>
      <c r="F2445" t="str">
        <f>""</f>
        <v/>
      </c>
      <c r="H2445" t="str">
        <f t="shared" si="46"/>
        <v>MEDICARE TAXES</v>
      </c>
    </row>
    <row r="2446" spans="5:8" x14ac:dyDescent="0.25">
      <c r="E2446" t="str">
        <f>""</f>
        <v/>
      </c>
      <c r="F2446" t="str">
        <f>""</f>
        <v/>
      </c>
      <c r="H2446" t="str">
        <f t="shared" si="46"/>
        <v>MEDICARE TAXES</v>
      </c>
    </row>
    <row r="2447" spans="5:8" x14ac:dyDescent="0.25">
      <c r="E2447" t="str">
        <f>""</f>
        <v/>
      </c>
      <c r="F2447" t="str">
        <f>""</f>
        <v/>
      </c>
      <c r="H2447" t="str">
        <f t="shared" si="46"/>
        <v>MEDICARE TAXES</v>
      </c>
    </row>
    <row r="2448" spans="5:8" x14ac:dyDescent="0.25">
      <c r="E2448" t="str">
        <f>""</f>
        <v/>
      </c>
      <c r="F2448" t="str">
        <f>""</f>
        <v/>
      </c>
      <c r="H2448" t="str">
        <f t="shared" si="46"/>
        <v>MEDICARE TAXES</v>
      </c>
    </row>
    <row r="2449" spans="5:8" x14ac:dyDescent="0.25">
      <c r="E2449" t="str">
        <f>""</f>
        <v/>
      </c>
      <c r="F2449" t="str">
        <f>""</f>
        <v/>
      </c>
      <c r="H2449" t="str">
        <f t="shared" si="46"/>
        <v>MEDICARE TAXES</v>
      </c>
    </row>
    <row r="2450" spans="5:8" x14ac:dyDescent="0.25">
      <c r="E2450" t="str">
        <f>""</f>
        <v/>
      </c>
      <c r="F2450" t="str">
        <f>""</f>
        <v/>
      </c>
      <c r="H2450" t="str">
        <f t="shared" si="46"/>
        <v>MEDICARE TAXES</v>
      </c>
    </row>
    <row r="2451" spans="5:8" x14ac:dyDescent="0.25">
      <c r="E2451" t="str">
        <f>""</f>
        <v/>
      </c>
      <c r="F2451" t="str">
        <f>""</f>
        <v/>
      </c>
      <c r="H2451" t="str">
        <f t="shared" si="46"/>
        <v>MEDICARE TAXES</v>
      </c>
    </row>
    <row r="2452" spans="5:8" x14ac:dyDescent="0.25">
      <c r="E2452" t="str">
        <f>""</f>
        <v/>
      </c>
      <c r="F2452" t="str">
        <f>""</f>
        <v/>
      </c>
      <c r="H2452" t="str">
        <f t="shared" si="46"/>
        <v>MEDICARE TAXES</v>
      </c>
    </row>
    <row r="2453" spans="5:8" x14ac:dyDescent="0.25">
      <c r="E2453" t="str">
        <f>""</f>
        <v/>
      </c>
      <c r="F2453" t="str">
        <f>""</f>
        <v/>
      </c>
      <c r="H2453" t="str">
        <f t="shared" si="46"/>
        <v>MEDICARE TAXES</v>
      </c>
    </row>
    <row r="2454" spans="5:8" x14ac:dyDescent="0.25">
      <c r="E2454" t="str">
        <f>""</f>
        <v/>
      </c>
      <c r="F2454" t="str">
        <f>""</f>
        <v/>
      </c>
      <c r="H2454" t="str">
        <f t="shared" si="46"/>
        <v>MEDICARE TAXES</v>
      </c>
    </row>
    <row r="2455" spans="5:8" x14ac:dyDescent="0.25">
      <c r="E2455" t="str">
        <f>""</f>
        <v/>
      </c>
      <c r="F2455" t="str">
        <f>""</f>
        <v/>
      </c>
      <c r="H2455" t="str">
        <f t="shared" si="46"/>
        <v>MEDICARE TAXES</v>
      </c>
    </row>
    <row r="2456" spans="5:8" x14ac:dyDescent="0.25">
      <c r="E2456" t="str">
        <f>""</f>
        <v/>
      </c>
      <c r="F2456" t="str">
        <f>""</f>
        <v/>
      </c>
      <c r="H2456" t="str">
        <f t="shared" si="46"/>
        <v>MEDICARE TAXES</v>
      </c>
    </row>
    <row r="2457" spans="5:8" x14ac:dyDescent="0.25">
      <c r="E2457" t="str">
        <f>""</f>
        <v/>
      </c>
      <c r="F2457" t="str">
        <f>""</f>
        <v/>
      </c>
      <c r="H2457" t="str">
        <f t="shared" si="46"/>
        <v>MEDICARE TAXES</v>
      </c>
    </row>
    <row r="2458" spans="5:8" x14ac:dyDescent="0.25">
      <c r="E2458" t="str">
        <f>""</f>
        <v/>
      </c>
      <c r="F2458" t="str">
        <f>""</f>
        <v/>
      </c>
      <c r="H2458" t="str">
        <f t="shared" si="46"/>
        <v>MEDICARE TAXES</v>
      </c>
    </row>
    <row r="2459" spans="5:8" x14ac:dyDescent="0.25">
      <c r="E2459" t="str">
        <f>""</f>
        <v/>
      </c>
      <c r="F2459" t="str">
        <f>""</f>
        <v/>
      </c>
      <c r="H2459" t="str">
        <f t="shared" si="46"/>
        <v>MEDICARE TAXES</v>
      </c>
    </row>
    <row r="2460" spans="5:8" x14ac:dyDescent="0.25">
      <c r="E2460" t="str">
        <f>""</f>
        <v/>
      </c>
      <c r="F2460" t="str">
        <f>""</f>
        <v/>
      </c>
      <c r="H2460" t="str">
        <f t="shared" si="46"/>
        <v>MEDICARE TAXES</v>
      </c>
    </row>
    <row r="2461" spans="5:8" x14ac:dyDescent="0.25">
      <c r="E2461" t="str">
        <f>""</f>
        <v/>
      </c>
      <c r="F2461" t="str">
        <f>""</f>
        <v/>
      </c>
      <c r="H2461" t="str">
        <f t="shared" si="46"/>
        <v>MEDICARE TAXES</v>
      </c>
    </row>
    <row r="2462" spans="5:8" x14ac:dyDescent="0.25">
      <c r="E2462" t="str">
        <f>""</f>
        <v/>
      </c>
      <c r="F2462" t="str">
        <f>""</f>
        <v/>
      </c>
      <c r="H2462" t="str">
        <f t="shared" si="46"/>
        <v>MEDICARE TAXES</v>
      </c>
    </row>
    <row r="2463" spans="5:8" x14ac:dyDescent="0.25">
      <c r="E2463" t="str">
        <f>""</f>
        <v/>
      </c>
      <c r="F2463" t="str">
        <f>""</f>
        <v/>
      </c>
      <c r="H2463" t="str">
        <f t="shared" si="46"/>
        <v>MEDICARE TAXES</v>
      </c>
    </row>
    <row r="2464" spans="5:8" x14ac:dyDescent="0.25">
      <c r="E2464" t="str">
        <f>""</f>
        <v/>
      </c>
      <c r="F2464" t="str">
        <f>""</f>
        <v/>
      </c>
      <c r="H2464" t="str">
        <f t="shared" si="46"/>
        <v>MEDICARE TAXES</v>
      </c>
    </row>
    <row r="2465" spans="1:8" x14ac:dyDescent="0.25">
      <c r="E2465" t="str">
        <f>""</f>
        <v/>
      </c>
      <c r="F2465" t="str">
        <f>""</f>
        <v/>
      </c>
      <c r="H2465" t="str">
        <f t="shared" si="46"/>
        <v>MEDICARE TAXES</v>
      </c>
    </row>
    <row r="2466" spans="1:8" x14ac:dyDescent="0.25">
      <c r="E2466" t="str">
        <f>""</f>
        <v/>
      </c>
      <c r="F2466" t="str">
        <f>""</f>
        <v/>
      </c>
      <c r="H2466" t="str">
        <f t="shared" si="46"/>
        <v>MEDICARE TAXES</v>
      </c>
    </row>
    <row r="2467" spans="1:8" x14ac:dyDescent="0.25">
      <c r="E2467" t="str">
        <f>""</f>
        <v/>
      </c>
      <c r="F2467" t="str">
        <f>""</f>
        <v/>
      </c>
      <c r="H2467" t="str">
        <f t="shared" si="46"/>
        <v>MEDICARE TAXES</v>
      </c>
    </row>
    <row r="2468" spans="1:8" x14ac:dyDescent="0.25">
      <c r="E2468" t="str">
        <f>""</f>
        <v/>
      </c>
      <c r="F2468" t="str">
        <f>""</f>
        <v/>
      </c>
      <c r="H2468" t="str">
        <f t="shared" si="46"/>
        <v>MEDICARE TAXES</v>
      </c>
    </row>
    <row r="2469" spans="1:8" x14ac:dyDescent="0.25">
      <c r="E2469" t="str">
        <f>""</f>
        <v/>
      </c>
      <c r="F2469" t="str">
        <f>""</f>
        <v/>
      </c>
      <c r="H2469" t="str">
        <f t="shared" si="46"/>
        <v>MEDICARE TAXES</v>
      </c>
    </row>
    <row r="2470" spans="1:8" x14ac:dyDescent="0.25">
      <c r="E2470" t="str">
        <f>"T4 201811195271"</f>
        <v>T4 201811195271</v>
      </c>
      <c r="F2470" t="str">
        <f>"MEDICARE TAXES"</f>
        <v>MEDICARE TAXES</v>
      </c>
      <c r="G2470" s="2">
        <v>743.92</v>
      </c>
      <c r="H2470" t="str">
        <f t="shared" si="46"/>
        <v>MEDICARE TAXES</v>
      </c>
    </row>
    <row r="2471" spans="1:8" x14ac:dyDescent="0.25">
      <c r="E2471" t="str">
        <f>""</f>
        <v/>
      </c>
      <c r="F2471" t="str">
        <f>""</f>
        <v/>
      </c>
      <c r="H2471" t="str">
        <f t="shared" si="46"/>
        <v>MEDICARE TAXES</v>
      </c>
    </row>
    <row r="2472" spans="1:8" x14ac:dyDescent="0.25">
      <c r="E2472" t="str">
        <f>"T4 201811195272"</f>
        <v>T4 201811195272</v>
      </c>
      <c r="F2472" t="str">
        <f>"MEDICARE TAXES"</f>
        <v>MEDICARE TAXES</v>
      </c>
      <c r="G2472" s="2">
        <v>808.3</v>
      </c>
      <c r="H2472" t="str">
        <f t="shared" si="46"/>
        <v>MEDICARE TAXES</v>
      </c>
    </row>
    <row r="2473" spans="1:8" x14ac:dyDescent="0.25">
      <c r="E2473" t="str">
        <f>""</f>
        <v/>
      </c>
      <c r="F2473" t="str">
        <f>""</f>
        <v/>
      </c>
      <c r="H2473" t="str">
        <f t="shared" si="46"/>
        <v>MEDICARE TAXES</v>
      </c>
    </row>
    <row r="2474" spans="1:8" x14ac:dyDescent="0.25">
      <c r="E2474" t="str">
        <f>"T4 201811195278"</f>
        <v>T4 201811195278</v>
      </c>
      <c r="F2474" t="str">
        <f>"MEDICARE TAXES"</f>
        <v>MEDICARE TAXES</v>
      </c>
      <c r="G2474" s="2">
        <v>1369.44</v>
      </c>
      <c r="H2474" t="str">
        <f t="shared" si="46"/>
        <v>MEDICARE TAXES</v>
      </c>
    </row>
    <row r="2475" spans="1:8" x14ac:dyDescent="0.25">
      <c r="E2475" t="str">
        <f>""</f>
        <v/>
      </c>
      <c r="F2475" t="str">
        <f>""</f>
        <v/>
      </c>
      <c r="H2475" t="str">
        <f t="shared" si="46"/>
        <v>MEDICARE TAXES</v>
      </c>
    </row>
    <row r="2476" spans="1:8" x14ac:dyDescent="0.25">
      <c r="A2476" t="s">
        <v>562</v>
      </c>
      <c r="B2476">
        <v>0</v>
      </c>
      <c r="C2476" s="3">
        <v>229105.48</v>
      </c>
      <c r="D2476" s="1">
        <v>43434</v>
      </c>
      <c r="E2476" t="str">
        <f>"T1 201811275300"</f>
        <v>T1 201811275300</v>
      </c>
      <c r="F2476" t="str">
        <f>"FEDERAL WITHHOLDING"</f>
        <v>FEDERAL WITHHOLDING</v>
      </c>
      <c r="G2476" s="2">
        <v>77311.31</v>
      </c>
      <c r="H2476" t="str">
        <f>"FEDERAL WITHHOLDING"</f>
        <v>FEDERAL WITHHOLDING</v>
      </c>
    </row>
    <row r="2477" spans="1:8" x14ac:dyDescent="0.25">
      <c r="E2477" t="str">
        <f>"T1 201811285301"</f>
        <v>T1 201811285301</v>
      </c>
      <c r="F2477" t="str">
        <f>"FEDERAL WITHHOLDING"</f>
        <v>FEDERAL WITHHOLDING</v>
      </c>
      <c r="G2477" s="2">
        <v>3100.94</v>
      </c>
      <c r="H2477" t="str">
        <f>"FEDERAL WITHHOLDING"</f>
        <v>FEDERAL WITHHOLDING</v>
      </c>
    </row>
    <row r="2478" spans="1:8" x14ac:dyDescent="0.25">
      <c r="E2478" t="str">
        <f>"T1 201811285302"</f>
        <v>T1 201811285302</v>
      </c>
      <c r="F2478" t="str">
        <f>"FEDERAL WITHHOLDING"</f>
        <v>FEDERAL WITHHOLDING</v>
      </c>
      <c r="G2478" s="2">
        <v>3766.85</v>
      </c>
      <c r="H2478" t="str">
        <f>"FEDERAL WITHHOLDING"</f>
        <v>FEDERAL WITHHOLDING</v>
      </c>
    </row>
    <row r="2479" spans="1:8" x14ac:dyDescent="0.25">
      <c r="E2479" t="str">
        <f>"T3 201811275300"</f>
        <v>T3 201811275300</v>
      </c>
      <c r="F2479" t="str">
        <f>"SOCIAL SECURITY TAXES"</f>
        <v>SOCIAL SECURITY TAXES</v>
      </c>
      <c r="G2479" s="2">
        <v>107866.78</v>
      </c>
      <c r="H2479" t="str">
        <f t="shared" ref="H2479:H2510" si="47">"SOCIAL SECURITY TAXES"</f>
        <v>SOCIAL SECURITY TAXES</v>
      </c>
    </row>
    <row r="2480" spans="1:8" x14ac:dyDescent="0.25">
      <c r="E2480" t="str">
        <f>""</f>
        <v/>
      </c>
      <c r="F2480" t="str">
        <f>""</f>
        <v/>
      </c>
      <c r="H2480" t="str">
        <f t="shared" si="47"/>
        <v>SOCIAL SECURITY TAXES</v>
      </c>
    </row>
    <row r="2481" spans="5:8" x14ac:dyDescent="0.25">
      <c r="E2481" t="str">
        <f>""</f>
        <v/>
      </c>
      <c r="F2481" t="str">
        <f>""</f>
        <v/>
      </c>
      <c r="H2481" t="str">
        <f t="shared" si="47"/>
        <v>SOCIAL SECURITY TAXES</v>
      </c>
    </row>
    <row r="2482" spans="5:8" x14ac:dyDescent="0.25">
      <c r="E2482" t="str">
        <f>""</f>
        <v/>
      </c>
      <c r="F2482" t="str">
        <f>""</f>
        <v/>
      </c>
      <c r="H2482" t="str">
        <f t="shared" si="47"/>
        <v>SOCIAL SECURITY TAXES</v>
      </c>
    </row>
    <row r="2483" spans="5:8" x14ac:dyDescent="0.25">
      <c r="E2483" t="str">
        <f>""</f>
        <v/>
      </c>
      <c r="F2483" t="str">
        <f>""</f>
        <v/>
      </c>
      <c r="H2483" t="str">
        <f t="shared" si="47"/>
        <v>SOCIAL SECURITY TAXES</v>
      </c>
    </row>
    <row r="2484" spans="5:8" x14ac:dyDescent="0.25">
      <c r="E2484" t="str">
        <f>""</f>
        <v/>
      </c>
      <c r="F2484" t="str">
        <f>""</f>
        <v/>
      </c>
      <c r="H2484" t="str">
        <f t="shared" si="47"/>
        <v>SOCIAL SECURITY TAXES</v>
      </c>
    </row>
    <row r="2485" spans="5:8" x14ac:dyDescent="0.25">
      <c r="E2485" t="str">
        <f>""</f>
        <v/>
      </c>
      <c r="F2485" t="str">
        <f>""</f>
        <v/>
      </c>
      <c r="H2485" t="str">
        <f t="shared" si="47"/>
        <v>SOCIAL SECURITY TAXES</v>
      </c>
    </row>
    <row r="2486" spans="5:8" x14ac:dyDescent="0.25">
      <c r="E2486" t="str">
        <f>""</f>
        <v/>
      </c>
      <c r="F2486" t="str">
        <f>""</f>
        <v/>
      </c>
      <c r="H2486" t="str">
        <f t="shared" si="47"/>
        <v>SOCIAL SECURITY TAXES</v>
      </c>
    </row>
    <row r="2487" spans="5:8" x14ac:dyDescent="0.25">
      <c r="E2487" t="str">
        <f>""</f>
        <v/>
      </c>
      <c r="F2487" t="str">
        <f>""</f>
        <v/>
      </c>
      <c r="H2487" t="str">
        <f t="shared" si="47"/>
        <v>SOCIAL SECURITY TAXES</v>
      </c>
    </row>
    <row r="2488" spans="5:8" x14ac:dyDescent="0.25">
      <c r="E2488" t="str">
        <f>""</f>
        <v/>
      </c>
      <c r="F2488" t="str">
        <f>""</f>
        <v/>
      </c>
      <c r="H2488" t="str">
        <f t="shared" si="47"/>
        <v>SOCIAL SECURITY TAXES</v>
      </c>
    </row>
    <row r="2489" spans="5:8" x14ac:dyDescent="0.25">
      <c r="E2489" t="str">
        <f>""</f>
        <v/>
      </c>
      <c r="F2489" t="str">
        <f>""</f>
        <v/>
      </c>
      <c r="H2489" t="str">
        <f t="shared" si="47"/>
        <v>SOCIAL SECURITY TAXES</v>
      </c>
    </row>
    <row r="2490" spans="5:8" x14ac:dyDescent="0.25">
      <c r="E2490" t="str">
        <f>""</f>
        <v/>
      </c>
      <c r="F2490" t="str">
        <f>""</f>
        <v/>
      </c>
      <c r="H2490" t="str">
        <f t="shared" si="47"/>
        <v>SOCIAL SECURITY TAXES</v>
      </c>
    </row>
    <row r="2491" spans="5:8" x14ac:dyDescent="0.25">
      <c r="E2491" t="str">
        <f>""</f>
        <v/>
      </c>
      <c r="F2491" t="str">
        <f>""</f>
        <v/>
      </c>
      <c r="H2491" t="str">
        <f t="shared" si="47"/>
        <v>SOCIAL SECURITY TAXES</v>
      </c>
    </row>
    <row r="2492" spans="5:8" x14ac:dyDescent="0.25">
      <c r="E2492" t="str">
        <f>""</f>
        <v/>
      </c>
      <c r="F2492" t="str">
        <f>""</f>
        <v/>
      </c>
      <c r="H2492" t="str">
        <f t="shared" si="47"/>
        <v>SOCIAL SECURITY TAXES</v>
      </c>
    </row>
    <row r="2493" spans="5:8" x14ac:dyDescent="0.25">
      <c r="E2493" t="str">
        <f>""</f>
        <v/>
      </c>
      <c r="F2493" t="str">
        <f>""</f>
        <v/>
      </c>
      <c r="H2493" t="str">
        <f t="shared" si="47"/>
        <v>SOCIAL SECURITY TAXES</v>
      </c>
    </row>
    <row r="2494" spans="5:8" x14ac:dyDescent="0.25">
      <c r="E2494" t="str">
        <f>""</f>
        <v/>
      </c>
      <c r="F2494" t="str">
        <f>""</f>
        <v/>
      </c>
      <c r="H2494" t="str">
        <f t="shared" si="47"/>
        <v>SOCIAL SECURITY TAXES</v>
      </c>
    </row>
    <row r="2495" spans="5:8" x14ac:dyDescent="0.25">
      <c r="E2495" t="str">
        <f>""</f>
        <v/>
      </c>
      <c r="F2495" t="str">
        <f>""</f>
        <v/>
      </c>
      <c r="H2495" t="str">
        <f t="shared" si="47"/>
        <v>SOCIAL SECURITY TAXES</v>
      </c>
    </row>
    <row r="2496" spans="5:8" x14ac:dyDescent="0.25">
      <c r="E2496" t="str">
        <f>""</f>
        <v/>
      </c>
      <c r="F2496" t="str">
        <f>""</f>
        <v/>
      </c>
      <c r="H2496" t="str">
        <f t="shared" si="47"/>
        <v>SOCIAL SECURITY TAXES</v>
      </c>
    </row>
    <row r="2497" spans="5:8" x14ac:dyDescent="0.25">
      <c r="E2497" t="str">
        <f>""</f>
        <v/>
      </c>
      <c r="F2497" t="str">
        <f>""</f>
        <v/>
      </c>
      <c r="H2497" t="str">
        <f t="shared" si="47"/>
        <v>SOCIAL SECURITY TAXES</v>
      </c>
    </row>
    <row r="2498" spans="5:8" x14ac:dyDescent="0.25">
      <c r="E2498" t="str">
        <f>""</f>
        <v/>
      </c>
      <c r="F2498" t="str">
        <f>""</f>
        <v/>
      </c>
      <c r="H2498" t="str">
        <f t="shared" si="47"/>
        <v>SOCIAL SECURITY TAXES</v>
      </c>
    </row>
    <row r="2499" spans="5:8" x14ac:dyDescent="0.25">
      <c r="E2499" t="str">
        <f>""</f>
        <v/>
      </c>
      <c r="F2499" t="str">
        <f>""</f>
        <v/>
      </c>
      <c r="H2499" t="str">
        <f t="shared" si="47"/>
        <v>SOCIAL SECURITY TAXES</v>
      </c>
    </row>
    <row r="2500" spans="5:8" x14ac:dyDescent="0.25">
      <c r="E2500" t="str">
        <f>""</f>
        <v/>
      </c>
      <c r="F2500" t="str">
        <f>""</f>
        <v/>
      </c>
      <c r="H2500" t="str">
        <f t="shared" si="47"/>
        <v>SOCIAL SECURITY TAXES</v>
      </c>
    </row>
    <row r="2501" spans="5:8" x14ac:dyDescent="0.25">
      <c r="E2501" t="str">
        <f>""</f>
        <v/>
      </c>
      <c r="F2501" t="str">
        <f>""</f>
        <v/>
      </c>
      <c r="H2501" t="str">
        <f t="shared" si="47"/>
        <v>SOCIAL SECURITY TAXES</v>
      </c>
    </row>
    <row r="2502" spans="5:8" x14ac:dyDescent="0.25">
      <c r="E2502" t="str">
        <f>""</f>
        <v/>
      </c>
      <c r="F2502" t="str">
        <f>""</f>
        <v/>
      </c>
      <c r="H2502" t="str">
        <f t="shared" si="47"/>
        <v>SOCIAL SECURITY TAXES</v>
      </c>
    </row>
    <row r="2503" spans="5:8" x14ac:dyDescent="0.25">
      <c r="E2503" t="str">
        <f>""</f>
        <v/>
      </c>
      <c r="F2503" t="str">
        <f>""</f>
        <v/>
      </c>
      <c r="H2503" t="str">
        <f t="shared" si="47"/>
        <v>SOCIAL SECURITY TAXES</v>
      </c>
    </row>
    <row r="2504" spans="5:8" x14ac:dyDescent="0.25">
      <c r="E2504" t="str">
        <f>""</f>
        <v/>
      </c>
      <c r="F2504" t="str">
        <f>""</f>
        <v/>
      </c>
      <c r="H2504" t="str">
        <f t="shared" si="47"/>
        <v>SOCIAL SECURITY TAXES</v>
      </c>
    </row>
    <row r="2505" spans="5:8" x14ac:dyDescent="0.25">
      <c r="E2505" t="str">
        <f>""</f>
        <v/>
      </c>
      <c r="F2505" t="str">
        <f>""</f>
        <v/>
      </c>
      <c r="H2505" t="str">
        <f t="shared" si="47"/>
        <v>SOCIAL SECURITY TAXES</v>
      </c>
    </row>
    <row r="2506" spans="5:8" x14ac:dyDescent="0.25">
      <c r="E2506" t="str">
        <f>""</f>
        <v/>
      </c>
      <c r="F2506" t="str">
        <f>""</f>
        <v/>
      </c>
      <c r="H2506" t="str">
        <f t="shared" si="47"/>
        <v>SOCIAL SECURITY TAXES</v>
      </c>
    </row>
    <row r="2507" spans="5:8" x14ac:dyDescent="0.25">
      <c r="E2507" t="str">
        <f>""</f>
        <v/>
      </c>
      <c r="F2507" t="str">
        <f>""</f>
        <v/>
      </c>
      <c r="H2507" t="str">
        <f t="shared" si="47"/>
        <v>SOCIAL SECURITY TAXES</v>
      </c>
    </row>
    <row r="2508" spans="5:8" x14ac:dyDescent="0.25">
      <c r="E2508" t="str">
        <f>""</f>
        <v/>
      </c>
      <c r="F2508" t="str">
        <f>""</f>
        <v/>
      </c>
      <c r="H2508" t="str">
        <f t="shared" si="47"/>
        <v>SOCIAL SECURITY TAXES</v>
      </c>
    </row>
    <row r="2509" spans="5:8" x14ac:dyDescent="0.25">
      <c r="E2509" t="str">
        <f>""</f>
        <v/>
      </c>
      <c r="F2509" t="str">
        <f>""</f>
        <v/>
      </c>
      <c r="H2509" t="str">
        <f t="shared" si="47"/>
        <v>SOCIAL SECURITY TAXES</v>
      </c>
    </row>
    <row r="2510" spans="5:8" x14ac:dyDescent="0.25">
      <c r="E2510" t="str">
        <f>""</f>
        <v/>
      </c>
      <c r="F2510" t="str">
        <f>""</f>
        <v/>
      </c>
      <c r="H2510" t="str">
        <f t="shared" si="47"/>
        <v>SOCIAL SECURITY TAXES</v>
      </c>
    </row>
    <row r="2511" spans="5:8" x14ac:dyDescent="0.25">
      <c r="E2511" t="str">
        <f>""</f>
        <v/>
      </c>
      <c r="F2511" t="str">
        <f>""</f>
        <v/>
      </c>
      <c r="H2511" t="str">
        <f t="shared" ref="H2511:H2534" si="48">"SOCIAL SECURITY TAXES"</f>
        <v>SOCIAL SECURITY TAXES</v>
      </c>
    </row>
    <row r="2512" spans="5:8" x14ac:dyDescent="0.25">
      <c r="E2512" t="str">
        <f>""</f>
        <v/>
      </c>
      <c r="F2512" t="str">
        <f>""</f>
        <v/>
      </c>
      <c r="H2512" t="str">
        <f t="shared" si="48"/>
        <v>SOCIAL SECURITY TAXES</v>
      </c>
    </row>
    <row r="2513" spans="5:8" x14ac:dyDescent="0.25">
      <c r="E2513" t="str">
        <f>""</f>
        <v/>
      </c>
      <c r="F2513" t="str">
        <f>""</f>
        <v/>
      </c>
      <c r="H2513" t="str">
        <f t="shared" si="48"/>
        <v>SOCIAL SECURITY TAXES</v>
      </c>
    </row>
    <row r="2514" spans="5:8" x14ac:dyDescent="0.25">
      <c r="E2514" t="str">
        <f>""</f>
        <v/>
      </c>
      <c r="F2514" t="str">
        <f>""</f>
        <v/>
      </c>
      <c r="H2514" t="str">
        <f t="shared" si="48"/>
        <v>SOCIAL SECURITY TAXES</v>
      </c>
    </row>
    <row r="2515" spans="5:8" x14ac:dyDescent="0.25">
      <c r="E2515" t="str">
        <f>""</f>
        <v/>
      </c>
      <c r="F2515" t="str">
        <f>""</f>
        <v/>
      </c>
      <c r="H2515" t="str">
        <f t="shared" si="48"/>
        <v>SOCIAL SECURITY TAXES</v>
      </c>
    </row>
    <row r="2516" spans="5:8" x14ac:dyDescent="0.25">
      <c r="E2516" t="str">
        <f>""</f>
        <v/>
      </c>
      <c r="F2516" t="str">
        <f>""</f>
        <v/>
      </c>
      <c r="H2516" t="str">
        <f t="shared" si="48"/>
        <v>SOCIAL SECURITY TAXES</v>
      </c>
    </row>
    <row r="2517" spans="5:8" x14ac:dyDescent="0.25">
      <c r="E2517" t="str">
        <f>""</f>
        <v/>
      </c>
      <c r="F2517" t="str">
        <f>""</f>
        <v/>
      </c>
      <c r="H2517" t="str">
        <f t="shared" si="48"/>
        <v>SOCIAL SECURITY TAXES</v>
      </c>
    </row>
    <row r="2518" spans="5:8" x14ac:dyDescent="0.25">
      <c r="E2518" t="str">
        <f>""</f>
        <v/>
      </c>
      <c r="F2518" t="str">
        <f>""</f>
        <v/>
      </c>
      <c r="H2518" t="str">
        <f t="shared" si="48"/>
        <v>SOCIAL SECURITY TAXES</v>
      </c>
    </row>
    <row r="2519" spans="5:8" x14ac:dyDescent="0.25">
      <c r="E2519" t="str">
        <f>""</f>
        <v/>
      </c>
      <c r="F2519" t="str">
        <f>""</f>
        <v/>
      </c>
      <c r="H2519" t="str">
        <f t="shared" si="48"/>
        <v>SOCIAL SECURITY TAXES</v>
      </c>
    </row>
    <row r="2520" spans="5:8" x14ac:dyDescent="0.25">
      <c r="E2520" t="str">
        <f>""</f>
        <v/>
      </c>
      <c r="F2520" t="str">
        <f>""</f>
        <v/>
      </c>
      <c r="H2520" t="str">
        <f t="shared" si="48"/>
        <v>SOCIAL SECURITY TAXES</v>
      </c>
    </row>
    <row r="2521" spans="5:8" x14ac:dyDescent="0.25">
      <c r="E2521" t="str">
        <f>""</f>
        <v/>
      </c>
      <c r="F2521" t="str">
        <f>""</f>
        <v/>
      </c>
      <c r="H2521" t="str">
        <f t="shared" si="48"/>
        <v>SOCIAL SECURITY TAXES</v>
      </c>
    </row>
    <row r="2522" spans="5:8" x14ac:dyDescent="0.25">
      <c r="E2522" t="str">
        <f>""</f>
        <v/>
      </c>
      <c r="F2522" t="str">
        <f>""</f>
        <v/>
      </c>
      <c r="H2522" t="str">
        <f t="shared" si="48"/>
        <v>SOCIAL SECURITY TAXES</v>
      </c>
    </row>
    <row r="2523" spans="5:8" x14ac:dyDescent="0.25">
      <c r="E2523" t="str">
        <f>""</f>
        <v/>
      </c>
      <c r="F2523" t="str">
        <f>""</f>
        <v/>
      </c>
      <c r="H2523" t="str">
        <f t="shared" si="48"/>
        <v>SOCIAL SECURITY TAXES</v>
      </c>
    </row>
    <row r="2524" spans="5:8" x14ac:dyDescent="0.25">
      <c r="E2524" t="str">
        <f>""</f>
        <v/>
      </c>
      <c r="F2524" t="str">
        <f>""</f>
        <v/>
      </c>
      <c r="H2524" t="str">
        <f t="shared" si="48"/>
        <v>SOCIAL SECURITY TAXES</v>
      </c>
    </row>
    <row r="2525" spans="5:8" x14ac:dyDescent="0.25">
      <c r="E2525" t="str">
        <f>""</f>
        <v/>
      </c>
      <c r="F2525" t="str">
        <f>""</f>
        <v/>
      </c>
      <c r="H2525" t="str">
        <f t="shared" si="48"/>
        <v>SOCIAL SECURITY TAXES</v>
      </c>
    </row>
    <row r="2526" spans="5:8" x14ac:dyDescent="0.25">
      <c r="E2526" t="str">
        <f>""</f>
        <v/>
      </c>
      <c r="F2526" t="str">
        <f>""</f>
        <v/>
      </c>
      <c r="H2526" t="str">
        <f t="shared" si="48"/>
        <v>SOCIAL SECURITY TAXES</v>
      </c>
    </row>
    <row r="2527" spans="5:8" x14ac:dyDescent="0.25">
      <c r="E2527" t="str">
        <f>""</f>
        <v/>
      </c>
      <c r="F2527" t="str">
        <f>""</f>
        <v/>
      </c>
      <c r="H2527" t="str">
        <f t="shared" si="48"/>
        <v>SOCIAL SECURITY TAXES</v>
      </c>
    </row>
    <row r="2528" spans="5:8" x14ac:dyDescent="0.25">
      <c r="E2528" t="str">
        <f>""</f>
        <v/>
      </c>
      <c r="F2528" t="str">
        <f>""</f>
        <v/>
      </c>
      <c r="H2528" t="str">
        <f t="shared" si="48"/>
        <v>SOCIAL SECURITY TAXES</v>
      </c>
    </row>
    <row r="2529" spans="5:8" x14ac:dyDescent="0.25">
      <c r="E2529" t="str">
        <f>""</f>
        <v/>
      </c>
      <c r="F2529" t="str">
        <f>""</f>
        <v/>
      </c>
      <c r="H2529" t="str">
        <f t="shared" si="48"/>
        <v>SOCIAL SECURITY TAXES</v>
      </c>
    </row>
    <row r="2530" spans="5:8" x14ac:dyDescent="0.25">
      <c r="E2530" t="str">
        <f>""</f>
        <v/>
      </c>
      <c r="F2530" t="str">
        <f>""</f>
        <v/>
      </c>
      <c r="H2530" t="str">
        <f t="shared" si="48"/>
        <v>SOCIAL SECURITY TAXES</v>
      </c>
    </row>
    <row r="2531" spans="5:8" x14ac:dyDescent="0.25">
      <c r="E2531" t="str">
        <f>"T3 201811285301"</f>
        <v>T3 201811285301</v>
      </c>
      <c r="F2531" t="str">
        <f>"SOCIAL SECURITY TAXES"</f>
        <v>SOCIAL SECURITY TAXES</v>
      </c>
      <c r="G2531" s="2">
        <v>4164.5600000000004</v>
      </c>
      <c r="H2531" t="str">
        <f t="shared" si="48"/>
        <v>SOCIAL SECURITY TAXES</v>
      </c>
    </row>
    <row r="2532" spans="5:8" x14ac:dyDescent="0.25">
      <c r="E2532" t="str">
        <f>""</f>
        <v/>
      </c>
      <c r="F2532" t="str">
        <f>""</f>
        <v/>
      </c>
      <c r="H2532" t="str">
        <f t="shared" si="48"/>
        <v>SOCIAL SECURITY TAXES</v>
      </c>
    </row>
    <row r="2533" spans="5:8" x14ac:dyDescent="0.25">
      <c r="E2533" t="str">
        <f>"T3 201811285302"</f>
        <v>T3 201811285302</v>
      </c>
      <c r="F2533" t="str">
        <f>"SOCIAL SECURITY TAXES"</f>
        <v>SOCIAL SECURITY TAXES</v>
      </c>
      <c r="G2533" s="2">
        <v>5355.04</v>
      </c>
      <c r="H2533" t="str">
        <f t="shared" si="48"/>
        <v>SOCIAL SECURITY TAXES</v>
      </c>
    </row>
    <row r="2534" spans="5:8" x14ac:dyDescent="0.25">
      <c r="E2534" t="str">
        <f>""</f>
        <v/>
      </c>
      <c r="F2534" t="str">
        <f>""</f>
        <v/>
      </c>
      <c r="H2534" t="str">
        <f t="shared" si="48"/>
        <v>SOCIAL SECURITY TAXES</v>
      </c>
    </row>
    <row r="2535" spans="5:8" x14ac:dyDescent="0.25">
      <c r="E2535" t="str">
        <f>"T4 201811275300"</f>
        <v>T4 201811275300</v>
      </c>
      <c r="F2535" t="str">
        <f>"MEDICARE TAXES"</f>
        <v>MEDICARE TAXES</v>
      </c>
      <c r="G2535" s="2">
        <v>25313.599999999999</v>
      </c>
      <c r="H2535" t="str">
        <f t="shared" ref="H2535:H2566" si="49">"MEDICARE TAXES"</f>
        <v>MEDICARE TAXES</v>
      </c>
    </row>
    <row r="2536" spans="5:8" x14ac:dyDescent="0.25">
      <c r="E2536" t="str">
        <f>""</f>
        <v/>
      </c>
      <c r="F2536" t="str">
        <f>""</f>
        <v/>
      </c>
      <c r="H2536" t="str">
        <f t="shared" si="49"/>
        <v>MEDICARE TAXES</v>
      </c>
    </row>
    <row r="2537" spans="5:8" x14ac:dyDescent="0.25">
      <c r="E2537" t="str">
        <f>""</f>
        <v/>
      </c>
      <c r="F2537" t="str">
        <f>""</f>
        <v/>
      </c>
      <c r="H2537" t="str">
        <f t="shared" si="49"/>
        <v>MEDICARE TAXES</v>
      </c>
    </row>
    <row r="2538" spans="5:8" x14ac:dyDescent="0.25">
      <c r="E2538" t="str">
        <f>""</f>
        <v/>
      </c>
      <c r="F2538" t="str">
        <f>""</f>
        <v/>
      </c>
      <c r="H2538" t="str">
        <f t="shared" si="49"/>
        <v>MEDICARE TAXES</v>
      </c>
    </row>
    <row r="2539" spans="5:8" x14ac:dyDescent="0.25">
      <c r="E2539" t="str">
        <f>""</f>
        <v/>
      </c>
      <c r="F2539" t="str">
        <f>""</f>
        <v/>
      </c>
      <c r="H2539" t="str">
        <f t="shared" si="49"/>
        <v>MEDICARE TAXES</v>
      </c>
    </row>
    <row r="2540" spans="5:8" x14ac:dyDescent="0.25">
      <c r="E2540" t="str">
        <f>""</f>
        <v/>
      </c>
      <c r="F2540" t="str">
        <f>""</f>
        <v/>
      </c>
      <c r="H2540" t="str">
        <f t="shared" si="49"/>
        <v>MEDICARE TAXES</v>
      </c>
    </row>
    <row r="2541" spans="5:8" x14ac:dyDescent="0.25">
      <c r="E2541" t="str">
        <f>""</f>
        <v/>
      </c>
      <c r="F2541" t="str">
        <f>""</f>
        <v/>
      </c>
      <c r="H2541" t="str">
        <f t="shared" si="49"/>
        <v>MEDICARE TAXES</v>
      </c>
    </row>
    <row r="2542" spans="5:8" x14ac:dyDescent="0.25">
      <c r="E2542" t="str">
        <f>""</f>
        <v/>
      </c>
      <c r="F2542" t="str">
        <f>""</f>
        <v/>
      </c>
      <c r="H2542" t="str">
        <f t="shared" si="49"/>
        <v>MEDICARE TAXES</v>
      </c>
    </row>
    <row r="2543" spans="5:8" x14ac:dyDescent="0.25">
      <c r="E2543" t="str">
        <f>""</f>
        <v/>
      </c>
      <c r="F2543" t="str">
        <f>""</f>
        <v/>
      </c>
      <c r="H2543" t="str">
        <f t="shared" si="49"/>
        <v>MEDICARE TAXES</v>
      </c>
    </row>
    <row r="2544" spans="5:8" x14ac:dyDescent="0.25">
      <c r="E2544" t="str">
        <f>""</f>
        <v/>
      </c>
      <c r="F2544" t="str">
        <f>""</f>
        <v/>
      </c>
      <c r="H2544" t="str">
        <f t="shared" si="49"/>
        <v>MEDICARE TAXES</v>
      </c>
    </row>
    <row r="2545" spans="5:8" x14ac:dyDescent="0.25">
      <c r="E2545" t="str">
        <f>""</f>
        <v/>
      </c>
      <c r="F2545" t="str">
        <f>""</f>
        <v/>
      </c>
      <c r="H2545" t="str">
        <f t="shared" si="49"/>
        <v>MEDICARE TAXES</v>
      </c>
    </row>
    <row r="2546" spans="5:8" x14ac:dyDescent="0.25">
      <c r="E2546" t="str">
        <f>""</f>
        <v/>
      </c>
      <c r="F2546" t="str">
        <f>""</f>
        <v/>
      </c>
      <c r="H2546" t="str">
        <f t="shared" si="49"/>
        <v>MEDICARE TAXES</v>
      </c>
    </row>
    <row r="2547" spans="5:8" x14ac:dyDescent="0.25">
      <c r="E2547" t="str">
        <f>""</f>
        <v/>
      </c>
      <c r="F2547" t="str">
        <f>""</f>
        <v/>
      </c>
      <c r="H2547" t="str">
        <f t="shared" si="49"/>
        <v>MEDICARE TAXES</v>
      </c>
    </row>
    <row r="2548" spans="5:8" x14ac:dyDescent="0.25">
      <c r="E2548" t="str">
        <f>""</f>
        <v/>
      </c>
      <c r="F2548" t="str">
        <f>""</f>
        <v/>
      </c>
      <c r="H2548" t="str">
        <f t="shared" si="49"/>
        <v>MEDICARE TAXES</v>
      </c>
    </row>
    <row r="2549" spans="5:8" x14ac:dyDescent="0.25">
      <c r="E2549" t="str">
        <f>""</f>
        <v/>
      </c>
      <c r="F2549" t="str">
        <f>""</f>
        <v/>
      </c>
      <c r="H2549" t="str">
        <f t="shared" si="49"/>
        <v>MEDICARE TAXES</v>
      </c>
    </row>
    <row r="2550" spans="5:8" x14ac:dyDescent="0.25">
      <c r="E2550" t="str">
        <f>""</f>
        <v/>
      </c>
      <c r="F2550" t="str">
        <f>""</f>
        <v/>
      </c>
      <c r="H2550" t="str">
        <f t="shared" si="49"/>
        <v>MEDICARE TAXES</v>
      </c>
    </row>
    <row r="2551" spans="5:8" x14ac:dyDescent="0.25">
      <c r="E2551" t="str">
        <f>""</f>
        <v/>
      </c>
      <c r="F2551" t="str">
        <f>""</f>
        <v/>
      </c>
      <c r="H2551" t="str">
        <f t="shared" si="49"/>
        <v>MEDICARE TAXES</v>
      </c>
    </row>
    <row r="2552" spans="5:8" x14ac:dyDescent="0.25">
      <c r="E2552" t="str">
        <f>""</f>
        <v/>
      </c>
      <c r="F2552" t="str">
        <f>""</f>
        <v/>
      </c>
      <c r="H2552" t="str">
        <f t="shared" si="49"/>
        <v>MEDICARE TAXES</v>
      </c>
    </row>
    <row r="2553" spans="5:8" x14ac:dyDescent="0.25">
      <c r="E2553" t="str">
        <f>""</f>
        <v/>
      </c>
      <c r="F2553" t="str">
        <f>""</f>
        <v/>
      </c>
      <c r="H2553" t="str">
        <f t="shared" si="49"/>
        <v>MEDICARE TAXES</v>
      </c>
    </row>
    <row r="2554" spans="5:8" x14ac:dyDescent="0.25">
      <c r="E2554" t="str">
        <f>""</f>
        <v/>
      </c>
      <c r="F2554" t="str">
        <f>""</f>
        <v/>
      </c>
      <c r="H2554" t="str">
        <f t="shared" si="49"/>
        <v>MEDICARE TAXES</v>
      </c>
    </row>
    <row r="2555" spans="5:8" x14ac:dyDescent="0.25">
      <c r="E2555" t="str">
        <f>""</f>
        <v/>
      </c>
      <c r="F2555" t="str">
        <f>""</f>
        <v/>
      </c>
      <c r="H2555" t="str">
        <f t="shared" si="49"/>
        <v>MEDICARE TAXES</v>
      </c>
    </row>
    <row r="2556" spans="5:8" x14ac:dyDescent="0.25">
      <c r="E2556" t="str">
        <f>""</f>
        <v/>
      </c>
      <c r="F2556" t="str">
        <f>""</f>
        <v/>
      </c>
      <c r="H2556" t="str">
        <f t="shared" si="49"/>
        <v>MEDICARE TAXES</v>
      </c>
    </row>
    <row r="2557" spans="5:8" x14ac:dyDescent="0.25">
      <c r="E2557" t="str">
        <f>""</f>
        <v/>
      </c>
      <c r="F2557" t="str">
        <f>""</f>
        <v/>
      </c>
      <c r="H2557" t="str">
        <f t="shared" si="49"/>
        <v>MEDICARE TAXES</v>
      </c>
    </row>
    <row r="2558" spans="5:8" x14ac:dyDescent="0.25">
      <c r="E2558" t="str">
        <f>""</f>
        <v/>
      </c>
      <c r="F2558" t="str">
        <f>""</f>
        <v/>
      </c>
      <c r="H2558" t="str">
        <f t="shared" si="49"/>
        <v>MEDICARE TAXES</v>
      </c>
    </row>
    <row r="2559" spans="5:8" x14ac:dyDescent="0.25">
      <c r="E2559" t="str">
        <f>""</f>
        <v/>
      </c>
      <c r="F2559" t="str">
        <f>""</f>
        <v/>
      </c>
      <c r="H2559" t="str">
        <f t="shared" si="49"/>
        <v>MEDICARE TAXES</v>
      </c>
    </row>
    <row r="2560" spans="5:8" x14ac:dyDescent="0.25">
      <c r="E2560" t="str">
        <f>""</f>
        <v/>
      </c>
      <c r="F2560" t="str">
        <f>""</f>
        <v/>
      </c>
      <c r="H2560" t="str">
        <f t="shared" si="49"/>
        <v>MEDICARE TAXES</v>
      </c>
    </row>
    <row r="2561" spans="5:8" x14ac:dyDescent="0.25">
      <c r="E2561" t="str">
        <f>""</f>
        <v/>
      </c>
      <c r="F2561" t="str">
        <f>""</f>
        <v/>
      </c>
      <c r="H2561" t="str">
        <f t="shared" si="49"/>
        <v>MEDICARE TAXES</v>
      </c>
    </row>
    <row r="2562" spans="5:8" x14ac:dyDescent="0.25">
      <c r="E2562" t="str">
        <f>""</f>
        <v/>
      </c>
      <c r="F2562" t="str">
        <f>""</f>
        <v/>
      </c>
      <c r="H2562" t="str">
        <f t="shared" si="49"/>
        <v>MEDICARE TAXES</v>
      </c>
    </row>
    <row r="2563" spans="5:8" x14ac:dyDescent="0.25">
      <c r="E2563" t="str">
        <f>""</f>
        <v/>
      </c>
      <c r="F2563" t="str">
        <f>""</f>
        <v/>
      </c>
      <c r="H2563" t="str">
        <f t="shared" si="49"/>
        <v>MEDICARE TAXES</v>
      </c>
    </row>
    <row r="2564" spans="5:8" x14ac:dyDescent="0.25">
      <c r="E2564" t="str">
        <f>""</f>
        <v/>
      </c>
      <c r="F2564" t="str">
        <f>""</f>
        <v/>
      </c>
      <c r="H2564" t="str">
        <f t="shared" si="49"/>
        <v>MEDICARE TAXES</v>
      </c>
    </row>
    <row r="2565" spans="5:8" x14ac:dyDescent="0.25">
      <c r="E2565" t="str">
        <f>""</f>
        <v/>
      </c>
      <c r="F2565" t="str">
        <f>""</f>
        <v/>
      </c>
      <c r="H2565" t="str">
        <f t="shared" si="49"/>
        <v>MEDICARE TAXES</v>
      </c>
    </row>
    <row r="2566" spans="5:8" x14ac:dyDescent="0.25">
      <c r="E2566" t="str">
        <f>""</f>
        <v/>
      </c>
      <c r="F2566" t="str">
        <f>""</f>
        <v/>
      </c>
      <c r="H2566" t="str">
        <f t="shared" si="49"/>
        <v>MEDICARE TAXES</v>
      </c>
    </row>
    <row r="2567" spans="5:8" x14ac:dyDescent="0.25">
      <c r="E2567" t="str">
        <f>""</f>
        <v/>
      </c>
      <c r="F2567" t="str">
        <f>""</f>
        <v/>
      </c>
      <c r="H2567" t="str">
        <f t="shared" ref="H2567:H2590" si="50">"MEDICARE TAXES"</f>
        <v>MEDICARE TAXES</v>
      </c>
    </row>
    <row r="2568" spans="5:8" x14ac:dyDescent="0.25">
      <c r="E2568" t="str">
        <f>""</f>
        <v/>
      </c>
      <c r="F2568" t="str">
        <f>""</f>
        <v/>
      </c>
      <c r="H2568" t="str">
        <f t="shared" si="50"/>
        <v>MEDICARE TAXES</v>
      </c>
    </row>
    <row r="2569" spans="5:8" x14ac:dyDescent="0.25">
      <c r="E2569" t="str">
        <f>""</f>
        <v/>
      </c>
      <c r="F2569" t="str">
        <f>""</f>
        <v/>
      </c>
      <c r="H2569" t="str">
        <f t="shared" si="50"/>
        <v>MEDICARE TAXES</v>
      </c>
    </row>
    <row r="2570" spans="5:8" x14ac:dyDescent="0.25">
      <c r="E2570" t="str">
        <f>""</f>
        <v/>
      </c>
      <c r="F2570" t="str">
        <f>""</f>
        <v/>
      </c>
      <c r="H2570" t="str">
        <f t="shared" si="50"/>
        <v>MEDICARE TAXES</v>
      </c>
    </row>
    <row r="2571" spans="5:8" x14ac:dyDescent="0.25">
      <c r="E2571" t="str">
        <f>""</f>
        <v/>
      </c>
      <c r="F2571" t="str">
        <f>""</f>
        <v/>
      </c>
      <c r="H2571" t="str">
        <f t="shared" si="50"/>
        <v>MEDICARE TAXES</v>
      </c>
    </row>
    <row r="2572" spans="5:8" x14ac:dyDescent="0.25">
      <c r="E2572" t="str">
        <f>""</f>
        <v/>
      </c>
      <c r="F2572" t="str">
        <f>""</f>
        <v/>
      </c>
      <c r="H2572" t="str">
        <f t="shared" si="50"/>
        <v>MEDICARE TAXES</v>
      </c>
    </row>
    <row r="2573" spans="5:8" x14ac:dyDescent="0.25">
      <c r="E2573" t="str">
        <f>""</f>
        <v/>
      </c>
      <c r="F2573" t="str">
        <f>""</f>
        <v/>
      </c>
      <c r="H2573" t="str">
        <f t="shared" si="50"/>
        <v>MEDICARE TAXES</v>
      </c>
    </row>
    <row r="2574" spans="5:8" x14ac:dyDescent="0.25">
      <c r="E2574" t="str">
        <f>""</f>
        <v/>
      </c>
      <c r="F2574" t="str">
        <f>""</f>
        <v/>
      </c>
      <c r="H2574" t="str">
        <f t="shared" si="50"/>
        <v>MEDICARE TAXES</v>
      </c>
    </row>
    <row r="2575" spans="5:8" x14ac:dyDescent="0.25">
      <c r="E2575" t="str">
        <f>""</f>
        <v/>
      </c>
      <c r="F2575" t="str">
        <f>""</f>
        <v/>
      </c>
      <c r="H2575" t="str">
        <f t="shared" si="50"/>
        <v>MEDICARE TAXES</v>
      </c>
    </row>
    <row r="2576" spans="5:8" x14ac:dyDescent="0.25">
      <c r="E2576" t="str">
        <f>""</f>
        <v/>
      </c>
      <c r="F2576" t="str">
        <f>""</f>
        <v/>
      </c>
      <c r="H2576" t="str">
        <f t="shared" si="50"/>
        <v>MEDICARE TAXES</v>
      </c>
    </row>
    <row r="2577" spans="1:8" x14ac:dyDescent="0.25">
      <c r="E2577" t="str">
        <f>""</f>
        <v/>
      </c>
      <c r="F2577" t="str">
        <f>""</f>
        <v/>
      </c>
      <c r="H2577" t="str">
        <f t="shared" si="50"/>
        <v>MEDICARE TAXES</v>
      </c>
    </row>
    <row r="2578" spans="1:8" x14ac:dyDescent="0.25">
      <c r="E2578" t="str">
        <f>""</f>
        <v/>
      </c>
      <c r="F2578" t="str">
        <f>""</f>
        <v/>
      </c>
      <c r="H2578" t="str">
        <f t="shared" si="50"/>
        <v>MEDICARE TAXES</v>
      </c>
    </row>
    <row r="2579" spans="1:8" x14ac:dyDescent="0.25">
      <c r="E2579" t="str">
        <f>""</f>
        <v/>
      </c>
      <c r="F2579" t="str">
        <f>""</f>
        <v/>
      </c>
      <c r="H2579" t="str">
        <f t="shared" si="50"/>
        <v>MEDICARE TAXES</v>
      </c>
    </row>
    <row r="2580" spans="1:8" x14ac:dyDescent="0.25">
      <c r="E2580" t="str">
        <f>""</f>
        <v/>
      </c>
      <c r="F2580" t="str">
        <f>""</f>
        <v/>
      </c>
      <c r="H2580" t="str">
        <f t="shared" si="50"/>
        <v>MEDICARE TAXES</v>
      </c>
    </row>
    <row r="2581" spans="1:8" x14ac:dyDescent="0.25">
      <c r="E2581" t="str">
        <f>""</f>
        <v/>
      </c>
      <c r="F2581" t="str">
        <f>""</f>
        <v/>
      </c>
      <c r="H2581" t="str">
        <f t="shared" si="50"/>
        <v>MEDICARE TAXES</v>
      </c>
    </row>
    <row r="2582" spans="1:8" x14ac:dyDescent="0.25">
      <c r="E2582" t="str">
        <f>""</f>
        <v/>
      </c>
      <c r="F2582" t="str">
        <f>""</f>
        <v/>
      </c>
      <c r="H2582" t="str">
        <f t="shared" si="50"/>
        <v>MEDICARE TAXES</v>
      </c>
    </row>
    <row r="2583" spans="1:8" x14ac:dyDescent="0.25">
      <c r="E2583" t="str">
        <f>""</f>
        <v/>
      </c>
      <c r="F2583" t="str">
        <f>""</f>
        <v/>
      </c>
      <c r="H2583" t="str">
        <f t="shared" si="50"/>
        <v>MEDICARE TAXES</v>
      </c>
    </row>
    <row r="2584" spans="1:8" x14ac:dyDescent="0.25">
      <c r="E2584" t="str">
        <f>""</f>
        <v/>
      </c>
      <c r="F2584" t="str">
        <f>""</f>
        <v/>
      </c>
      <c r="H2584" t="str">
        <f t="shared" si="50"/>
        <v>MEDICARE TAXES</v>
      </c>
    </row>
    <row r="2585" spans="1:8" x14ac:dyDescent="0.25">
      <c r="E2585" t="str">
        <f>""</f>
        <v/>
      </c>
      <c r="F2585" t="str">
        <f>""</f>
        <v/>
      </c>
      <c r="H2585" t="str">
        <f t="shared" si="50"/>
        <v>MEDICARE TAXES</v>
      </c>
    </row>
    <row r="2586" spans="1:8" x14ac:dyDescent="0.25">
      <c r="E2586" t="str">
        <f>""</f>
        <v/>
      </c>
      <c r="F2586" t="str">
        <f>""</f>
        <v/>
      </c>
      <c r="H2586" t="str">
        <f t="shared" si="50"/>
        <v>MEDICARE TAXES</v>
      </c>
    </row>
    <row r="2587" spans="1:8" x14ac:dyDescent="0.25">
      <c r="E2587" t="str">
        <f>"T4 201811285301"</f>
        <v>T4 201811285301</v>
      </c>
      <c r="F2587" t="str">
        <f>"MEDICARE TAXES"</f>
        <v>MEDICARE TAXES</v>
      </c>
      <c r="G2587" s="2">
        <v>974</v>
      </c>
      <c r="H2587" t="str">
        <f t="shared" si="50"/>
        <v>MEDICARE TAXES</v>
      </c>
    </row>
    <row r="2588" spans="1:8" x14ac:dyDescent="0.25">
      <c r="E2588" t="str">
        <f>""</f>
        <v/>
      </c>
      <c r="F2588" t="str">
        <f>""</f>
        <v/>
      </c>
      <c r="H2588" t="str">
        <f t="shared" si="50"/>
        <v>MEDICARE TAXES</v>
      </c>
    </row>
    <row r="2589" spans="1:8" x14ac:dyDescent="0.25">
      <c r="E2589" t="str">
        <f>"T4 201811285302"</f>
        <v>T4 201811285302</v>
      </c>
      <c r="F2589" t="str">
        <f>"MEDICARE TAXES"</f>
        <v>MEDICARE TAXES</v>
      </c>
      <c r="G2589" s="2">
        <v>1252.4000000000001</v>
      </c>
      <c r="H2589" t="str">
        <f t="shared" si="50"/>
        <v>MEDICARE TAXES</v>
      </c>
    </row>
    <row r="2590" spans="1:8" x14ac:dyDescent="0.25">
      <c r="E2590" t="str">
        <f>""</f>
        <v/>
      </c>
      <c r="F2590" t="str">
        <f>""</f>
        <v/>
      </c>
      <c r="H2590" t="str">
        <f t="shared" si="50"/>
        <v>MEDICARE TAXES</v>
      </c>
    </row>
    <row r="2591" spans="1:8" x14ac:dyDescent="0.25">
      <c r="A2591" t="s">
        <v>563</v>
      </c>
      <c r="B2591">
        <v>47023</v>
      </c>
      <c r="C2591" s="3">
        <v>103.38</v>
      </c>
      <c r="D2591" s="1">
        <v>43406</v>
      </c>
      <c r="E2591" t="str">
        <f>"C74201810314759"</f>
        <v>C74201810314759</v>
      </c>
      <c r="F2591" t="str">
        <f>"CASE #SN11D000883"</f>
        <v>CASE #SN11D000883</v>
      </c>
      <c r="G2591" s="2">
        <v>103.38</v>
      </c>
      <c r="H2591" t="str">
        <f>"CASE #SN11D000883"</f>
        <v>CASE #SN11D000883</v>
      </c>
    </row>
    <row r="2592" spans="1:8" x14ac:dyDescent="0.25">
      <c r="A2592" t="s">
        <v>564</v>
      </c>
      <c r="B2592">
        <v>47022</v>
      </c>
      <c r="C2592" s="3">
        <v>222.76</v>
      </c>
      <c r="D2592" s="1">
        <v>43406</v>
      </c>
      <c r="E2592" t="str">
        <f>"C64201810314759"</f>
        <v>C64201810314759</v>
      </c>
      <c r="F2592" t="str">
        <f>"CASE #912745322"</f>
        <v>CASE #912745322</v>
      </c>
      <c r="G2592" s="2">
        <v>222.76</v>
      </c>
      <c r="H2592" t="str">
        <f>"CASE #912745322"</f>
        <v>CASE #912745322</v>
      </c>
    </row>
    <row r="2593" spans="1:8" x14ac:dyDescent="0.25">
      <c r="A2593" t="s">
        <v>564</v>
      </c>
      <c r="B2593">
        <v>47050</v>
      </c>
      <c r="C2593" s="3">
        <v>222.76</v>
      </c>
      <c r="D2593" s="1">
        <v>43420</v>
      </c>
      <c r="E2593" t="str">
        <f>"C64201811145075"</f>
        <v>C64201811145075</v>
      </c>
      <c r="F2593" t="str">
        <f>"CASE #912745322"</f>
        <v>CASE #912745322</v>
      </c>
      <c r="G2593" s="2">
        <v>222.76</v>
      </c>
      <c r="H2593" t="str">
        <f>"CASE #912745322"</f>
        <v>CASE #912745322</v>
      </c>
    </row>
    <row r="2594" spans="1:8" x14ac:dyDescent="0.25">
      <c r="A2594" t="s">
        <v>564</v>
      </c>
      <c r="B2594">
        <v>47162</v>
      </c>
      <c r="C2594" s="3">
        <v>222.76</v>
      </c>
      <c r="D2594" s="1">
        <v>43434</v>
      </c>
      <c r="E2594" t="str">
        <f>"C64201811275300"</f>
        <v>C64201811275300</v>
      </c>
      <c r="F2594" t="str">
        <f>"CASE #912745322"</f>
        <v>CASE #912745322</v>
      </c>
      <c r="G2594" s="2">
        <v>222.76</v>
      </c>
      <c r="H2594" t="str">
        <f>"CASE #912745322"</f>
        <v>CASE #912745322</v>
      </c>
    </row>
    <row r="2595" spans="1:8" x14ac:dyDescent="0.25">
      <c r="A2595" t="s">
        <v>565</v>
      </c>
      <c r="B2595">
        <v>0</v>
      </c>
      <c r="C2595" s="3">
        <v>29031.35</v>
      </c>
      <c r="D2595" s="1">
        <v>43433</v>
      </c>
      <c r="E2595" t="str">
        <f>"201811295328"</f>
        <v>201811295328</v>
      </c>
      <c r="F2595" t="str">
        <f>"MONUMENTAL LIFE INS CO"</f>
        <v>MONUMENTAL LIFE INS CO</v>
      </c>
      <c r="G2595" s="2">
        <v>29031.35</v>
      </c>
      <c r="H2595" t="str">
        <f>"MONUMENTAL LIFE INS CO"</f>
        <v>MONUMENTAL LIFE INS CO</v>
      </c>
    </row>
    <row r="2596" spans="1:8" x14ac:dyDescent="0.25">
      <c r="A2596" t="s">
        <v>566</v>
      </c>
      <c r="B2596">
        <v>0</v>
      </c>
      <c r="C2596" s="3">
        <v>674.82</v>
      </c>
      <c r="D2596" s="1">
        <v>43433</v>
      </c>
      <c r="E2596" t="str">
        <f>"LIX201810314759"</f>
        <v>LIX201810314759</v>
      </c>
      <c r="F2596" t="str">
        <f>"TEXAS LIFE/OLIVO GROUP"</f>
        <v>TEXAS LIFE/OLIVO GROUP</v>
      </c>
      <c r="G2596" s="2">
        <v>337.41</v>
      </c>
      <c r="H2596" t="str">
        <f>"TEXAS LIFE/OLIVO GROUP"</f>
        <v>TEXAS LIFE/OLIVO GROUP</v>
      </c>
    </row>
    <row r="2597" spans="1:8" x14ac:dyDescent="0.25">
      <c r="E2597" t="str">
        <f>"LIX201811145075"</f>
        <v>LIX201811145075</v>
      </c>
      <c r="F2597" t="str">
        <f>"TEXAS LIFE/OLIVO GROUP"</f>
        <v>TEXAS LIFE/OLIVO GROUP</v>
      </c>
      <c r="G2597" s="2">
        <v>337.41</v>
      </c>
      <c r="H2597" t="str">
        <f>"TEXAS LIFE/OLIVO GROUP"</f>
        <v>TEXAS LIFE/OLIVO GROUP</v>
      </c>
    </row>
    <row r="2598" spans="1:8" x14ac:dyDescent="0.25">
      <c r="A2598" t="s">
        <v>567</v>
      </c>
      <c r="B2598">
        <v>47168</v>
      </c>
      <c r="C2598" s="3">
        <v>322463.18</v>
      </c>
      <c r="D2598" s="1">
        <v>43433</v>
      </c>
      <c r="E2598" t="str">
        <f>"201811295345"</f>
        <v>201811295345</v>
      </c>
      <c r="F2598" t="str">
        <f>"Retirees November 2018"</f>
        <v>Retirees November 2018</v>
      </c>
      <c r="G2598" s="2">
        <v>14654.4</v>
      </c>
      <c r="H2598" t="str">
        <f>"TAC HEALTH BENEFITS POOL"</f>
        <v>TAC HEALTH BENEFITS POOL</v>
      </c>
    </row>
    <row r="2599" spans="1:8" x14ac:dyDescent="0.25">
      <c r="E2599" t="str">
        <f>"2EC201810314759"</f>
        <v>2EC201810314759</v>
      </c>
      <c r="F2599" t="str">
        <f>"BCBS PAYABLE"</f>
        <v>BCBS PAYABLE</v>
      </c>
      <c r="G2599" s="2">
        <v>43879.45</v>
      </c>
      <c r="H2599" t="str">
        <f t="shared" ref="H2599:H2630" si="51">"BCBS PAYABLE"</f>
        <v>BCBS PAYABLE</v>
      </c>
    </row>
    <row r="2600" spans="1:8" x14ac:dyDescent="0.25">
      <c r="E2600" t="str">
        <f>""</f>
        <v/>
      </c>
      <c r="F2600" t="str">
        <f>""</f>
        <v/>
      </c>
      <c r="H2600" t="str">
        <f t="shared" si="51"/>
        <v>BCBS PAYABLE</v>
      </c>
    </row>
    <row r="2601" spans="1:8" x14ac:dyDescent="0.25">
      <c r="E2601" t="str">
        <f>""</f>
        <v/>
      </c>
      <c r="F2601" t="str">
        <f>""</f>
        <v/>
      </c>
      <c r="H2601" t="str">
        <f t="shared" si="51"/>
        <v>BCBS PAYABLE</v>
      </c>
    </row>
    <row r="2602" spans="1:8" x14ac:dyDescent="0.25">
      <c r="E2602" t="str">
        <f>""</f>
        <v/>
      </c>
      <c r="F2602" t="str">
        <f>""</f>
        <v/>
      </c>
      <c r="H2602" t="str">
        <f t="shared" si="51"/>
        <v>BCBS PAYABLE</v>
      </c>
    </row>
    <row r="2603" spans="1:8" x14ac:dyDescent="0.25">
      <c r="E2603" t="str">
        <f>""</f>
        <v/>
      </c>
      <c r="F2603" t="str">
        <f>""</f>
        <v/>
      </c>
      <c r="H2603" t="str">
        <f t="shared" si="51"/>
        <v>BCBS PAYABLE</v>
      </c>
    </row>
    <row r="2604" spans="1:8" x14ac:dyDescent="0.25">
      <c r="E2604" t="str">
        <f>""</f>
        <v/>
      </c>
      <c r="F2604" t="str">
        <f>""</f>
        <v/>
      </c>
      <c r="H2604" t="str">
        <f t="shared" si="51"/>
        <v>BCBS PAYABLE</v>
      </c>
    </row>
    <row r="2605" spans="1:8" x14ac:dyDescent="0.25">
      <c r="E2605" t="str">
        <f>""</f>
        <v/>
      </c>
      <c r="F2605" t="str">
        <f>""</f>
        <v/>
      </c>
      <c r="H2605" t="str">
        <f t="shared" si="51"/>
        <v>BCBS PAYABLE</v>
      </c>
    </row>
    <row r="2606" spans="1:8" x14ac:dyDescent="0.25">
      <c r="E2606" t="str">
        <f>""</f>
        <v/>
      </c>
      <c r="F2606" t="str">
        <f>""</f>
        <v/>
      </c>
      <c r="H2606" t="str">
        <f t="shared" si="51"/>
        <v>BCBS PAYABLE</v>
      </c>
    </row>
    <row r="2607" spans="1:8" x14ac:dyDescent="0.25">
      <c r="E2607" t="str">
        <f>""</f>
        <v/>
      </c>
      <c r="F2607" t="str">
        <f>""</f>
        <v/>
      </c>
      <c r="H2607" t="str">
        <f t="shared" si="51"/>
        <v>BCBS PAYABLE</v>
      </c>
    </row>
    <row r="2608" spans="1:8" x14ac:dyDescent="0.25">
      <c r="E2608" t="str">
        <f>""</f>
        <v/>
      </c>
      <c r="F2608" t="str">
        <f>""</f>
        <v/>
      </c>
      <c r="H2608" t="str">
        <f t="shared" si="51"/>
        <v>BCBS PAYABLE</v>
      </c>
    </row>
    <row r="2609" spans="5:8" x14ac:dyDescent="0.25">
      <c r="E2609" t="str">
        <f>""</f>
        <v/>
      </c>
      <c r="F2609" t="str">
        <f>""</f>
        <v/>
      </c>
      <c r="H2609" t="str">
        <f t="shared" si="51"/>
        <v>BCBS PAYABLE</v>
      </c>
    </row>
    <row r="2610" spans="5:8" x14ac:dyDescent="0.25">
      <c r="E2610" t="str">
        <f>""</f>
        <v/>
      </c>
      <c r="F2610" t="str">
        <f>""</f>
        <v/>
      </c>
      <c r="H2610" t="str">
        <f t="shared" si="51"/>
        <v>BCBS PAYABLE</v>
      </c>
    </row>
    <row r="2611" spans="5:8" x14ac:dyDescent="0.25">
      <c r="E2611" t="str">
        <f>""</f>
        <v/>
      </c>
      <c r="F2611" t="str">
        <f>""</f>
        <v/>
      </c>
      <c r="H2611" t="str">
        <f t="shared" si="51"/>
        <v>BCBS PAYABLE</v>
      </c>
    </row>
    <row r="2612" spans="5:8" x14ac:dyDescent="0.25">
      <c r="E2612" t="str">
        <f>""</f>
        <v/>
      </c>
      <c r="F2612" t="str">
        <f>""</f>
        <v/>
      </c>
      <c r="H2612" t="str">
        <f t="shared" si="51"/>
        <v>BCBS PAYABLE</v>
      </c>
    </row>
    <row r="2613" spans="5:8" x14ac:dyDescent="0.25">
      <c r="E2613" t="str">
        <f>""</f>
        <v/>
      </c>
      <c r="F2613" t="str">
        <f>""</f>
        <v/>
      </c>
      <c r="H2613" t="str">
        <f t="shared" si="51"/>
        <v>BCBS PAYABLE</v>
      </c>
    </row>
    <row r="2614" spans="5:8" x14ac:dyDescent="0.25">
      <c r="E2614" t="str">
        <f>""</f>
        <v/>
      </c>
      <c r="F2614" t="str">
        <f>""</f>
        <v/>
      </c>
      <c r="H2614" t="str">
        <f t="shared" si="51"/>
        <v>BCBS PAYABLE</v>
      </c>
    </row>
    <row r="2615" spans="5:8" x14ac:dyDescent="0.25">
      <c r="E2615" t="str">
        <f>""</f>
        <v/>
      </c>
      <c r="F2615" t="str">
        <f>""</f>
        <v/>
      </c>
      <c r="H2615" t="str">
        <f t="shared" si="51"/>
        <v>BCBS PAYABLE</v>
      </c>
    </row>
    <row r="2616" spans="5:8" x14ac:dyDescent="0.25">
      <c r="E2616" t="str">
        <f>""</f>
        <v/>
      </c>
      <c r="F2616" t="str">
        <f>""</f>
        <v/>
      </c>
      <c r="H2616" t="str">
        <f t="shared" si="51"/>
        <v>BCBS PAYABLE</v>
      </c>
    </row>
    <row r="2617" spans="5:8" x14ac:dyDescent="0.25">
      <c r="E2617" t="str">
        <f>""</f>
        <v/>
      </c>
      <c r="F2617" t="str">
        <f>""</f>
        <v/>
      </c>
      <c r="H2617" t="str">
        <f t="shared" si="51"/>
        <v>BCBS PAYABLE</v>
      </c>
    </row>
    <row r="2618" spans="5:8" x14ac:dyDescent="0.25">
      <c r="E2618" t="str">
        <f>""</f>
        <v/>
      </c>
      <c r="F2618" t="str">
        <f>""</f>
        <v/>
      </c>
      <c r="H2618" t="str">
        <f t="shared" si="51"/>
        <v>BCBS PAYABLE</v>
      </c>
    </row>
    <row r="2619" spans="5:8" x14ac:dyDescent="0.25">
      <c r="E2619" t="str">
        <f>""</f>
        <v/>
      </c>
      <c r="F2619" t="str">
        <f>""</f>
        <v/>
      </c>
      <c r="H2619" t="str">
        <f t="shared" si="51"/>
        <v>BCBS PAYABLE</v>
      </c>
    </row>
    <row r="2620" spans="5:8" x14ac:dyDescent="0.25">
      <c r="E2620" t="str">
        <f>""</f>
        <v/>
      </c>
      <c r="F2620" t="str">
        <f>""</f>
        <v/>
      </c>
      <c r="H2620" t="str">
        <f t="shared" si="51"/>
        <v>BCBS PAYABLE</v>
      </c>
    </row>
    <row r="2621" spans="5:8" x14ac:dyDescent="0.25">
      <c r="E2621" t="str">
        <f>""</f>
        <v/>
      </c>
      <c r="F2621" t="str">
        <f>""</f>
        <v/>
      </c>
      <c r="H2621" t="str">
        <f t="shared" si="51"/>
        <v>BCBS PAYABLE</v>
      </c>
    </row>
    <row r="2622" spans="5:8" x14ac:dyDescent="0.25">
      <c r="E2622" t="str">
        <f>""</f>
        <v/>
      </c>
      <c r="F2622" t="str">
        <f>""</f>
        <v/>
      </c>
      <c r="H2622" t="str">
        <f t="shared" si="51"/>
        <v>BCBS PAYABLE</v>
      </c>
    </row>
    <row r="2623" spans="5:8" x14ac:dyDescent="0.25">
      <c r="E2623" t="str">
        <f>""</f>
        <v/>
      </c>
      <c r="F2623" t="str">
        <f>""</f>
        <v/>
      </c>
      <c r="H2623" t="str">
        <f t="shared" si="51"/>
        <v>BCBS PAYABLE</v>
      </c>
    </row>
    <row r="2624" spans="5:8" x14ac:dyDescent="0.25">
      <c r="E2624" t="str">
        <f>""</f>
        <v/>
      </c>
      <c r="F2624" t="str">
        <f>""</f>
        <v/>
      </c>
      <c r="H2624" t="str">
        <f t="shared" si="51"/>
        <v>BCBS PAYABLE</v>
      </c>
    </row>
    <row r="2625" spans="5:8" x14ac:dyDescent="0.25">
      <c r="E2625" t="str">
        <f>""</f>
        <v/>
      </c>
      <c r="F2625" t="str">
        <f>""</f>
        <v/>
      </c>
      <c r="H2625" t="str">
        <f t="shared" si="51"/>
        <v>BCBS PAYABLE</v>
      </c>
    </row>
    <row r="2626" spans="5:8" x14ac:dyDescent="0.25">
      <c r="E2626" t="str">
        <f>""</f>
        <v/>
      </c>
      <c r="F2626" t="str">
        <f>""</f>
        <v/>
      </c>
      <c r="H2626" t="str">
        <f t="shared" si="51"/>
        <v>BCBS PAYABLE</v>
      </c>
    </row>
    <row r="2627" spans="5:8" x14ac:dyDescent="0.25">
      <c r="E2627" t="str">
        <f>""</f>
        <v/>
      </c>
      <c r="F2627" t="str">
        <f>""</f>
        <v/>
      </c>
      <c r="H2627" t="str">
        <f t="shared" si="51"/>
        <v>BCBS PAYABLE</v>
      </c>
    </row>
    <row r="2628" spans="5:8" x14ac:dyDescent="0.25">
      <c r="E2628" t="str">
        <f>""</f>
        <v/>
      </c>
      <c r="F2628" t="str">
        <f>""</f>
        <v/>
      </c>
      <c r="H2628" t="str">
        <f t="shared" si="51"/>
        <v>BCBS PAYABLE</v>
      </c>
    </row>
    <row r="2629" spans="5:8" x14ac:dyDescent="0.25">
      <c r="E2629" t="str">
        <f>""</f>
        <v/>
      </c>
      <c r="F2629" t="str">
        <f>""</f>
        <v/>
      </c>
      <c r="H2629" t="str">
        <f t="shared" si="51"/>
        <v>BCBS PAYABLE</v>
      </c>
    </row>
    <row r="2630" spans="5:8" x14ac:dyDescent="0.25">
      <c r="E2630" t="str">
        <f>""</f>
        <v/>
      </c>
      <c r="F2630" t="str">
        <f>""</f>
        <v/>
      </c>
      <c r="H2630" t="str">
        <f t="shared" si="51"/>
        <v>BCBS PAYABLE</v>
      </c>
    </row>
    <row r="2631" spans="5:8" x14ac:dyDescent="0.25">
      <c r="E2631" t="str">
        <f>"2EC201810314760"</f>
        <v>2EC201810314760</v>
      </c>
      <c r="F2631" t="str">
        <f>"BCBS PAYABLE"</f>
        <v>BCBS PAYABLE</v>
      </c>
      <c r="G2631" s="2">
        <v>1737.8</v>
      </c>
      <c r="H2631" t="str">
        <f t="shared" ref="H2631:H2662" si="52">"BCBS PAYABLE"</f>
        <v>BCBS PAYABLE</v>
      </c>
    </row>
    <row r="2632" spans="5:8" x14ac:dyDescent="0.25">
      <c r="E2632" t="str">
        <f>""</f>
        <v/>
      </c>
      <c r="F2632" t="str">
        <f>""</f>
        <v/>
      </c>
      <c r="H2632" t="str">
        <f t="shared" si="52"/>
        <v>BCBS PAYABLE</v>
      </c>
    </row>
    <row r="2633" spans="5:8" x14ac:dyDescent="0.25">
      <c r="E2633" t="str">
        <f>"2EC201811145075"</f>
        <v>2EC201811145075</v>
      </c>
      <c r="F2633" t="str">
        <f>"BCBS PAYABLE"</f>
        <v>BCBS PAYABLE</v>
      </c>
      <c r="G2633" s="2">
        <v>43879.45</v>
      </c>
      <c r="H2633" t="str">
        <f t="shared" si="52"/>
        <v>BCBS PAYABLE</v>
      </c>
    </row>
    <row r="2634" spans="5:8" x14ac:dyDescent="0.25">
      <c r="E2634" t="str">
        <f>""</f>
        <v/>
      </c>
      <c r="F2634" t="str">
        <f>""</f>
        <v/>
      </c>
      <c r="H2634" t="str">
        <f t="shared" si="52"/>
        <v>BCBS PAYABLE</v>
      </c>
    </row>
    <row r="2635" spans="5:8" x14ac:dyDescent="0.25">
      <c r="E2635" t="str">
        <f>""</f>
        <v/>
      </c>
      <c r="F2635" t="str">
        <f>""</f>
        <v/>
      </c>
      <c r="H2635" t="str">
        <f t="shared" si="52"/>
        <v>BCBS PAYABLE</v>
      </c>
    </row>
    <row r="2636" spans="5:8" x14ac:dyDescent="0.25">
      <c r="E2636" t="str">
        <f>""</f>
        <v/>
      </c>
      <c r="F2636" t="str">
        <f>""</f>
        <v/>
      </c>
      <c r="H2636" t="str">
        <f t="shared" si="52"/>
        <v>BCBS PAYABLE</v>
      </c>
    </row>
    <row r="2637" spans="5:8" x14ac:dyDescent="0.25">
      <c r="E2637" t="str">
        <f>""</f>
        <v/>
      </c>
      <c r="F2637" t="str">
        <f>""</f>
        <v/>
      </c>
      <c r="H2637" t="str">
        <f t="shared" si="52"/>
        <v>BCBS PAYABLE</v>
      </c>
    </row>
    <row r="2638" spans="5:8" x14ac:dyDescent="0.25">
      <c r="E2638" t="str">
        <f>""</f>
        <v/>
      </c>
      <c r="F2638" t="str">
        <f>""</f>
        <v/>
      </c>
      <c r="H2638" t="str">
        <f t="shared" si="52"/>
        <v>BCBS PAYABLE</v>
      </c>
    </row>
    <row r="2639" spans="5:8" x14ac:dyDescent="0.25">
      <c r="E2639" t="str">
        <f>""</f>
        <v/>
      </c>
      <c r="F2639" t="str">
        <f>""</f>
        <v/>
      </c>
      <c r="H2639" t="str">
        <f t="shared" si="52"/>
        <v>BCBS PAYABLE</v>
      </c>
    </row>
    <row r="2640" spans="5:8" x14ac:dyDescent="0.25">
      <c r="E2640" t="str">
        <f>""</f>
        <v/>
      </c>
      <c r="F2640" t="str">
        <f>""</f>
        <v/>
      </c>
      <c r="H2640" t="str">
        <f t="shared" si="52"/>
        <v>BCBS PAYABLE</v>
      </c>
    </row>
    <row r="2641" spans="5:8" x14ac:dyDescent="0.25">
      <c r="E2641" t="str">
        <f>""</f>
        <v/>
      </c>
      <c r="F2641" t="str">
        <f>""</f>
        <v/>
      </c>
      <c r="H2641" t="str">
        <f t="shared" si="52"/>
        <v>BCBS PAYABLE</v>
      </c>
    </row>
    <row r="2642" spans="5:8" x14ac:dyDescent="0.25">
      <c r="E2642" t="str">
        <f>""</f>
        <v/>
      </c>
      <c r="F2642" t="str">
        <f>""</f>
        <v/>
      </c>
      <c r="H2642" t="str">
        <f t="shared" si="52"/>
        <v>BCBS PAYABLE</v>
      </c>
    </row>
    <row r="2643" spans="5:8" x14ac:dyDescent="0.25">
      <c r="E2643" t="str">
        <f>""</f>
        <v/>
      </c>
      <c r="F2643" t="str">
        <f>""</f>
        <v/>
      </c>
      <c r="H2643" t="str">
        <f t="shared" si="52"/>
        <v>BCBS PAYABLE</v>
      </c>
    </row>
    <row r="2644" spans="5:8" x14ac:dyDescent="0.25">
      <c r="E2644" t="str">
        <f>""</f>
        <v/>
      </c>
      <c r="F2644" t="str">
        <f>""</f>
        <v/>
      </c>
      <c r="H2644" t="str">
        <f t="shared" si="52"/>
        <v>BCBS PAYABLE</v>
      </c>
    </row>
    <row r="2645" spans="5:8" x14ac:dyDescent="0.25">
      <c r="E2645" t="str">
        <f>""</f>
        <v/>
      </c>
      <c r="F2645" t="str">
        <f>""</f>
        <v/>
      </c>
      <c r="H2645" t="str">
        <f t="shared" si="52"/>
        <v>BCBS PAYABLE</v>
      </c>
    </row>
    <row r="2646" spans="5:8" x14ac:dyDescent="0.25">
      <c r="E2646" t="str">
        <f>""</f>
        <v/>
      </c>
      <c r="F2646" t="str">
        <f>""</f>
        <v/>
      </c>
      <c r="H2646" t="str">
        <f t="shared" si="52"/>
        <v>BCBS PAYABLE</v>
      </c>
    </row>
    <row r="2647" spans="5:8" x14ac:dyDescent="0.25">
      <c r="E2647" t="str">
        <f>""</f>
        <v/>
      </c>
      <c r="F2647" t="str">
        <f>""</f>
        <v/>
      </c>
      <c r="H2647" t="str">
        <f t="shared" si="52"/>
        <v>BCBS PAYABLE</v>
      </c>
    </row>
    <row r="2648" spans="5:8" x14ac:dyDescent="0.25">
      <c r="E2648" t="str">
        <f>""</f>
        <v/>
      </c>
      <c r="F2648" t="str">
        <f>""</f>
        <v/>
      </c>
      <c r="H2648" t="str">
        <f t="shared" si="52"/>
        <v>BCBS PAYABLE</v>
      </c>
    </row>
    <row r="2649" spans="5:8" x14ac:dyDescent="0.25">
      <c r="E2649" t="str">
        <f>""</f>
        <v/>
      </c>
      <c r="F2649" t="str">
        <f>""</f>
        <v/>
      </c>
      <c r="H2649" t="str">
        <f t="shared" si="52"/>
        <v>BCBS PAYABLE</v>
      </c>
    </row>
    <row r="2650" spans="5:8" x14ac:dyDescent="0.25">
      <c r="E2650" t="str">
        <f>""</f>
        <v/>
      </c>
      <c r="F2650" t="str">
        <f>""</f>
        <v/>
      </c>
      <c r="H2650" t="str">
        <f t="shared" si="52"/>
        <v>BCBS PAYABLE</v>
      </c>
    </row>
    <row r="2651" spans="5:8" x14ac:dyDescent="0.25">
      <c r="E2651" t="str">
        <f>""</f>
        <v/>
      </c>
      <c r="F2651" t="str">
        <f>""</f>
        <v/>
      </c>
      <c r="H2651" t="str">
        <f t="shared" si="52"/>
        <v>BCBS PAYABLE</v>
      </c>
    </row>
    <row r="2652" spans="5:8" x14ac:dyDescent="0.25">
      <c r="E2652" t="str">
        <f>""</f>
        <v/>
      </c>
      <c r="F2652" t="str">
        <f>""</f>
        <v/>
      </c>
      <c r="H2652" t="str">
        <f t="shared" si="52"/>
        <v>BCBS PAYABLE</v>
      </c>
    </row>
    <row r="2653" spans="5:8" x14ac:dyDescent="0.25">
      <c r="E2653" t="str">
        <f>""</f>
        <v/>
      </c>
      <c r="F2653" t="str">
        <f>""</f>
        <v/>
      </c>
      <c r="H2653" t="str">
        <f t="shared" si="52"/>
        <v>BCBS PAYABLE</v>
      </c>
    </row>
    <row r="2654" spans="5:8" x14ac:dyDescent="0.25">
      <c r="E2654" t="str">
        <f>""</f>
        <v/>
      </c>
      <c r="F2654" t="str">
        <f>""</f>
        <v/>
      </c>
      <c r="H2654" t="str">
        <f t="shared" si="52"/>
        <v>BCBS PAYABLE</v>
      </c>
    </row>
    <row r="2655" spans="5:8" x14ac:dyDescent="0.25">
      <c r="E2655" t="str">
        <f>""</f>
        <v/>
      </c>
      <c r="F2655" t="str">
        <f>""</f>
        <v/>
      </c>
      <c r="H2655" t="str">
        <f t="shared" si="52"/>
        <v>BCBS PAYABLE</v>
      </c>
    </row>
    <row r="2656" spans="5:8" x14ac:dyDescent="0.25">
      <c r="E2656" t="str">
        <f>""</f>
        <v/>
      </c>
      <c r="F2656" t="str">
        <f>""</f>
        <v/>
      </c>
      <c r="H2656" t="str">
        <f t="shared" si="52"/>
        <v>BCBS PAYABLE</v>
      </c>
    </row>
    <row r="2657" spans="5:8" x14ac:dyDescent="0.25">
      <c r="E2657" t="str">
        <f>""</f>
        <v/>
      </c>
      <c r="F2657" t="str">
        <f>""</f>
        <v/>
      </c>
      <c r="H2657" t="str">
        <f t="shared" si="52"/>
        <v>BCBS PAYABLE</v>
      </c>
    </row>
    <row r="2658" spans="5:8" x14ac:dyDescent="0.25">
      <c r="E2658" t="str">
        <f>""</f>
        <v/>
      </c>
      <c r="F2658" t="str">
        <f>""</f>
        <v/>
      </c>
      <c r="H2658" t="str">
        <f t="shared" si="52"/>
        <v>BCBS PAYABLE</v>
      </c>
    </row>
    <row r="2659" spans="5:8" x14ac:dyDescent="0.25">
      <c r="E2659" t="str">
        <f>""</f>
        <v/>
      </c>
      <c r="F2659" t="str">
        <f>""</f>
        <v/>
      </c>
      <c r="H2659" t="str">
        <f t="shared" si="52"/>
        <v>BCBS PAYABLE</v>
      </c>
    </row>
    <row r="2660" spans="5:8" x14ac:dyDescent="0.25">
      <c r="E2660" t="str">
        <f>""</f>
        <v/>
      </c>
      <c r="F2660" t="str">
        <f>""</f>
        <v/>
      </c>
      <c r="H2660" t="str">
        <f t="shared" si="52"/>
        <v>BCBS PAYABLE</v>
      </c>
    </row>
    <row r="2661" spans="5:8" x14ac:dyDescent="0.25">
      <c r="E2661" t="str">
        <f>""</f>
        <v/>
      </c>
      <c r="F2661" t="str">
        <f>""</f>
        <v/>
      </c>
      <c r="H2661" t="str">
        <f t="shared" si="52"/>
        <v>BCBS PAYABLE</v>
      </c>
    </row>
    <row r="2662" spans="5:8" x14ac:dyDescent="0.25">
      <c r="E2662" t="str">
        <f>""</f>
        <v/>
      </c>
      <c r="F2662" t="str">
        <f>""</f>
        <v/>
      </c>
      <c r="H2662" t="str">
        <f t="shared" si="52"/>
        <v>BCBS PAYABLE</v>
      </c>
    </row>
    <row r="2663" spans="5:8" x14ac:dyDescent="0.25">
      <c r="E2663" t="str">
        <f>""</f>
        <v/>
      </c>
      <c r="F2663" t="str">
        <f>""</f>
        <v/>
      </c>
      <c r="H2663" t="str">
        <f t="shared" ref="H2663:H2694" si="53">"BCBS PAYABLE"</f>
        <v>BCBS PAYABLE</v>
      </c>
    </row>
    <row r="2664" spans="5:8" x14ac:dyDescent="0.25">
      <c r="E2664" t="str">
        <f>"2EC201811145076"</f>
        <v>2EC201811145076</v>
      </c>
      <c r="F2664" t="str">
        <f>"BCBS PAYABLE"</f>
        <v>BCBS PAYABLE</v>
      </c>
      <c r="G2664" s="2">
        <v>1737.8</v>
      </c>
      <c r="H2664" t="str">
        <f t="shared" si="53"/>
        <v>BCBS PAYABLE</v>
      </c>
    </row>
    <row r="2665" spans="5:8" x14ac:dyDescent="0.25">
      <c r="E2665" t="str">
        <f>""</f>
        <v/>
      </c>
      <c r="F2665" t="str">
        <f>""</f>
        <v/>
      </c>
      <c r="H2665" t="str">
        <f t="shared" si="53"/>
        <v>BCBS PAYABLE</v>
      </c>
    </row>
    <row r="2666" spans="5:8" x14ac:dyDescent="0.25">
      <c r="E2666" t="str">
        <f>"2EF201810314759"</f>
        <v>2EF201810314759</v>
      </c>
      <c r="F2666" t="str">
        <f>"BCBS PAYABLE"</f>
        <v>BCBS PAYABLE</v>
      </c>
      <c r="G2666" s="2">
        <v>1726.66</v>
      </c>
      <c r="H2666" t="str">
        <f t="shared" si="53"/>
        <v>BCBS PAYABLE</v>
      </c>
    </row>
    <row r="2667" spans="5:8" x14ac:dyDescent="0.25">
      <c r="E2667" t="str">
        <f>""</f>
        <v/>
      </c>
      <c r="F2667" t="str">
        <f>""</f>
        <v/>
      </c>
      <c r="H2667" t="str">
        <f t="shared" si="53"/>
        <v>BCBS PAYABLE</v>
      </c>
    </row>
    <row r="2668" spans="5:8" x14ac:dyDescent="0.25">
      <c r="E2668" t="str">
        <f>""</f>
        <v/>
      </c>
      <c r="F2668" t="str">
        <f>""</f>
        <v/>
      </c>
      <c r="H2668" t="str">
        <f t="shared" si="53"/>
        <v>BCBS PAYABLE</v>
      </c>
    </row>
    <row r="2669" spans="5:8" x14ac:dyDescent="0.25">
      <c r="E2669" t="str">
        <f>"2EF201811145075"</f>
        <v>2EF201811145075</v>
      </c>
      <c r="F2669" t="str">
        <f>"BCBS PAYABLE"</f>
        <v>BCBS PAYABLE</v>
      </c>
      <c r="G2669" s="2">
        <v>1726.66</v>
      </c>
      <c r="H2669" t="str">
        <f t="shared" si="53"/>
        <v>BCBS PAYABLE</v>
      </c>
    </row>
    <row r="2670" spans="5:8" x14ac:dyDescent="0.25">
      <c r="E2670" t="str">
        <f>""</f>
        <v/>
      </c>
      <c r="F2670" t="str">
        <f>""</f>
        <v/>
      </c>
      <c r="H2670" t="str">
        <f t="shared" si="53"/>
        <v>BCBS PAYABLE</v>
      </c>
    </row>
    <row r="2671" spans="5:8" x14ac:dyDescent="0.25">
      <c r="E2671" t="str">
        <f>""</f>
        <v/>
      </c>
      <c r="F2671" t="str">
        <f>""</f>
        <v/>
      </c>
      <c r="H2671" t="str">
        <f t="shared" si="53"/>
        <v>BCBS PAYABLE</v>
      </c>
    </row>
    <row r="2672" spans="5:8" x14ac:dyDescent="0.25">
      <c r="E2672" t="str">
        <f>"2EO201810314759"</f>
        <v>2EO201810314759</v>
      </c>
      <c r="F2672" t="str">
        <f>"BCBS PAYABLE"</f>
        <v>BCBS PAYABLE</v>
      </c>
      <c r="G2672" s="2">
        <v>88186.32</v>
      </c>
      <c r="H2672" t="str">
        <f t="shared" si="53"/>
        <v>BCBS PAYABLE</v>
      </c>
    </row>
    <row r="2673" spans="5:8" x14ac:dyDescent="0.25">
      <c r="E2673" t="str">
        <f>""</f>
        <v/>
      </c>
      <c r="F2673" t="str">
        <f>""</f>
        <v/>
      </c>
      <c r="H2673" t="str">
        <f t="shared" si="53"/>
        <v>BCBS PAYABLE</v>
      </c>
    </row>
    <row r="2674" spans="5:8" x14ac:dyDescent="0.25">
      <c r="E2674" t="str">
        <f>""</f>
        <v/>
      </c>
      <c r="F2674" t="str">
        <f>""</f>
        <v/>
      </c>
      <c r="H2674" t="str">
        <f t="shared" si="53"/>
        <v>BCBS PAYABLE</v>
      </c>
    </row>
    <row r="2675" spans="5:8" x14ac:dyDescent="0.25">
      <c r="E2675" t="str">
        <f>""</f>
        <v/>
      </c>
      <c r="F2675" t="str">
        <f>""</f>
        <v/>
      </c>
      <c r="H2675" t="str">
        <f t="shared" si="53"/>
        <v>BCBS PAYABLE</v>
      </c>
    </row>
    <row r="2676" spans="5:8" x14ac:dyDescent="0.25">
      <c r="E2676" t="str">
        <f>""</f>
        <v/>
      </c>
      <c r="F2676" t="str">
        <f>""</f>
        <v/>
      </c>
      <c r="H2676" t="str">
        <f t="shared" si="53"/>
        <v>BCBS PAYABLE</v>
      </c>
    </row>
    <row r="2677" spans="5:8" x14ac:dyDescent="0.25">
      <c r="E2677" t="str">
        <f>""</f>
        <v/>
      </c>
      <c r="F2677" t="str">
        <f>""</f>
        <v/>
      </c>
      <c r="H2677" t="str">
        <f t="shared" si="53"/>
        <v>BCBS PAYABLE</v>
      </c>
    </row>
    <row r="2678" spans="5:8" x14ac:dyDescent="0.25">
      <c r="E2678" t="str">
        <f>""</f>
        <v/>
      </c>
      <c r="F2678" t="str">
        <f>""</f>
        <v/>
      </c>
      <c r="H2678" t="str">
        <f t="shared" si="53"/>
        <v>BCBS PAYABLE</v>
      </c>
    </row>
    <row r="2679" spans="5:8" x14ac:dyDescent="0.25">
      <c r="E2679" t="str">
        <f>""</f>
        <v/>
      </c>
      <c r="F2679" t="str">
        <f>""</f>
        <v/>
      </c>
      <c r="H2679" t="str">
        <f t="shared" si="53"/>
        <v>BCBS PAYABLE</v>
      </c>
    </row>
    <row r="2680" spans="5:8" x14ac:dyDescent="0.25">
      <c r="E2680" t="str">
        <f>""</f>
        <v/>
      </c>
      <c r="F2680" t="str">
        <f>""</f>
        <v/>
      </c>
      <c r="H2680" t="str">
        <f t="shared" si="53"/>
        <v>BCBS PAYABLE</v>
      </c>
    </row>
    <row r="2681" spans="5:8" x14ac:dyDescent="0.25">
      <c r="E2681" t="str">
        <f>""</f>
        <v/>
      </c>
      <c r="F2681" t="str">
        <f>""</f>
        <v/>
      </c>
      <c r="H2681" t="str">
        <f t="shared" si="53"/>
        <v>BCBS PAYABLE</v>
      </c>
    </row>
    <row r="2682" spans="5:8" x14ac:dyDescent="0.25">
      <c r="E2682" t="str">
        <f>""</f>
        <v/>
      </c>
      <c r="F2682" t="str">
        <f>""</f>
        <v/>
      </c>
      <c r="H2682" t="str">
        <f t="shared" si="53"/>
        <v>BCBS PAYABLE</v>
      </c>
    </row>
    <row r="2683" spans="5:8" x14ac:dyDescent="0.25">
      <c r="E2683" t="str">
        <f>""</f>
        <v/>
      </c>
      <c r="F2683" t="str">
        <f>""</f>
        <v/>
      </c>
      <c r="H2683" t="str">
        <f t="shared" si="53"/>
        <v>BCBS PAYABLE</v>
      </c>
    </row>
    <row r="2684" spans="5:8" x14ac:dyDescent="0.25">
      <c r="E2684" t="str">
        <f>""</f>
        <v/>
      </c>
      <c r="F2684" t="str">
        <f>""</f>
        <v/>
      </c>
      <c r="H2684" t="str">
        <f t="shared" si="53"/>
        <v>BCBS PAYABLE</v>
      </c>
    </row>
    <row r="2685" spans="5:8" x14ac:dyDescent="0.25">
      <c r="E2685" t="str">
        <f>""</f>
        <v/>
      </c>
      <c r="F2685" t="str">
        <f>""</f>
        <v/>
      </c>
      <c r="H2685" t="str">
        <f t="shared" si="53"/>
        <v>BCBS PAYABLE</v>
      </c>
    </row>
    <row r="2686" spans="5:8" x14ac:dyDescent="0.25">
      <c r="E2686" t="str">
        <f>""</f>
        <v/>
      </c>
      <c r="F2686" t="str">
        <f>""</f>
        <v/>
      </c>
      <c r="H2686" t="str">
        <f t="shared" si="53"/>
        <v>BCBS PAYABLE</v>
      </c>
    </row>
    <row r="2687" spans="5:8" x14ac:dyDescent="0.25">
      <c r="E2687" t="str">
        <f>""</f>
        <v/>
      </c>
      <c r="F2687" t="str">
        <f>""</f>
        <v/>
      </c>
      <c r="H2687" t="str">
        <f t="shared" si="53"/>
        <v>BCBS PAYABLE</v>
      </c>
    </row>
    <row r="2688" spans="5:8" x14ac:dyDescent="0.25">
      <c r="E2688" t="str">
        <f>""</f>
        <v/>
      </c>
      <c r="F2688" t="str">
        <f>""</f>
        <v/>
      </c>
      <c r="H2688" t="str">
        <f t="shared" si="53"/>
        <v>BCBS PAYABLE</v>
      </c>
    </row>
    <row r="2689" spans="5:8" x14ac:dyDescent="0.25">
      <c r="E2689" t="str">
        <f>""</f>
        <v/>
      </c>
      <c r="F2689" t="str">
        <f>""</f>
        <v/>
      </c>
      <c r="H2689" t="str">
        <f t="shared" si="53"/>
        <v>BCBS PAYABLE</v>
      </c>
    </row>
    <row r="2690" spans="5:8" x14ac:dyDescent="0.25">
      <c r="E2690" t="str">
        <f>""</f>
        <v/>
      </c>
      <c r="F2690" t="str">
        <f>""</f>
        <v/>
      </c>
      <c r="H2690" t="str">
        <f t="shared" si="53"/>
        <v>BCBS PAYABLE</v>
      </c>
    </row>
    <row r="2691" spans="5:8" x14ac:dyDescent="0.25">
      <c r="E2691" t="str">
        <f>""</f>
        <v/>
      </c>
      <c r="F2691" t="str">
        <f>""</f>
        <v/>
      </c>
      <c r="H2691" t="str">
        <f t="shared" si="53"/>
        <v>BCBS PAYABLE</v>
      </c>
    </row>
    <row r="2692" spans="5:8" x14ac:dyDescent="0.25">
      <c r="E2692" t="str">
        <f>""</f>
        <v/>
      </c>
      <c r="F2692" t="str">
        <f>""</f>
        <v/>
      </c>
      <c r="H2692" t="str">
        <f t="shared" si="53"/>
        <v>BCBS PAYABLE</v>
      </c>
    </row>
    <row r="2693" spans="5:8" x14ac:dyDescent="0.25">
      <c r="E2693" t="str">
        <f>""</f>
        <v/>
      </c>
      <c r="F2693" t="str">
        <f>""</f>
        <v/>
      </c>
      <c r="H2693" t="str">
        <f t="shared" si="53"/>
        <v>BCBS PAYABLE</v>
      </c>
    </row>
    <row r="2694" spans="5:8" x14ac:dyDescent="0.25">
      <c r="E2694" t="str">
        <f>""</f>
        <v/>
      </c>
      <c r="F2694" t="str">
        <f>""</f>
        <v/>
      </c>
      <c r="H2694" t="str">
        <f t="shared" si="53"/>
        <v>BCBS PAYABLE</v>
      </c>
    </row>
    <row r="2695" spans="5:8" x14ac:dyDescent="0.25">
      <c r="E2695" t="str">
        <f>""</f>
        <v/>
      </c>
      <c r="F2695" t="str">
        <f>""</f>
        <v/>
      </c>
      <c r="H2695" t="str">
        <f t="shared" ref="H2695:H2726" si="54">"BCBS PAYABLE"</f>
        <v>BCBS PAYABLE</v>
      </c>
    </row>
    <row r="2696" spans="5:8" x14ac:dyDescent="0.25">
      <c r="E2696" t="str">
        <f>""</f>
        <v/>
      </c>
      <c r="F2696" t="str">
        <f>""</f>
        <v/>
      </c>
      <c r="H2696" t="str">
        <f t="shared" si="54"/>
        <v>BCBS PAYABLE</v>
      </c>
    </row>
    <row r="2697" spans="5:8" x14ac:dyDescent="0.25">
      <c r="E2697" t="str">
        <f>""</f>
        <v/>
      </c>
      <c r="F2697" t="str">
        <f>""</f>
        <v/>
      </c>
      <c r="H2697" t="str">
        <f t="shared" si="54"/>
        <v>BCBS PAYABLE</v>
      </c>
    </row>
    <row r="2698" spans="5:8" x14ac:dyDescent="0.25">
      <c r="E2698" t="str">
        <f>""</f>
        <v/>
      </c>
      <c r="F2698" t="str">
        <f>""</f>
        <v/>
      </c>
      <c r="H2698" t="str">
        <f t="shared" si="54"/>
        <v>BCBS PAYABLE</v>
      </c>
    </row>
    <row r="2699" spans="5:8" x14ac:dyDescent="0.25">
      <c r="E2699" t="str">
        <f>""</f>
        <v/>
      </c>
      <c r="F2699" t="str">
        <f>""</f>
        <v/>
      </c>
      <c r="H2699" t="str">
        <f t="shared" si="54"/>
        <v>BCBS PAYABLE</v>
      </c>
    </row>
    <row r="2700" spans="5:8" x14ac:dyDescent="0.25">
      <c r="E2700" t="str">
        <f>""</f>
        <v/>
      </c>
      <c r="F2700" t="str">
        <f>""</f>
        <v/>
      </c>
      <c r="H2700" t="str">
        <f t="shared" si="54"/>
        <v>BCBS PAYABLE</v>
      </c>
    </row>
    <row r="2701" spans="5:8" x14ac:dyDescent="0.25">
      <c r="E2701" t="str">
        <f>""</f>
        <v/>
      </c>
      <c r="F2701" t="str">
        <f>""</f>
        <v/>
      </c>
      <c r="H2701" t="str">
        <f t="shared" si="54"/>
        <v>BCBS PAYABLE</v>
      </c>
    </row>
    <row r="2702" spans="5:8" x14ac:dyDescent="0.25">
      <c r="E2702" t="str">
        <f>""</f>
        <v/>
      </c>
      <c r="F2702" t="str">
        <f>""</f>
        <v/>
      </c>
      <c r="H2702" t="str">
        <f t="shared" si="54"/>
        <v>BCBS PAYABLE</v>
      </c>
    </row>
    <row r="2703" spans="5:8" x14ac:dyDescent="0.25">
      <c r="E2703" t="str">
        <f>""</f>
        <v/>
      </c>
      <c r="F2703" t="str">
        <f>""</f>
        <v/>
      </c>
      <c r="H2703" t="str">
        <f t="shared" si="54"/>
        <v>BCBS PAYABLE</v>
      </c>
    </row>
    <row r="2704" spans="5:8" x14ac:dyDescent="0.25">
      <c r="E2704" t="str">
        <f>""</f>
        <v/>
      </c>
      <c r="F2704" t="str">
        <f>""</f>
        <v/>
      </c>
      <c r="H2704" t="str">
        <f t="shared" si="54"/>
        <v>BCBS PAYABLE</v>
      </c>
    </row>
    <row r="2705" spans="5:8" x14ac:dyDescent="0.25">
      <c r="E2705" t="str">
        <f>""</f>
        <v/>
      </c>
      <c r="F2705" t="str">
        <f>""</f>
        <v/>
      </c>
      <c r="H2705" t="str">
        <f t="shared" si="54"/>
        <v>BCBS PAYABLE</v>
      </c>
    </row>
    <row r="2706" spans="5:8" x14ac:dyDescent="0.25">
      <c r="E2706" t="str">
        <f>""</f>
        <v/>
      </c>
      <c r="F2706" t="str">
        <f>""</f>
        <v/>
      </c>
      <c r="H2706" t="str">
        <f t="shared" si="54"/>
        <v>BCBS PAYABLE</v>
      </c>
    </row>
    <row r="2707" spans="5:8" x14ac:dyDescent="0.25">
      <c r="E2707" t="str">
        <f>""</f>
        <v/>
      </c>
      <c r="F2707" t="str">
        <f>""</f>
        <v/>
      </c>
      <c r="H2707" t="str">
        <f t="shared" si="54"/>
        <v>BCBS PAYABLE</v>
      </c>
    </row>
    <row r="2708" spans="5:8" x14ac:dyDescent="0.25">
      <c r="E2708" t="str">
        <f>""</f>
        <v/>
      </c>
      <c r="F2708" t="str">
        <f>""</f>
        <v/>
      </c>
      <c r="H2708" t="str">
        <f t="shared" si="54"/>
        <v>BCBS PAYABLE</v>
      </c>
    </row>
    <row r="2709" spans="5:8" x14ac:dyDescent="0.25">
      <c r="E2709" t="str">
        <f>""</f>
        <v/>
      </c>
      <c r="F2709" t="str">
        <f>""</f>
        <v/>
      </c>
      <c r="H2709" t="str">
        <f t="shared" si="54"/>
        <v>BCBS PAYABLE</v>
      </c>
    </row>
    <row r="2710" spans="5:8" x14ac:dyDescent="0.25">
      <c r="E2710" t="str">
        <f>""</f>
        <v/>
      </c>
      <c r="F2710" t="str">
        <f>""</f>
        <v/>
      </c>
      <c r="H2710" t="str">
        <f t="shared" si="54"/>
        <v>BCBS PAYABLE</v>
      </c>
    </row>
    <row r="2711" spans="5:8" x14ac:dyDescent="0.25">
      <c r="E2711" t="str">
        <f>""</f>
        <v/>
      </c>
      <c r="F2711" t="str">
        <f>""</f>
        <v/>
      </c>
      <c r="H2711" t="str">
        <f t="shared" si="54"/>
        <v>BCBS PAYABLE</v>
      </c>
    </row>
    <row r="2712" spans="5:8" x14ac:dyDescent="0.25">
      <c r="E2712" t="str">
        <f>""</f>
        <v/>
      </c>
      <c r="F2712" t="str">
        <f>""</f>
        <v/>
      </c>
      <c r="H2712" t="str">
        <f t="shared" si="54"/>
        <v>BCBS PAYABLE</v>
      </c>
    </row>
    <row r="2713" spans="5:8" x14ac:dyDescent="0.25">
      <c r="E2713" t="str">
        <f>""</f>
        <v/>
      </c>
      <c r="F2713" t="str">
        <f>""</f>
        <v/>
      </c>
      <c r="H2713" t="str">
        <f t="shared" si="54"/>
        <v>BCBS PAYABLE</v>
      </c>
    </row>
    <row r="2714" spans="5:8" x14ac:dyDescent="0.25">
      <c r="E2714" t="str">
        <f>"2EO201810314760"</f>
        <v>2EO201810314760</v>
      </c>
      <c r="F2714" t="str">
        <f>"BCBS PAYABLE"</f>
        <v>BCBS PAYABLE</v>
      </c>
      <c r="G2714" s="2">
        <v>3792.96</v>
      </c>
      <c r="H2714" t="str">
        <f t="shared" si="54"/>
        <v>BCBS PAYABLE</v>
      </c>
    </row>
    <row r="2715" spans="5:8" x14ac:dyDescent="0.25">
      <c r="E2715" t="str">
        <f>"2EO201811145075"</f>
        <v>2EO201811145075</v>
      </c>
      <c r="F2715" t="str">
        <f>"BCBS PAYABLE"</f>
        <v>BCBS PAYABLE</v>
      </c>
      <c r="G2715" s="2">
        <v>88186.32</v>
      </c>
      <c r="H2715" t="str">
        <f t="shared" si="54"/>
        <v>BCBS PAYABLE</v>
      </c>
    </row>
    <row r="2716" spans="5:8" x14ac:dyDescent="0.25">
      <c r="E2716" t="str">
        <f>""</f>
        <v/>
      </c>
      <c r="F2716" t="str">
        <f>""</f>
        <v/>
      </c>
      <c r="H2716" t="str">
        <f t="shared" si="54"/>
        <v>BCBS PAYABLE</v>
      </c>
    </row>
    <row r="2717" spans="5:8" x14ac:dyDescent="0.25">
      <c r="E2717" t="str">
        <f>""</f>
        <v/>
      </c>
      <c r="F2717" t="str">
        <f>""</f>
        <v/>
      </c>
      <c r="H2717" t="str">
        <f t="shared" si="54"/>
        <v>BCBS PAYABLE</v>
      </c>
    </row>
    <row r="2718" spans="5:8" x14ac:dyDescent="0.25">
      <c r="E2718" t="str">
        <f>""</f>
        <v/>
      </c>
      <c r="F2718" t="str">
        <f>""</f>
        <v/>
      </c>
      <c r="H2718" t="str">
        <f t="shared" si="54"/>
        <v>BCBS PAYABLE</v>
      </c>
    </row>
    <row r="2719" spans="5:8" x14ac:dyDescent="0.25">
      <c r="E2719" t="str">
        <f>""</f>
        <v/>
      </c>
      <c r="F2719" t="str">
        <f>""</f>
        <v/>
      </c>
      <c r="H2719" t="str">
        <f t="shared" si="54"/>
        <v>BCBS PAYABLE</v>
      </c>
    </row>
    <row r="2720" spans="5:8" x14ac:dyDescent="0.25">
      <c r="E2720" t="str">
        <f>""</f>
        <v/>
      </c>
      <c r="F2720" t="str">
        <f>""</f>
        <v/>
      </c>
      <c r="H2720" t="str">
        <f t="shared" si="54"/>
        <v>BCBS PAYABLE</v>
      </c>
    </row>
    <row r="2721" spans="5:8" x14ac:dyDescent="0.25">
      <c r="E2721" t="str">
        <f>""</f>
        <v/>
      </c>
      <c r="F2721" t="str">
        <f>""</f>
        <v/>
      </c>
      <c r="H2721" t="str">
        <f t="shared" si="54"/>
        <v>BCBS PAYABLE</v>
      </c>
    </row>
    <row r="2722" spans="5:8" x14ac:dyDescent="0.25">
      <c r="E2722" t="str">
        <f>""</f>
        <v/>
      </c>
      <c r="F2722" t="str">
        <f>""</f>
        <v/>
      </c>
      <c r="H2722" t="str">
        <f t="shared" si="54"/>
        <v>BCBS PAYABLE</v>
      </c>
    </row>
    <row r="2723" spans="5:8" x14ac:dyDescent="0.25">
      <c r="E2723" t="str">
        <f>""</f>
        <v/>
      </c>
      <c r="F2723" t="str">
        <f>""</f>
        <v/>
      </c>
      <c r="H2723" t="str">
        <f t="shared" si="54"/>
        <v>BCBS PAYABLE</v>
      </c>
    </row>
    <row r="2724" spans="5:8" x14ac:dyDescent="0.25">
      <c r="E2724" t="str">
        <f>""</f>
        <v/>
      </c>
      <c r="F2724" t="str">
        <f>""</f>
        <v/>
      </c>
      <c r="H2724" t="str">
        <f t="shared" si="54"/>
        <v>BCBS PAYABLE</v>
      </c>
    </row>
    <row r="2725" spans="5:8" x14ac:dyDescent="0.25">
      <c r="E2725" t="str">
        <f>""</f>
        <v/>
      </c>
      <c r="F2725" t="str">
        <f>""</f>
        <v/>
      </c>
      <c r="H2725" t="str">
        <f t="shared" si="54"/>
        <v>BCBS PAYABLE</v>
      </c>
    </row>
    <row r="2726" spans="5:8" x14ac:dyDescent="0.25">
      <c r="E2726" t="str">
        <f>""</f>
        <v/>
      </c>
      <c r="F2726" t="str">
        <f>""</f>
        <v/>
      </c>
      <c r="H2726" t="str">
        <f t="shared" si="54"/>
        <v>BCBS PAYABLE</v>
      </c>
    </row>
    <row r="2727" spans="5:8" x14ac:dyDescent="0.25">
      <c r="E2727" t="str">
        <f>""</f>
        <v/>
      </c>
      <c r="F2727" t="str">
        <f>""</f>
        <v/>
      </c>
      <c r="H2727" t="str">
        <f t="shared" ref="H2727:H2758" si="55">"BCBS PAYABLE"</f>
        <v>BCBS PAYABLE</v>
      </c>
    </row>
    <row r="2728" spans="5:8" x14ac:dyDescent="0.25">
      <c r="E2728" t="str">
        <f>""</f>
        <v/>
      </c>
      <c r="F2728" t="str">
        <f>""</f>
        <v/>
      </c>
      <c r="H2728" t="str">
        <f t="shared" si="55"/>
        <v>BCBS PAYABLE</v>
      </c>
    </row>
    <row r="2729" spans="5:8" x14ac:dyDescent="0.25">
      <c r="E2729" t="str">
        <f>""</f>
        <v/>
      </c>
      <c r="F2729" t="str">
        <f>""</f>
        <v/>
      </c>
      <c r="H2729" t="str">
        <f t="shared" si="55"/>
        <v>BCBS PAYABLE</v>
      </c>
    </row>
    <row r="2730" spans="5:8" x14ac:dyDescent="0.25">
      <c r="E2730" t="str">
        <f>""</f>
        <v/>
      </c>
      <c r="F2730" t="str">
        <f>""</f>
        <v/>
      </c>
      <c r="H2730" t="str">
        <f t="shared" si="55"/>
        <v>BCBS PAYABLE</v>
      </c>
    </row>
    <row r="2731" spans="5:8" x14ac:dyDescent="0.25">
      <c r="E2731" t="str">
        <f>""</f>
        <v/>
      </c>
      <c r="F2731" t="str">
        <f>""</f>
        <v/>
      </c>
      <c r="H2731" t="str">
        <f t="shared" si="55"/>
        <v>BCBS PAYABLE</v>
      </c>
    </row>
    <row r="2732" spans="5:8" x14ac:dyDescent="0.25">
      <c r="E2732" t="str">
        <f>""</f>
        <v/>
      </c>
      <c r="F2732" t="str">
        <f>""</f>
        <v/>
      </c>
      <c r="H2732" t="str">
        <f t="shared" si="55"/>
        <v>BCBS PAYABLE</v>
      </c>
    </row>
    <row r="2733" spans="5:8" x14ac:dyDescent="0.25">
      <c r="E2733" t="str">
        <f>""</f>
        <v/>
      </c>
      <c r="F2733" t="str">
        <f>""</f>
        <v/>
      </c>
      <c r="H2733" t="str">
        <f t="shared" si="55"/>
        <v>BCBS PAYABLE</v>
      </c>
    </row>
    <row r="2734" spans="5:8" x14ac:dyDescent="0.25">
      <c r="E2734" t="str">
        <f>""</f>
        <v/>
      </c>
      <c r="F2734" t="str">
        <f>""</f>
        <v/>
      </c>
      <c r="H2734" t="str">
        <f t="shared" si="55"/>
        <v>BCBS PAYABLE</v>
      </c>
    </row>
    <row r="2735" spans="5:8" x14ac:dyDescent="0.25">
      <c r="E2735" t="str">
        <f>""</f>
        <v/>
      </c>
      <c r="F2735" t="str">
        <f>""</f>
        <v/>
      </c>
      <c r="H2735" t="str">
        <f t="shared" si="55"/>
        <v>BCBS PAYABLE</v>
      </c>
    </row>
    <row r="2736" spans="5:8" x14ac:dyDescent="0.25">
      <c r="E2736" t="str">
        <f>""</f>
        <v/>
      </c>
      <c r="F2736" t="str">
        <f>""</f>
        <v/>
      </c>
      <c r="H2736" t="str">
        <f t="shared" si="55"/>
        <v>BCBS PAYABLE</v>
      </c>
    </row>
    <row r="2737" spans="5:8" x14ac:dyDescent="0.25">
      <c r="E2737" t="str">
        <f>""</f>
        <v/>
      </c>
      <c r="F2737" t="str">
        <f>""</f>
        <v/>
      </c>
      <c r="H2737" t="str">
        <f t="shared" si="55"/>
        <v>BCBS PAYABLE</v>
      </c>
    </row>
    <row r="2738" spans="5:8" x14ac:dyDescent="0.25">
      <c r="E2738" t="str">
        <f>""</f>
        <v/>
      </c>
      <c r="F2738" t="str">
        <f>""</f>
        <v/>
      </c>
      <c r="H2738" t="str">
        <f t="shared" si="55"/>
        <v>BCBS PAYABLE</v>
      </c>
    </row>
    <row r="2739" spans="5:8" x14ac:dyDescent="0.25">
      <c r="E2739" t="str">
        <f>""</f>
        <v/>
      </c>
      <c r="F2739" t="str">
        <f>""</f>
        <v/>
      </c>
      <c r="H2739" t="str">
        <f t="shared" si="55"/>
        <v>BCBS PAYABLE</v>
      </c>
    </row>
    <row r="2740" spans="5:8" x14ac:dyDescent="0.25">
      <c r="E2740" t="str">
        <f>""</f>
        <v/>
      </c>
      <c r="F2740" t="str">
        <f>""</f>
        <v/>
      </c>
      <c r="H2740" t="str">
        <f t="shared" si="55"/>
        <v>BCBS PAYABLE</v>
      </c>
    </row>
    <row r="2741" spans="5:8" x14ac:dyDescent="0.25">
      <c r="E2741" t="str">
        <f>""</f>
        <v/>
      </c>
      <c r="F2741" t="str">
        <f>""</f>
        <v/>
      </c>
      <c r="H2741" t="str">
        <f t="shared" si="55"/>
        <v>BCBS PAYABLE</v>
      </c>
    </row>
    <row r="2742" spans="5:8" x14ac:dyDescent="0.25">
      <c r="E2742" t="str">
        <f>""</f>
        <v/>
      </c>
      <c r="F2742" t="str">
        <f>""</f>
        <v/>
      </c>
      <c r="H2742" t="str">
        <f t="shared" si="55"/>
        <v>BCBS PAYABLE</v>
      </c>
    </row>
    <row r="2743" spans="5:8" x14ac:dyDescent="0.25">
      <c r="E2743" t="str">
        <f>""</f>
        <v/>
      </c>
      <c r="F2743" t="str">
        <f>""</f>
        <v/>
      </c>
      <c r="H2743" t="str">
        <f t="shared" si="55"/>
        <v>BCBS PAYABLE</v>
      </c>
    </row>
    <row r="2744" spans="5:8" x14ac:dyDescent="0.25">
      <c r="E2744" t="str">
        <f>""</f>
        <v/>
      </c>
      <c r="F2744" t="str">
        <f>""</f>
        <v/>
      </c>
      <c r="H2744" t="str">
        <f t="shared" si="55"/>
        <v>BCBS PAYABLE</v>
      </c>
    </row>
    <row r="2745" spans="5:8" x14ac:dyDescent="0.25">
      <c r="E2745" t="str">
        <f>""</f>
        <v/>
      </c>
      <c r="F2745" t="str">
        <f>""</f>
        <v/>
      </c>
      <c r="H2745" t="str">
        <f t="shared" si="55"/>
        <v>BCBS PAYABLE</v>
      </c>
    </row>
    <row r="2746" spans="5:8" x14ac:dyDescent="0.25">
      <c r="E2746" t="str">
        <f>""</f>
        <v/>
      </c>
      <c r="F2746" t="str">
        <f>""</f>
        <v/>
      </c>
      <c r="H2746" t="str">
        <f t="shared" si="55"/>
        <v>BCBS PAYABLE</v>
      </c>
    </row>
    <row r="2747" spans="5:8" x14ac:dyDescent="0.25">
      <c r="E2747" t="str">
        <f>""</f>
        <v/>
      </c>
      <c r="F2747" t="str">
        <f>""</f>
        <v/>
      </c>
      <c r="H2747" t="str">
        <f t="shared" si="55"/>
        <v>BCBS PAYABLE</v>
      </c>
    </row>
    <row r="2748" spans="5:8" x14ac:dyDescent="0.25">
      <c r="E2748" t="str">
        <f>""</f>
        <v/>
      </c>
      <c r="F2748" t="str">
        <f>""</f>
        <v/>
      </c>
      <c r="H2748" t="str">
        <f t="shared" si="55"/>
        <v>BCBS PAYABLE</v>
      </c>
    </row>
    <row r="2749" spans="5:8" x14ac:dyDescent="0.25">
      <c r="E2749" t="str">
        <f>""</f>
        <v/>
      </c>
      <c r="F2749" t="str">
        <f>""</f>
        <v/>
      </c>
      <c r="H2749" t="str">
        <f t="shared" si="55"/>
        <v>BCBS PAYABLE</v>
      </c>
    </row>
    <row r="2750" spans="5:8" x14ac:dyDescent="0.25">
      <c r="E2750" t="str">
        <f>""</f>
        <v/>
      </c>
      <c r="F2750" t="str">
        <f>""</f>
        <v/>
      </c>
      <c r="H2750" t="str">
        <f t="shared" si="55"/>
        <v>BCBS PAYABLE</v>
      </c>
    </row>
    <row r="2751" spans="5:8" x14ac:dyDescent="0.25">
      <c r="E2751" t="str">
        <f>""</f>
        <v/>
      </c>
      <c r="F2751" t="str">
        <f>""</f>
        <v/>
      </c>
      <c r="H2751" t="str">
        <f t="shared" si="55"/>
        <v>BCBS PAYABLE</v>
      </c>
    </row>
    <row r="2752" spans="5:8" x14ac:dyDescent="0.25">
      <c r="E2752" t="str">
        <f>""</f>
        <v/>
      </c>
      <c r="F2752" t="str">
        <f>""</f>
        <v/>
      </c>
      <c r="H2752" t="str">
        <f t="shared" si="55"/>
        <v>BCBS PAYABLE</v>
      </c>
    </row>
    <row r="2753" spans="5:8" x14ac:dyDescent="0.25">
      <c r="E2753" t="str">
        <f>""</f>
        <v/>
      </c>
      <c r="F2753" t="str">
        <f>""</f>
        <v/>
      </c>
      <c r="H2753" t="str">
        <f t="shared" si="55"/>
        <v>BCBS PAYABLE</v>
      </c>
    </row>
    <row r="2754" spans="5:8" x14ac:dyDescent="0.25">
      <c r="E2754" t="str">
        <f>""</f>
        <v/>
      </c>
      <c r="F2754" t="str">
        <f>""</f>
        <v/>
      </c>
      <c r="H2754" t="str">
        <f t="shared" si="55"/>
        <v>BCBS PAYABLE</v>
      </c>
    </row>
    <row r="2755" spans="5:8" x14ac:dyDescent="0.25">
      <c r="E2755" t="str">
        <f>""</f>
        <v/>
      </c>
      <c r="F2755" t="str">
        <f>""</f>
        <v/>
      </c>
      <c r="H2755" t="str">
        <f t="shared" si="55"/>
        <v>BCBS PAYABLE</v>
      </c>
    </row>
    <row r="2756" spans="5:8" x14ac:dyDescent="0.25">
      <c r="E2756" t="str">
        <f>""</f>
        <v/>
      </c>
      <c r="F2756" t="str">
        <f>""</f>
        <v/>
      </c>
      <c r="H2756" t="str">
        <f t="shared" si="55"/>
        <v>BCBS PAYABLE</v>
      </c>
    </row>
    <row r="2757" spans="5:8" x14ac:dyDescent="0.25">
      <c r="E2757" t="str">
        <f>""</f>
        <v/>
      </c>
      <c r="F2757" t="str">
        <f>""</f>
        <v/>
      </c>
      <c r="H2757" t="str">
        <f t="shared" si="55"/>
        <v>BCBS PAYABLE</v>
      </c>
    </row>
    <row r="2758" spans="5:8" x14ac:dyDescent="0.25">
      <c r="E2758" t="str">
        <f>"2EO201811145076"</f>
        <v>2EO201811145076</v>
      </c>
      <c r="F2758" t="str">
        <f>"BCBS PAYABLE"</f>
        <v>BCBS PAYABLE</v>
      </c>
      <c r="G2758" s="2">
        <v>3792.96</v>
      </c>
      <c r="H2758" t="str">
        <f t="shared" si="55"/>
        <v>BCBS PAYABLE</v>
      </c>
    </row>
    <row r="2759" spans="5:8" x14ac:dyDescent="0.25">
      <c r="E2759" t="str">
        <f>"2ES201810314759"</f>
        <v>2ES201810314759</v>
      </c>
      <c r="F2759" t="str">
        <f>"BCBS PAYABLE"</f>
        <v>BCBS PAYABLE</v>
      </c>
      <c r="G2759" s="2">
        <v>14581.2</v>
      </c>
      <c r="H2759" t="str">
        <f t="shared" ref="H2759:H2794" si="56">"BCBS PAYABLE"</f>
        <v>BCBS PAYABLE</v>
      </c>
    </row>
    <row r="2760" spans="5:8" x14ac:dyDescent="0.25">
      <c r="E2760" t="str">
        <f>""</f>
        <v/>
      </c>
      <c r="F2760" t="str">
        <f>""</f>
        <v/>
      </c>
      <c r="H2760" t="str">
        <f t="shared" si="56"/>
        <v>BCBS PAYABLE</v>
      </c>
    </row>
    <row r="2761" spans="5:8" x14ac:dyDescent="0.25">
      <c r="E2761" t="str">
        <f>""</f>
        <v/>
      </c>
      <c r="F2761" t="str">
        <f>""</f>
        <v/>
      </c>
      <c r="H2761" t="str">
        <f t="shared" si="56"/>
        <v>BCBS PAYABLE</v>
      </c>
    </row>
    <row r="2762" spans="5:8" x14ac:dyDescent="0.25">
      <c r="E2762" t="str">
        <f>""</f>
        <v/>
      </c>
      <c r="F2762" t="str">
        <f>""</f>
        <v/>
      </c>
      <c r="H2762" t="str">
        <f t="shared" si="56"/>
        <v>BCBS PAYABLE</v>
      </c>
    </row>
    <row r="2763" spans="5:8" x14ac:dyDescent="0.25">
      <c r="E2763" t="str">
        <f>""</f>
        <v/>
      </c>
      <c r="F2763" t="str">
        <f>""</f>
        <v/>
      </c>
      <c r="H2763" t="str">
        <f t="shared" si="56"/>
        <v>BCBS PAYABLE</v>
      </c>
    </row>
    <row r="2764" spans="5:8" x14ac:dyDescent="0.25">
      <c r="E2764" t="str">
        <f>""</f>
        <v/>
      </c>
      <c r="F2764" t="str">
        <f>""</f>
        <v/>
      </c>
      <c r="H2764" t="str">
        <f t="shared" si="56"/>
        <v>BCBS PAYABLE</v>
      </c>
    </row>
    <row r="2765" spans="5:8" x14ac:dyDescent="0.25">
      <c r="E2765" t="str">
        <f>""</f>
        <v/>
      </c>
      <c r="F2765" t="str">
        <f>""</f>
        <v/>
      </c>
      <c r="H2765" t="str">
        <f t="shared" si="56"/>
        <v>BCBS PAYABLE</v>
      </c>
    </row>
    <row r="2766" spans="5:8" x14ac:dyDescent="0.25">
      <c r="E2766" t="str">
        <f>""</f>
        <v/>
      </c>
      <c r="F2766" t="str">
        <f>""</f>
        <v/>
      </c>
      <c r="H2766" t="str">
        <f t="shared" si="56"/>
        <v>BCBS PAYABLE</v>
      </c>
    </row>
    <row r="2767" spans="5:8" x14ac:dyDescent="0.25">
      <c r="E2767" t="str">
        <f>""</f>
        <v/>
      </c>
      <c r="F2767" t="str">
        <f>""</f>
        <v/>
      </c>
      <c r="H2767" t="str">
        <f t="shared" si="56"/>
        <v>BCBS PAYABLE</v>
      </c>
    </row>
    <row r="2768" spans="5:8" x14ac:dyDescent="0.25">
      <c r="E2768" t="str">
        <f>""</f>
        <v/>
      </c>
      <c r="F2768" t="str">
        <f>""</f>
        <v/>
      </c>
      <c r="H2768" t="str">
        <f t="shared" si="56"/>
        <v>BCBS PAYABLE</v>
      </c>
    </row>
    <row r="2769" spans="5:8" x14ac:dyDescent="0.25">
      <c r="E2769" t="str">
        <f>""</f>
        <v/>
      </c>
      <c r="F2769" t="str">
        <f>""</f>
        <v/>
      </c>
      <c r="H2769" t="str">
        <f t="shared" si="56"/>
        <v>BCBS PAYABLE</v>
      </c>
    </row>
    <row r="2770" spans="5:8" x14ac:dyDescent="0.25">
      <c r="E2770" t="str">
        <f>""</f>
        <v/>
      </c>
      <c r="F2770" t="str">
        <f>""</f>
        <v/>
      </c>
      <c r="H2770" t="str">
        <f t="shared" si="56"/>
        <v>BCBS PAYABLE</v>
      </c>
    </row>
    <row r="2771" spans="5:8" x14ac:dyDescent="0.25">
      <c r="E2771" t="str">
        <f>""</f>
        <v/>
      </c>
      <c r="F2771" t="str">
        <f>""</f>
        <v/>
      </c>
      <c r="H2771" t="str">
        <f t="shared" si="56"/>
        <v>BCBS PAYABLE</v>
      </c>
    </row>
    <row r="2772" spans="5:8" x14ac:dyDescent="0.25">
      <c r="E2772" t="str">
        <f>""</f>
        <v/>
      </c>
      <c r="F2772" t="str">
        <f>""</f>
        <v/>
      </c>
      <c r="H2772" t="str">
        <f t="shared" si="56"/>
        <v>BCBS PAYABLE</v>
      </c>
    </row>
    <row r="2773" spans="5:8" x14ac:dyDescent="0.25">
      <c r="E2773" t="str">
        <f>""</f>
        <v/>
      </c>
      <c r="F2773" t="str">
        <f>""</f>
        <v/>
      </c>
      <c r="H2773" t="str">
        <f t="shared" si="56"/>
        <v>BCBS PAYABLE</v>
      </c>
    </row>
    <row r="2774" spans="5:8" x14ac:dyDescent="0.25">
      <c r="E2774" t="str">
        <f>""</f>
        <v/>
      </c>
      <c r="F2774" t="str">
        <f>""</f>
        <v/>
      </c>
      <c r="H2774" t="str">
        <f t="shared" si="56"/>
        <v>BCBS PAYABLE</v>
      </c>
    </row>
    <row r="2775" spans="5:8" x14ac:dyDescent="0.25">
      <c r="E2775" t="str">
        <f>""</f>
        <v/>
      </c>
      <c r="F2775" t="str">
        <f>""</f>
        <v/>
      </c>
      <c r="H2775" t="str">
        <f t="shared" si="56"/>
        <v>BCBS PAYABLE</v>
      </c>
    </row>
    <row r="2776" spans="5:8" x14ac:dyDescent="0.25">
      <c r="E2776" t="str">
        <f>""</f>
        <v/>
      </c>
      <c r="F2776" t="str">
        <f>""</f>
        <v/>
      </c>
      <c r="H2776" t="str">
        <f t="shared" si="56"/>
        <v>BCBS PAYABLE</v>
      </c>
    </row>
    <row r="2777" spans="5:8" x14ac:dyDescent="0.25">
      <c r="E2777" t="str">
        <f>"2ES201811145075"</f>
        <v>2ES201811145075</v>
      </c>
      <c r="F2777" t="str">
        <f>"BCBS PAYABLE"</f>
        <v>BCBS PAYABLE</v>
      </c>
      <c r="G2777" s="2">
        <v>14581.2</v>
      </c>
      <c r="H2777" t="str">
        <f t="shared" si="56"/>
        <v>BCBS PAYABLE</v>
      </c>
    </row>
    <row r="2778" spans="5:8" x14ac:dyDescent="0.25">
      <c r="E2778" t="str">
        <f>""</f>
        <v/>
      </c>
      <c r="F2778" t="str">
        <f>""</f>
        <v/>
      </c>
      <c r="H2778" t="str">
        <f t="shared" si="56"/>
        <v>BCBS PAYABLE</v>
      </c>
    </row>
    <row r="2779" spans="5:8" x14ac:dyDescent="0.25">
      <c r="E2779" t="str">
        <f>""</f>
        <v/>
      </c>
      <c r="F2779" t="str">
        <f>""</f>
        <v/>
      </c>
      <c r="H2779" t="str">
        <f t="shared" si="56"/>
        <v>BCBS PAYABLE</v>
      </c>
    </row>
    <row r="2780" spans="5:8" x14ac:dyDescent="0.25">
      <c r="E2780" t="str">
        <f>""</f>
        <v/>
      </c>
      <c r="F2780" t="str">
        <f>""</f>
        <v/>
      </c>
      <c r="H2780" t="str">
        <f t="shared" si="56"/>
        <v>BCBS PAYABLE</v>
      </c>
    </row>
    <row r="2781" spans="5:8" x14ac:dyDescent="0.25">
      <c r="E2781" t="str">
        <f>""</f>
        <v/>
      </c>
      <c r="F2781" t="str">
        <f>""</f>
        <v/>
      </c>
      <c r="H2781" t="str">
        <f t="shared" si="56"/>
        <v>BCBS PAYABLE</v>
      </c>
    </row>
    <row r="2782" spans="5:8" x14ac:dyDescent="0.25">
      <c r="E2782" t="str">
        <f>""</f>
        <v/>
      </c>
      <c r="F2782" t="str">
        <f>""</f>
        <v/>
      </c>
      <c r="H2782" t="str">
        <f t="shared" si="56"/>
        <v>BCBS PAYABLE</v>
      </c>
    </row>
    <row r="2783" spans="5:8" x14ac:dyDescent="0.25">
      <c r="E2783" t="str">
        <f>""</f>
        <v/>
      </c>
      <c r="F2783" t="str">
        <f>""</f>
        <v/>
      </c>
      <c r="H2783" t="str">
        <f t="shared" si="56"/>
        <v>BCBS PAYABLE</v>
      </c>
    </row>
    <row r="2784" spans="5:8" x14ac:dyDescent="0.25">
      <c r="E2784" t="str">
        <f>""</f>
        <v/>
      </c>
      <c r="F2784" t="str">
        <f>""</f>
        <v/>
      </c>
      <c r="H2784" t="str">
        <f t="shared" si="56"/>
        <v>BCBS PAYABLE</v>
      </c>
    </row>
    <row r="2785" spans="1:8" x14ac:dyDescent="0.25">
      <c r="E2785" t="str">
        <f>""</f>
        <v/>
      </c>
      <c r="F2785" t="str">
        <f>""</f>
        <v/>
      </c>
      <c r="H2785" t="str">
        <f t="shared" si="56"/>
        <v>BCBS PAYABLE</v>
      </c>
    </row>
    <row r="2786" spans="1:8" x14ac:dyDescent="0.25">
      <c r="E2786" t="str">
        <f>""</f>
        <v/>
      </c>
      <c r="F2786" t="str">
        <f>""</f>
        <v/>
      </c>
      <c r="H2786" t="str">
        <f t="shared" si="56"/>
        <v>BCBS PAYABLE</v>
      </c>
    </row>
    <row r="2787" spans="1:8" x14ac:dyDescent="0.25">
      <c r="E2787" t="str">
        <f>""</f>
        <v/>
      </c>
      <c r="F2787" t="str">
        <f>""</f>
        <v/>
      </c>
      <c r="H2787" t="str">
        <f t="shared" si="56"/>
        <v>BCBS PAYABLE</v>
      </c>
    </row>
    <row r="2788" spans="1:8" x14ac:dyDescent="0.25">
      <c r="E2788" t="str">
        <f>""</f>
        <v/>
      </c>
      <c r="F2788" t="str">
        <f>""</f>
        <v/>
      </c>
      <c r="H2788" t="str">
        <f t="shared" si="56"/>
        <v>BCBS PAYABLE</v>
      </c>
    </row>
    <row r="2789" spans="1:8" x14ac:dyDescent="0.25">
      <c r="E2789" t="str">
        <f>""</f>
        <v/>
      </c>
      <c r="F2789" t="str">
        <f>""</f>
        <v/>
      </c>
      <c r="H2789" t="str">
        <f t="shared" si="56"/>
        <v>BCBS PAYABLE</v>
      </c>
    </row>
    <row r="2790" spans="1:8" x14ac:dyDescent="0.25">
      <c r="E2790" t="str">
        <f>""</f>
        <v/>
      </c>
      <c r="F2790" t="str">
        <f>""</f>
        <v/>
      </c>
      <c r="H2790" t="str">
        <f t="shared" si="56"/>
        <v>BCBS PAYABLE</v>
      </c>
    </row>
    <row r="2791" spans="1:8" x14ac:dyDescent="0.25">
      <c r="E2791" t="str">
        <f>""</f>
        <v/>
      </c>
      <c r="F2791" t="str">
        <f>""</f>
        <v/>
      </c>
      <c r="H2791" t="str">
        <f t="shared" si="56"/>
        <v>BCBS PAYABLE</v>
      </c>
    </row>
    <row r="2792" spans="1:8" x14ac:dyDescent="0.25">
      <c r="E2792" t="str">
        <f>""</f>
        <v/>
      </c>
      <c r="F2792" t="str">
        <f>""</f>
        <v/>
      </c>
      <c r="H2792" t="str">
        <f t="shared" si="56"/>
        <v>BCBS PAYABLE</v>
      </c>
    </row>
    <row r="2793" spans="1:8" x14ac:dyDescent="0.25">
      <c r="E2793" t="str">
        <f>""</f>
        <v/>
      </c>
      <c r="F2793" t="str">
        <f>""</f>
        <v/>
      </c>
      <c r="H2793" t="str">
        <f t="shared" si="56"/>
        <v>BCBS PAYABLE</v>
      </c>
    </row>
    <row r="2794" spans="1:8" x14ac:dyDescent="0.25">
      <c r="E2794" t="str">
        <f>""</f>
        <v/>
      </c>
      <c r="F2794" t="str">
        <f>""</f>
        <v/>
      </c>
      <c r="H2794" t="str">
        <f t="shared" si="56"/>
        <v>BCBS PAYABLE</v>
      </c>
    </row>
    <row r="2795" spans="1:8" x14ac:dyDescent="0.25">
      <c r="A2795" t="s">
        <v>568</v>
      </c>
      <c r="B2795">
        <v>0</v>
      </c>
      <c r="C2795" s="3">
        <v>11942.11</v>
      </c>
      <c r="D2795" s="1">
        <v>43406</v>
      </c>
      <c r="E2795" t="str">
        <f>"FSA201810314759"</f>
        <v>FSA201810314759</v>
      </c>
      <c r="F2795" t="str">
        <f>"TASC FSA"</f>
        <v>TASC FSA</v>
      </c>
      <c r="G2795" s="2">
        <v>7855.47</v>
      </c>
      <c r="H2795" t="str">
        <f>"TASC FSA"</f>
        <v>TASC FSA</v>
      </c>
    </row>
    <row r="2796" spans="1:8" x14ac:dyDescent="0.25">
      <c r="E2796" t="str">
        <f>"FSA201810314760"</f>
        <v>FSA201810314760</v>
      </c>
      <c r="F2796" t="str">
        <f>"TASC FSA"</f>
        <v>TASC FSA</v>
      </c>
      <c r="G2796" s="2">
        <v>550.05999999999995</v>
      </c>
      <c r="H2796" t="str">
        <f>"TASC FSA"</f>
        <v>TASC FSA</v>
      </c>
    </row>
    <row r="2797" spans="1:8" x14ac:dyDescent="0.25">
      <c r="E2797" t="str">
        <f>"FSC201810314759"</f>
        <v>FSC201810314759</v>
      </c>
      <c r="F2797" t="str">
        <f>"TASC DEPENDENT CARE"</f>
        <v>TASC DEPENDENT CARE</v>
      </c>
      <c r="G2797" s="2">
        <v>288.95999999999998</v>
      </c>
      <c r="H2797" t="str">
        <f>"TASC DEPENDENT CARE"</f>
        <v>TASC DEPENDENT CARE</v>
      </c>
    </row>
    <row r="2798" spans="1:8" x14ac:dyDescent="0.25">
      <c r="E2798" t="str">
        <f>"FSF201810314759"</f>
        <v>FSF201810314759</v>
      </c>
      <c r="F2798" t="str">
        <f>"TASC - FSA  FEES"</f>
        <v>TASC - FSA  FEES</v>
      </c>
      <c r="G2798" s="2">
        <v>268.2</v>
      </c>
      <c r="H2798" t="str">
        <f t="shared" ref="H2798:H2836" si="57">"TASC - FSA  FEES"</f>
        <v>TASC - FSA  FEES</v>
      </c>
    </row>
    <row r="2799" spans="1:8" x14ac:dyDescent="0.25">
      <c r="E2799" t="str">
        <f>""</f>
        <v/>
      </c>
      <c r="F2799" t="str">
        <f>""</f>
        <v/>
      </c>
      <c r="H2799" t="str">
        <f t="shared" si="57"/>
        <v>TASC - FSA  FEES</v>
      </c>
    </row>
    <row r="2800" spans="1:8" x14ac:dyDescent="0.25">
      <c r="E2800" t="str">
        <f>""</f>
        <v/>
      </c>
      <c r="F2800" t="str">
        <f>""</f>
        <v/>
      </c>
      <c r="H2800" t="str">
        <f t="shared" si="57"/>
        <v>TASC - FSA  FEES</v>
      </c>
    </row>
    <row r="2801" spans="5:8" x14ac:dyDescent="0.25">
      <c r="E2801" t="str">
        <f>""</f>
        <v/>
      </c>
      <c r="F2801" t="str">
        <f>""</f>
        <v/>
      </c>
      <c r="H2801" t="str">
        <f t="shared" si="57"/>
        <v>TASC - FSA  FEES</v>
      </c>
    </row>
    <row r="2802" spans="5:8" x14ac:dyDescent="0.25">
      <c r="E2802" t="str">
        <f>""</f>
        <v/>
      </c>
      <c r="F2802" t="str">
        <f>""</f>
        <v/>
      </c>
      <c r="H2802" t="str">
        <f t="shared" si="57"/>
        <v>TASC - FSA  FEES</v>
      </c>
    </row>
    <row r="2803" spans="5:8" x14ac:dyDescent="0.25">
      <c r="E2803" t="str">
        <f>""</f>
        <v/>
      </c>
      <c r="F2803" t="str">
        <f>""</f>
        <v/>
      </c>
      <c r="H2803" t="str">
        <f t="shared" si="57"/>
        <v>TASC - FSA  FEES</v>
      </c>
    </row>
    <row r="2804" spans="5:8" x14ac:dyDescent="0.25">
      <c r="E2804" t="str">
        <f>""</f>
        <v/>
      </c>
      <c r="F2804" t="str">
        <f>""</f>
        <v/>
      </c>
      <c r="H2804" t="str">
        <f t="shared" si="57"/>
        <v>TASC - FSA  FEES</v>
      </c>
    </row>
    <row r="2805" spans="5:8" x14ac:dyDescent="0.25">
      <c r="E2805" t="str">
        <f>""</f>
        <v/>
      </c>
      <c r="F2805" t="str">
        <f>""</f>
        <v/>
      </c>
      <c r="H2805" t="str">
        <f t="shared" si="57"/>
        <v>TASC - FSA  FEES</v>
      </c>
    </row>
    <row r="2806" spans="5:8" x14ac:dyDescent="0.25">
      <c r="E2806" t="str">
        <f>""</f>
        <v/>
      </c>
      <c r="F2806" t="str">
        <f>""</f>
        <v/>
      </c>
      <c r="H2806" t="str">
        <f t="shared" si="57"/>
        <v>TASC - FSA  FEES</v>
      </c>
    </row>
    <row r="2807" spans="5:8" x14ac:dyDescent="0.25">
      <c r="E2807" t="str">
        <f>""</f>
        <v/>
      </c>
      <c r="F2807" t="str">
        <f>""</f>
        <v/>
      </c>
      <c r="H2807" t="str">
        <f t="shared" si="57"/>
        <v>TASC - FSA  FEES</v>
      </c>
    </row>
    <row r="2808" spans="5:8" x14ac:dyDescent="0.25">
      <c r="E2808" t="str">
        <f>""</f>
        <v/>
      </c>
      <c r="F2808" t="str">
        <f>""</f>
        <v/>
      </c>
      <c r="H2808" t="str">
        <f t="shared" si="57"/>
        <v>TASC - FSA  FEES</v>
      </c>
    </row>
    <row r="2809" spans="5:8" x14ac:dyDescent="0.25">
      <c r="E2809" t="str">
        <f>""</f>
        <v/>
      </c>
      <c r="F2809" t="str">
        <f>""</f>
        <v/>
      </c>
      <c r="H2809" t="str">
        <f t="shared" si="57"/>
        <v>TASC - FSA  FEES</v>
      </c>
    </row>
    <row r="2810" spans="5:8" x14ac:dyDescent="0.25">
      <c r="E2810" t="str">
        <f>""</f>
        <v/>
      </c>
      <c r="F2810" t="str">
        <f>""</f>
        <v/>
      </c>
      <c r="H2810" t="str">
        <f t="shared" si="57"/>
        <v>TASC - FSA  FEES</v>
      </c>
    </row>
    <row r="2811" spans="5:8" x14ac:dyDescent="0.25">
      <c r="E2811" t="str">
        <f>""</f>
        <v/>
      </c>
      <c r="F2811" t="str">
        <f>""</f>
        <v/>
      </c>
      <c r="H2811" t="str">
        <f t="shared" si="57"/>
        <v>TASC - FSA  FEES</v>
      </c>
    </row>
    <row r="2812" spans="5:8" x14ac:dyDescent="0.25">
      <c r="E2812" t="str">
        <f>""</f>
        <v/>
      </c>
      <c r="F2812" t="str">
        <f>""</f>
        <v/>
      </c>
      <c r="H2812" t="str">
        <f t="shared" si="57"/>
        <v>TASC - FSA  FEES</v>
      </c>
    </row>
    <row r="2813" spans="5:8" x14ac:dyDescent="0.25">
      <c r="E2813" t="str">
        <f>""</f>
        <v/>
      </c>
      <c r="F2813" t="str">
        <f>""</f>
        <v/>
      </c>
      <c r="H2813" t="str">
        <f t="shared" si="57"/>
        <v>TASC - FSA  FEES</v>
      </c>
    </row>
    <row r="2814" spans="5:8" x14ac:dyDescent="0.25">
      <c r="E2814" t="str">
        <f>""</f>
        <v/>
      </c>
      <c r="F2814" t="str">
        <f>""</f>
        <v/>
      </c>
      <c r="H2814" t="str">
        <f t="shared" si="57"/>
        <v>TASC - FSA  FEES</v>
      </c>
    </row>
    <row r="2815" spans="5:8" x14ac:dyDescent="0.25">
      <c r="E2815" t="str">
        <f>""</f>
        <v/>
      </c>
      <c r="F2815" t="str">
        <f>""</f>
        <v/>
      </c>
      <c r="H2815" t="str">
        <f t="shared" si="57"/>
        <v>TASC - FSA  FEES</v>
      </c>
    </row>
    <row r="2816" spans="5:8" x14ac:dyDescent="0.25">
      <c r="E2816" t="str">
        <f>""</f>
        <v/>
      </c>
      <c r="F2816" t="str">
        <f>""</f>
        <v/>
      </c>
      <c r="H2816" t="str">
        <f t="shared" si="57"/>
        <v>TASC - FSA  FEES</v>
      </c>
    </row>
    <row r="2817" spans="5:8" x14ac:dyDescent="0.25">
      <c r="E2817" t="str">
        <f>""</f>
        <v/>
      </c>
      <c r="F2817" t="str">
        <f>""</f>
        <v/>
      </c>
      <c r="H2817" t="str">
        <f t="shared" si="57"/>
        <v>TASC - FSA  FEES</v>
      </c>
    </row>
    <row r="2818" spans="5:8" x14ac:dyDescent="0.25">
      <c r="E2818" t="str">
        <f>""</f>
        <v/>
      </c>
      <c r="F2818" t="str">
        <f>""</f>
        <v/>
      </c>
      <c r="H2818" t="str">
        <f t="shared" si="57"/>
        <v>TASC - FSA  FEES</v>
      </c>
    </row>
    <row r="2819" spans="5:8" x14ac:dyDescent="0.25">
      <c r="E2819" t="str">
        <f>""</f>
        <v/>
      </c>
      <c r="F2819" t="str">
        <f>""</f>
        <v/>
      </c>
      <c r="H2819" t="str">
        <f t="shared" si="57"/>
        <v>TASC - FSA  FEES</v>
      </c>
    </row>
    <row r="2820" spans="5:8" x14ac:dyDescent="0.25">
      <c r="E2820" t="str">
        <f>""</f>
        <v/>
      </c>
      <c r="F2820" t="str">
        <f>""</f>
        <v/>
      </c>
      <c r="H2820" t="str">
        <f t="shared" si="57"/>
        <v>TASC - FSA  FEES</v>
      </c>
    </row>
    <row r="2821" spans="5:8" x14ac:dyDescent="0.25">
      <c r="E2821" t="str">
        <f>""</f>
        <v/>
      </c>
      <c r="F2821" t="str">
        <f>""</f>
        <v/>
      </c>
      <c r="H2821" t="str">
        <f t="shared" si="57"/>
        <v>TASC - FSA  FEES</v>
      </c>
    </row>
    <row r="2822" spans="5:8" x14ac:dyDescent="0.25">
      <c r="E2822" t="str">
        <f>""</f>
        <v/>
      </c>
      <c r="F2822" t="str">
        <f>""</f>
        <v/>
      </c>
      <c r="H2822" t="str">
        <f t="shared" si="57"/>
        <v>TASC - FSA  FEES</v>
      </c>
    </row>
    <row r="2823" spans="5:8" x14ac:dyDescent="0.25">
      <c r="E2823" t="str">
        <f>""</f>
        <v/>
      </c>
      <c r="F2823" t="str">
        <f>""</f>
        <v/>
      </c>
      <c r="H2823" t="str">
        <f t="shared" si="57"/>
        <v>TASC - FSA  FEES</v>
      </c>
    </row>
    <row r="2824" spans="5:8" x14ac:dyDescent="0.25">
      <c r="E2824" t="str">
        <f>""</f>
        <v/>
      </c>
      <c r="F2824" t="str">
        <f>""</f>
        <v/>
      </c>
      <c r="H2824" t="str">
        <f t="shared" si="57"/>
        <v>TASC - FSA  FEES</v>
      </c>
    </row>
    <row r="2825" spans="5:8" x14ac:dyDescent="0.25">
      <c r="E2825" t="str">
        <f>""</f>
        <v/>
      </c>
      <c r="F2825" t="str">
        <f>""</f>
        <v/>
      </c>
      <c r="H2825" t="str">
        <f t="shared" si="57"/>
        <v>TASC - FSA  FEES</v>
      </c>
    </row>
    <row r="2826" spans="5:8" x14ac:dyDescent="0.25">
      <c r="E2826" t="str">
        <f>""</f>
        <v/>
      </c>
      <c r="F2826" t="str">
        <f>""</f>
        <v/>
      </c>
      <c r="H2826" t="str">
        <f t="shared" si="57"/>
        <v>TASC - FSA  FEES</v>
      </c>
    </row>
    <row r="2827" spans="5:8" x14ac:dyDescent="0.25">
      <c r="E2827" t="str">
        <f>""</f>
        <v/>
      </c>
      <c r="F2827" t="str">
        <f>""</f>
        <v/>
      </c>
      <c r="H2827" t="str">
        <f t="shared" si="57"/>
        <v>TASC - FSA  FEES</v>
      </c>
    </row>
    <row r="2828" spans="5:8" x14ac:dyDescent="0.25">
      <c r="E2828" t="str">
        <f>""</f>
        <v/>
      </c>
      <c r="F2828" t="str">
        <f>""</f>
        <v/>
      </c>
      <c r="H2828" t="str">
        <f t="shared" si="57"/>
        <v>TASC - FSA  FEES</v>
      </c>
    </row>
    <row r="2829" spans="5:8" x14ac:dyDescent="0.25">
      <c r="E2829" t="str">
        <f>""</f>
        <v/>
      </c>
      <c r="F2829" t="str">
        <f>""</f>
        <v/>
      </c>
      <c r="H2829" t="str">
        <f t="shared" si="57"/>
        <v>TASC - FSA  FEES</v>
      </c>
    </row>
    <row r="2830" spans="5:8" x14ac:dyDescent="0.25">
      <c r="E2830" t="str">
        <f>""</f>
        <v/>
      </c>
      <c r="F2830" t="str">
        <f>""</f>
        <v/>
      </c>
      <c r="H2830" t="str">
        <f t="shared" si="57"/>
        <v>TASC - FSA  FEES</v>
      </c>
    </row>
    <row r="2831" spans="5:8" x14ac:dyDescent="0.25">
      <c r="E2831" t="str">
        <f>""</f>
        <v/>
      </c>
      <c r="F2831" t="str">
        <f>""</f>
        <v/>
      </c>
      <c r="H2831" t="str">
        <f t="shared" si="57"/>
        <v>TASC - FSA  FEES</v>
      </c>
    </row>
    <row r="2832" spans="5:8" x14ac:dyDescent="0.25">
      <c r="E2832" t="str">
        <f>""</f>
        <v/>
      </c>
      <c r="F2832" t="str">
        <f>""</f>
        <v/>
      </c>
      <c r="H2832" t="str">
        <f t="shared" si="57"/>
        <v>TASC - FSA  FEES</v>
      </c>
    </row>
    <row r="2833" spans="5:8" x14ac:dyDescent="0.25">
      <c r="E2833" t="str">
        <f>""</f>
        <v/>
      </c>
      <c r="F2833" t="str">
        <f>""</f>
        <v/>
      </c>
      <c r="H2833" t="str">
        <f t="shared" si="57"/>
        <v>TASC - FSA  FEES</v>
      </c>
    </row>
    <row r="2834" spans="5:8" x14ac:dyDescent="0.25">
      <c r="E2834" t="str">
        <f>""</f>
        <v/>
      </c>
      <c r="F2834" t="str">
        <f>""</f>
        <v/>
      </c>
      <c r="H2834" t="str">
        <f t="shared" si="57"/>
        <v>TASC - FSA  FEES</v>
      </c>
    </row>
    <row r="2835" spans="5:8" x14ac:dyDescent="0.25">
      <c r="E2835" t="str">
        <f>""</f>
        <v/>
      </c>
      <c r="F2835" t="str">
        <f>""</f>
        <v/>
      </c>
      <c r="H2835" t="str">
        <f t="shared" si="57"/>
        <v>TASC - FSA  FEES</v>
      </c>
    </row>
    <row r="2836" spans="5:8" x14ac:dyDescent="0.25">
      <c r="E2836" t="str">
        <f>"FSF201810314760"</f>
        <v>FSF201810314760</v>
      </c>
      <c r="F2836" t="str">
        <f>"TASC - FSA  FEES"</f>
        <v>TASC - FSA  FEES</v>
      </c>
      <c r="G2836" s="2">
        <v>12.6</v>
      </c>
      <c r="H2836" t="str">
        <f t="shared" si="57"/>
        <v>TASC - FSA  FEES</v>
      </c>
    </row>
    <row r="2837" spans="5:8" x14ac:dyDescent="0.25">
      <c r="E2837" t="str">
        <f>"HRA201810314759"</f>
        <v>HRA201810314759</v>
      </c>
      <c r="F2837" t="str">
        <f>"TASC HRA"</f>
        <v>TASC HRA</v>
      </c>
      <c r="G2837" s="2">
        <v>1466.68</v>
      </c>
      <c r="H2837" t="str">
        <f>"TASC HRA"</f>
        <v>TASC HRA</v>
      </c>
    </row>
    <row r="2838" spans="5:8" x14ac:dyDescent="0.25">
      <c r="E2838" t="str">
        <f>""</f>
        <v/>
      </c>
      <c r="F2838" t="str">
        <f>""</f>
        <v/>
      </c>
      <c r="H2838" t="str">
        <f>"TASC HRA"</f>
        <v>TASC HRA</v>
      </c>
    </row>
    <row r="2839" spans="5:8" x14ac:dyDescent="0.25">
      <c r="E2839" t="str">
        <f>""</f>
        <v/>
      </c>
      <c r="F2839" t="str">
        <f>""</f>
        <v/>
      </c>
      <c r="H2839" t="str">
        <f>"TASC HRA"</f>
        <v>TASC HRA</v>
      </c>
    </row>
    <row r="2840" spans="5:8" x14ac:dyDescent="0.25">
      <c r="E2840" t="str">
        <f>""</f>
        <v/>
      </c>
      <c r="F2840" t="str">
        <f>""</f>
        <v/>
      </c>
      <c r="H2840" t="str">
        <f>"TASC HRA"</f>
        <v>TASC HRA</v>
      </c>
    </row>
    <row r="2841" spans="5:8" x14ac:dyDescent="0.25">
      <c r="E2841" t="str">
        <f>"HRA201810314760"</f>
        <v>HRA201810314760</v>
      </c>
      <c r="F2841" t="str">
        <f>"TASC HRA"</f>
        <v>TASC HRA</v>
      </c>
      <c r="G2841" s="2">
        <v>733.34</v>
      </c>
      <c r="H2841" t="str">
        <f>"TASC HRA"</f>
        <v>TASC HRA</v>
      </c>
    </row>
    <row r="2842" spans="5:8" x14ac:dyDescent="0.25">
      <c r="E2842" t="str">
        <f>"HRF201810314759"</f>
        <v>HRF201810314759</v>
      </c>
      <c r="F2842" t="str">
        <f>"TASC - HRA FEES"</f>
        <v>TASC - HRA FEES</v>
      </c>
      <c r="G2842" s="2">
        <v>738</v>
      </c>
      <c r="H2842" t="str">
        <f t="shared" ref="H2842:H2889" si="58">"TASC - HRA FEES"</f>
        <v>TASC - HRA FEES</v>
      </c>
    </row>
    <row r="2843" spans="5:8" x14ac:dyDescent="0.25">
      <c r="E2843" t="str">
        <f>""</f>
        <v/>
      </c>
      <c r="F2843" t="str">
        <f>""</f>
        <v/>
      </c>
      <c r="H2843" t="str">
        <f t="shared" si="58"/>
        <v>TASC - HRA FEES</v>
      </c>
    </row>
    <row r="2844" spans="5:8" x14ac:dyDescent="0.25">
      <c r="E2844" t="str">
        <f>""</f>
        <v/>
      </c>
      <c r="F2844" t="str">
        <f>""</f>
        <v/>
      </c>
      <c r="H2844" t="str">
        <f t="shared" si="58"/>
        <v>TASC - HRA FEES</v>
      </c>
    </row>
    <row r="2845" spans="5:8" x14ac:dyDescent="0.25">
      <c r="E2845" t="str">
        <f>""</f>
        <v/>
      </c>
      <c r="F2845" t="str">
        <f>""</f>
        <v/>
      </c>
      <c r="H2845" t="str">
        <f t="shared" si="58"/>
        <v>TASC - HRA FEES</v>
      </c>
    </row>
    <row r="2846" spans="5:8" x14ac:dyDescent="0.25">
      <c r="E2846" t="str">
        <f>""</f>
        <v/>
      </c>
      <c r="F2846" t="str">
        <f>""</f>
        <v/>
      </c>
      <c r="H2846" t="str">
        <f t="shared" si="58"/>
        <v>TASC - HRA FEES</v>
      </c>
    </row>
    <row r="2847" spans="5:8" x14ac:dyDescent="0.25">
      <c r="E2847" t="str">
        <f>""</f>
        <v/>
      </c>
      <c r="F2847" t="str">
        <f>""</f>
        <v/>
      </c>
      <c r="H2847" t="str">
        <f t="shared" si="58"/>
        <v>TASC - HRA FEES</v>
      </c>
    </row>
    <row r="2848" spans="5:8" x14ac:dyDescent="0.25">
      <c r="E2848" t="str">
        <f>""</f>
        <v/>
      </c>
      <c r="F2848" t="str">
        <f>""</f>
        <v/>
      </c>
      <c r="H2848" t="str">
        <f t="shared" si="58"/>
        <v>TASC - HRA FEES</v>
      </c>
    </row>
    <row r="2849" spans="5:8" x14ac:dyDescent="0.25">
      <c r="E2849" t="str">
        <f>""</f>
        <v/>
      </c>
      <c r="F2849" t="str">
        <f>""</f>
        <v/>
      </c>
      <c r="H2849" t="str">
        <f t="shared" si="58"/>
        <v>TASC - HRA FEES</v>
      </c>
    </row>
    <row r="2850" spans="5:8" x14ac:dyDescent="0.25">
      <c r="E2850" t="str">
        <f>""</f>
        <v/>
      </c>
      <c r="F2850" t="str">
        <f>""</f>
        <v/>
      </c>
      <c r="H2850" t="str">
        <f t="shared" si="58"/>
        <v>TASC - HRA FEES</v>
      </c>
    </row>
    <row r="2851" spans="5:8" x14ac:dyDescent="0.25">
      <c r="E2851" t="str">
        <f>""</f>
        <v/>
      </c>
      <c r="F2851" t="str">
        <f>""</f>
        <v/>
      </c>
      <c r="H2851" t="str">
        <f t="shared" si="58"/>
        <v>TASC - HRA FEES</v>
      </c>
    </row>
    <row r="2852" spans="5:8" x14ac:dyDescent="0.25">
      <c r="E2852" t="str">
        <f>""</f>
        <v/>
      </c>
      <c r="F2852" t="str">
        <f>""</f>
        <v/>
      </c>
      <c r="H2852" t="str">
        <f t="shared" si="58"/>
        <v>TASC - HRA FEES</v>
      </c>
    </row>
    <row r="2853" spans="5:8" x14ac:dyDescent="0.25">
      <c r="E2853" t="str">
        <f>""</f>
        <v/>
      </c>
      <c r="F2853" t="str">
        <f>""</f>
        <v/>
      </c>
      <c r="H2853" t="str">
        <f t="shared" si="58"/>
        <v>TASC - HRA FEES</v>
      </c>
    </row>
    <row r="2854" spans="5:8" x14ac:dyDescent="0.25">
      <c r="E2854" t="str">
        <f>""</f>
        <v/>
      </c>
      <c r="F2854" t="str">
        <f>""</f>
        <v/>
      </c>
      <c r="H2854" t="str">
        <f t="shared" si="58"/>
        <v>TASC - HRA FEES</v>
      </c>
    </row>
    <row r="2855" spans="5:8" x14ac:dyDescent="0.25">
      <c r="E2855" t="str">
        <f>""</f>
        <v/>
      </c>
      <c r="F2855" t="str">
        <f>""</f>
        <v/>
      </c>
      <c r="H2855" t="str">
        <f t="shared" si="58"/>
        <v>TASC - HRA FEES</v>
      </c>
    </row>
    <row r="2856" spans="5:8" x14ac:dyDescent="0.25">
      <c r="E2856" t="str">
        <f>""</f>
        <v/>
      </c>
      <c r="F2856" t="str">
        <f>""</f>
        <v/>
      </c>
      <c r="H2856" t="str">
        <f t="shared" si="58"/>
        <v>TASC - HRA FEES</v>
      </c>
    </row>
    <row r="2857" spans="5:8" x14ac:dyDescent="0.25">
      <c r="E2857" t="str">
        <f>""</f>
        <v/>
      </c>
      <c r="F2857" t="str">
        <f>""</f>
        <v/>
      </c>
      <c r="H2857" t="str">
        <f t="shared" si="58"/>
        <v>TASC - HRA FEES</v>
      </c>
    </row>
    <row r="2858" spans="5:8" x14ac:dyDescent="0.25">
      <c r="E2858" t="str">
        <f>""</f>
        <v/>
      </c>
      <c r="F2858" t="str">
        <f>""</f>
        <v/>
      </c>
      <c r="H2858" t="str">
        <f t="shared" si="58"/>
        <v>TASC - HRA FEES</v>
      </c>
    </row>
    <row r="2859" spans="5:8" x14ac:dyDescent="0.25">
      <c r="E2859" t="str">
        <f>""</f>
        <v/>
      </c>
      <c r="F2859" t="str">
        <f>""</f>
        <v/>
      </c>
      <c r="H2859" t="str">
        <f t="shared" si="58"/>
        <v>TASC - HRA FEES</v>
      </c>
    </row>
    <row r="2860" spans="5:8" x14ac:dyDescent="0.25">
      <c r="E2860" t="str">
        <f>""</f>
        <v/>
      </c>
      <c r="F2860" t="str">
        <f>""</f>
        <v/>
      </c>
      <c r="H2860" t="str">
        <f t="shared" si="58"/>
        <v>TASC - HRA FEES</v>
      </c>
    </row>
    <row r="2861" spans="5:8" x14ac:dyDescent="0.25">
      <c r="E2861" t="str">
        <f>""</f>
        <v/>
      </c>
      <c r="F2861" t="str">
        <f>""</f>
        <v/>
      </c>
      <c r="H2861" t="str">
        <f t="shared" si="58"/>
        <v>TASC - HRA FEES</v>
      </c>
    </row>
    <row r="2862" spans="5:8" x14ac:dyDescent="0.25">
      <c r="E2862" t="str">
        <f>""</f>
        <v/>
      </c>
      <c r="F2862" t="str">
        <f>""</f>
        <v/>
      </c>
      <c r="H2862" t="str">
        <f t="shared" si="58"/>
        <v>TASC - HRA FEES</v>
      </c>
    </row>
    <row r="2863" spans="5:8" x14ac:dyDescent="0.25">
      <c r="E2863" t="str">
        <f>""</f>
        <v/>
      </c>
      <c r="F2863" t="str">
        <f>""</f>
        <v/>
      </c>
      <c r="H2863" t="str">
        <f t="shared" si="58"/>
        <v>TASC - HRA FEES</v>
      </c>
    </row>
    <row r="2864" spans="5:8" x14ac:dyDescent="0.25">
      <c r="E2864" t="str">
        <f>""</f>
        <v/>
      </c>
      <c r="F2864" t="str">
        <f>""</f>
        <v/>
      </c>
      <c r="H2864" t="str">
        <f t="shared" si="58"/>
        <v>TASC - HRA FEES</v>
      </c>
    </row>
    <row r="2865" spans="5:8" x14ac:dyDescent="0.25">
      <c r="E2865" t="str">
        <f>""</f>
        <v/>
      </c>
      <c r="F2865" t="str">
        <f>""</f>
        <v/>
      </c>
      <c r="H2865" t="str">
        <f t="shared" si="58"/>
        <v>TASC - HRA FEES</v>
      </c>
    </row>
    <row r="2866" spans="5:8" x14ac:dyDescent="0.25">
      <c r="E2866" t="str">
        <f>""</f>
        <v/>
      </c>
      <c r="F2866" t="str">
        <f>""</f>
        <v/>
      </c>
      <c r="H2866" t="str">
        <f t="shared" si="58"/>
        <v>TASC - HRA FEES</v>
      </c>
    </row>
    <row r="2867" spans="5:8" x14ac:dyDescent="0.25">
      <c r="E2867" t="str">
        <f>""</f>
        <v/>
      </c>
      <c r="F2867" t="str">
        <f>""</f>
        <v/>
      </c>
      <c r="H2867" t="str">
        <f t="shared" si="58"/>
        <v>TASC - HRA FEES</v>
      </c>
    </row>
    <row r="2868" spans="5:8" x14ac:dyDescent="0.25">
      <c r="E2868" t="str">
        <f>""</f>
        <v/>
      </c>
      <c r="F2868" t="str">
        <f>""</f>
        <v/>
      </c>
      <c r="H2868" t="str">
        <f t="shared" si="58"/>
        <v>TASC - HRA FEES</v>
      </c>
    </row>
    <row r="2869" spans="5:8" x14ac:dyDescent="0.25">
      <c r="E2869" t="str">
        <f>""</f>
        <v/>
      </c>
      <c r="F2869" t="str">
        <f>""</f>
        <v/>
      </c>
      <c r="H2869" t="str">
        <f t="shared" si="58"/>
        <v>TASC - HRA FEES</v>
      </c>
    </row>
    <row r="2870" spans="5:8" x14ac:dyDescent="0.25">
      <c r="E2870" t="str">
        <f>""</f>
        <v/>
      </c>
      <c r="F2870" t="str">
        <f>""</f>
        <v/>
      </c>
      <c r="H2870" t="str">
        <f t="shared" si="58"/>
        <v>TASC - HRA FEES</v>
      </c>
    </row>
    <row r="2871" spans="5:8" x14ac:dyDescent="0.25">
      <c r="E2871" t="str">
        <f>""</f>
        <v/>
      </c>
      <c r="F2871" t="str">
        <f>""</f>
        <v/>
      </c>
      <c r="H2871" t="str">
        <f t="shared" si="58"/>
        <v>TASC - HRA FEES</v>
      </c>
    </row>
    <row r="2872" spans="5:8" x14ac:dyDescent="0.25">
      <c r="E2872" t="str">
        <f>""</f>
        <v/>
      </c>
      <c r="F2872" t="str">
        <f>""</f>
        <v/>
      </c>
      <c r="H2872" t="str">
        <f t="shared" si="58"/>
        <v>TASC - HRA FEES</v>
      </c>
    </row>
    <row r="2873" spans="5:8" x14ac:dyDescent="0.25">
      <c r="E2873" t="str">
        <f>""</f>
        <v/>
      </c>
      <c r="F2873" t="str">
        <f>""</f>
        <v/>
      </c>
      <c r="H2873" t="str">
        <f t="shared" si="58"/>
        <v>TASC - HRA FEES</v>
      </c>
    </row>
    <row r="2874" spans="5:8" x14ac:dyDescent="0.25">
      <c r="E2874" t="str">
        <f>""</f>
        <v/>
      </c>
      <c r="F2874" t="str">
        <f>""</f>
        <v/>
      </c>
      <c r="H2874" t="str">
        <f t="shared" si="58"/>
        <v>TASC - HRA FEES</v>
      </c>
    </row>
    <row r="2875" spans="5:8" x14ac:dyDescent="0.25">
      <c r="E2875" t="str">
        <f>""</f>
        <v/>
      </c>
      <c r="F2875" t="str">
        <f>""</f>
        <v/>
      </c>
      <c r="H2875" t="str">
        <f t="shared" si="58"/>
        <v>TASC - HRA FEES</v>
      </c>
    </row>
    <row r="2876" spans="5:8" x14ac:dyDescent="0.25">
      <c r="E2876" t="str">
        <f>""</f>
        <v/>
      </c>
      <c r="F2876" t="str">
        <f>""</f>
        <v/>
      </c>
      <c r="H2876" t="str">
        <f t="shared" si="58"/>
        <v>TASC - HRA FEES</v>
      </c>
    </row>
    <row r="2877" spans="5:8" x14ac:dyDescent="0.25">
      <c r="E2877" t="str">
        <f>""</f>
        <v/>
      </c>
      <c r="F2877" t="str">
        <f>""</f>
        <v/>
      </c>
      <c r="H2877" t="str">
        <f t="shared" si="58"/>
        <v>TASC - HRA FEES</v>
      </c>
    </row>
    <row r="2878" spans="5:8" x14ac:dyDescent="0.25">
      <c r="E2878" t="str">
        <f>""</f>
        <v/>
      </c>
      <c r="F2878" t="str">
        <f>""</f>
        <v/>
      </c>
      <c r="H2878" t="str">
        <f t="shared" si="58"/>
        <v>TASC - HRA FEES</v>
      </c>
    </row>
    <row r="2879" spans="5:8" x14ac:dyDescent="0.25">
      <c r="E2879" t="str">
        <f>""</f>
        <v/>
      </c>
      <c r="F2879" t="str">
        <f>""</f>
        <v/>
      </c>
      <c r="H2879" t="str">
        <f t="shared" si="58"/>
        <v>TASC - HRA FEES</v>
      </c>
    </row>
    <row r="2880" spans="5:8" x14ac:dyDescent="0.25">
      <c r="E2880" t="str">
        <f>""</f>
        <v/>
      </c>
      <c r="F2880" t="str">
        <f>""</f>
        <v/>
      </c>
      <c r="H2880" t="str">
        <f t="shared" si="58"/>
        <v>TASC - HRA FEES</v>
      </c>
    </row>
    <row r="2881" spans="1:8" x14ac:dyDescent="0.25">
      <c r="E2881" t="str">
        <f>""</f>
        <v/>
      </c>
      <c r="F2881" t="str">
        <f>""</f>
        <v/>
      </c>
      <c r="H2881" t="str">
        <f t="shared" si="58"/>
        <v>TASC - HRA FEES</v>
      </c>
    </row>
    <row r="2882" spans="1:8" x14ac:dyDescent="0.25">
      <c r="E2882" t="str">
        <f>""</f>
        <v/>
      </c>
      <c r="F2882" t="str">
        <f>""</f>
        <v/>
      </c>
      <c r="H2882" t="str">
        <f t="shared" si="58"/>
        <v>TASC - HRA FEES</v>
      </c>
    </row>
    <row r="2883" spans="1:8" x14ac:dyDescent="0.25">
      <c r="E2883" t="str">
        <f>""</f>
        <v/>
      </c>
      <c r="F2883" t="str">
        <f>""</f>
        <v/>
      </c>
      <c r="H2883" t="str">
        <f t="shared" si="58"/>
        <v>TASC - HRA FEES</v>
      </c>
    </row>
    <row r="2884" spans="1:8" x14ac:dyDescent="0.25">
      <c r="E2884" t="str">
        <f>""</f>
        <v/>
      </c>
      <c r="F2884" t="str">
        <f>""</f>
        <v/>
      </c>
      <c r="H2884" t="str">
        <f t="shared" si="58"/>
        <v>TASC - HRA FEES</v>
      </c>
    </row>
    <row r="2885" spans="1:8" x14ac:dyDescent="0.25">
      <c r="E2885" t="str">
        <f>""</f>
        <v/>
      </c>
      <c r="F2885" t="str">
        <f>""</f>
        <v/>
      </c>
      <c r="H2885" t="str">
        <f t="shared" si="58"/>
        <v>TASC - HRA FEES</v>
      </c>
    </row>
    <row r="2886" spans="1:8" x14ac:dyDescent="0.25">
      <c r="E2886" t="str">
        <f>""</f>
        <v/>
      </c>
      <c r="F2886" t="str">
        <f>""</f>
        <v/>
      </c>
      <c r="H2886" t="str">
        <f t="shared" si="58"/>
        <v>TASC - HRA FEES</v>
      </c>
    </row>
    <row r="2887" spans="1:8" x14ac:dyDescent="0.25">
      <c r="E2887" t="str">
        <f>""</f>
        <v/>
      </c>
      <c r="F2887" t="str">
        <f>""</f>
        <v/>
      </c>
      <c r="H2887" t="str">
        <f t="shared" si="58"/>
        <v>TASC - HRA FEES</v>
      </c>
    </row>
    <row r="2888" spans="1:8" x14ac:dyDescent="0.25">
      <c r="E2888" t="str">
        <f>""</f>
        <v/>
      </c>
      <c r="F2888" t="str">
        <f>""</f>
        <v/>
      </c>
      <c r="H2888" t="str">
        <f t="shared" si="58"/>
        <v>TASC - HRA FEES</v>
      </c>
    </row>
    <row r="2889" spans="1:8" x14ac:dyDescent="0.25">
      <c r="E2889" t="str">
        <f>"HRF201810314760"</f>
        <v>HRF201810314760</v>
      </c>
      <c r="F2889" t="str">
        <f>"TASC - HRA FEES"</f>
        <v>TASC - HRA FEES</v>
      </c>
      <c r="G2889" s="2">
        <v>28.8</v>
      </c>
      <c r="H2889" t="str">
        <f t="shared" si="58"/>
        <v>TASC - HRA FEES</v>
      </c>
    </row>
    <row r="2890" spans="1:8" x14ac:dyDescent="0.25">
      <c r="A2890" t="s">
        <v>568</v>
      </c>
      <c r="B2890">
        <v>0</v>
      </c>
      <c r="C2890" s="3">
        <v>10108.76</v>
      </c>
      <c r="D2890" s="1">
        <v>43420</v>
      </c>
      <c r="E2890" t="str">
        <f>"FSA201811145075"</f>
        <v>FSA201811145075</v>
      </c>
      <c r="F2890" t="str">
        <f>"TASC FSA"</f>
        <v>TASC FSA</v>
      </c>
      <c r="G2890" s="2">
        <v>7855.47</v>
      </c>
      <c r="H2890" t="str">
        <f>"TASC FSA"</f>
        <v>TASC FSA</v>
      </c>
    </row>
    <row r="2891" spans="1:8" x14ac:dyDescent="0.25">
      <c r="E2891" t="str">
        <f>"FSA201811145076"</f>
        <v>FSA201811145076</v>
      </c>
      <c r="F2891" t="str">
        <f>"TASC FSA"</f>
        <v>TASC FSA</v>
      </c>
      <c r="G2891" s="2">
        <v>550.05999999999995</v>
      </c>
      <c r="H2891" t="str">
        <f>"TASC FSA"</f>
        <v>TASC FSA</v>
      </c>
    </row>
    <row r="2892" spans="1:8" x14ac:dyDescent="0.25">
      <c r="E2892" t="str">
        <f>"FSC201811145075"</f>
        <v>FSC201811145075</v>
      </c>
      <c r="F2892" t="str">
        <f>"TASC DEPENDENT CARE"</f>
        <v>TASC DEPENDENT CARE</v>
      </c>
      <c r="G2892" s="2">
        <v>288.95999999999998</v>
      </c>
      <c r="H2892" t="str">
        <f>"TASC DEPENDENT CARE"</f>
        <v>TASC DEPENDENT CARE</v>
      </c>
    </row>
    <row r="2893" spans="1:8" x14ac:dyDescent="0.25">
      <c r="E2893" t="str">
        <f>"FSF201811145075"</f>
        <v>FSF201811145075</v>
      </c>
      <c r="F2893" t="str">
        <f>"TASC - FSA  FEES"</f>
        <v>TASC - FSA  FEES</v>
      </c>
      <c r="G2893" s="2">
        <v>268.2</v>
      </c>
      <c r="H2893" t="str">
        <f t="shared" ref="H2893:H2931" si="59">"TASC - FSA  FEES"</f>
        <v>TASC - FSA  FEES</v>
      </c>
    </row>
    <row r="2894" spans="1:8" x14ac:dyDescent="0.25">
      <c r="E2894" t="str">
        <f>""</f>
        <v/>
      </c>
      <c r="F2894" t="str">
        <f>""</f>
        <v/>
      </c>
      <c r="H2894" t="str">
        <f t="shared" si="59"/>
        <v>TASC - FSA  FEES</v>
      </c>
    </row>
    <row r="2895" spans="1:8" x14ac:dyDescent="0.25">
      <c r="E2895" t="str">
        <f>""</f>
        <v/>
      </c>
      <c r="F2895" t="str">
        <f>""</f>
        <v/>
      </c>
      <c r="H2895" t="str">
        <f t="shared" si="59"/>
        <v>TASC - FSA  FEES</v>
      </c>
    </row>
    <row r="2896" spans="1:8" x14ac:dyDescent="0.25">
      <c r="E2896" t="str">
        <f>""</f>
        <v/>
      </c>
      <c r="F2896" t="str">
        <f>""</f>
        <v/>
      </c>
      <c r="H2896" t="str">
        <f t="shared" si="59"/>
        <v>TASC - FSA  FEES</v>
      </c>
    </row>
    <row r="2897" spans="5:8" x14ac:dyDescent="0.25">
      <c r="E2897" t="str">
        <f>""</f>
        <v/>
      </c>
      <c r="F2897" t="str">
        <f>""</f>
        <v/>
      </c>
      <c r="H2897" t="str">
        <f t="shared" si="59"/>
        <v>TASC - FSA  FEES</v>
      </c>
    </row>
    <row r="2898" spans="5:8" x14ac:dyDescent="0.25">
      <c r="E2898" t="str">
        <f>""</f>
        <v/>
      </c>
      <c r="F2898" t="str">
        <f>""</f>
        <v/>
      </c>
      <c r="H2898" t="str">
        <f t="shared" si="59"/>
        <v>TASC - FSA  FEES</v>
      </c>
    </row>
    <row r="2899" spans="5:8" x14ac:dyDescent="0.25">
      <c r="E2899" t="str">
        <f>""</f>
        <v/>
      </c>
      <c r="F2899" t="str">
        <f>""</f>
        <v/>
      </c>
      <c r="H2899" t="str">
        <f t="shared" si="59"/>
        <v>TASC - FSA  FEES</v>
      </c>
    </row>
    <row r="2900" spans="5:8" x14ac:dyDescent="0.25">
      <c r="E2900" t="str">
        <f>""</f>
        <v/>
      </c>
      <c r="F2900" t="str">
        <f>""</f>
        <v/>
      </c>
      <c r="H2900" t="str">
        <f t="shared" si="59"/>
        <v>TASC - FSA  FEES</v>
      </c>
    </row>
    <row r="2901" spans="5:8" x14ac:dyDescent="0.25">
      <c r="E2901" t="str">
        <f>""</f>
        <v/>
      </c>
      <c r="F2901" t="str">
        <f>""</f>
        <v/>
      </c>
      <c r="H2901" t="str">
        <f t="shared" si="59"/>
        <v>TASC - FSA  FEES</v>
      </c>
    </row>
    <row r="2902" spans="5:8" x14ac:dyDescent="0.25">
      <c r="E2902" t="str">
        <f>""</f>
        <v/>
      </c>
      <c r="F2902" t="str">
        <f>""</f>
        <v/>
      </c>
      <c r="H2902" t="str">
        <f t="shared" si="59"/>
        <v>TASC - FSA  FEES</v>
      </c>
    </row>
    <row r="2903" spans="5:8" x14ac:dyDescent="0.25">
      <c r="E2903" t="str">
        <f>""</f>
        <v/>
      </c>
      <c r="F2903" t="str">
        <f>""</f>
        <v/>
      </c>
      <c r="H2903" t="str">
        <f t="shared" si="59"/>
        <v>TASC - FSA  FEES</v>
      </c>
    </row>
    <row r="2904" spans="5:8" x14ac:dyDescent="0.25">
      <c r="E2904" t="str">
        <f>""</f>
        <v/>
      </c>
      <c r="F2904" t="str">
        <f>""</f>
        <v/>
      </c>
      <c r="H2904" t="str">
        <f t="shared" si="59"/>
        <v>TASC - FSA  FEES</v>
      </c>
    </row>
    <row r="2905" spans="5:8" x14ac:dyDescent="0.25">
      <c r="E2905" t="str">
        <f>""</f>
        <v/>
      </c>
      <c r="F2905" t="str">
        <f>""</f>
        <v/>
      </c>
      <c r="H2905" t="str">
        <f t="shared" si="59"/>
        <v>TASC - FSA  FEES</v>
      </c>
    </row>
    <row r="2906" spans="5:8" x14ac:dyDescent="0.25">
      <c r="E2906" t="str">
        <f>""</f>
        <v/>
      </c>
      <c r="F2906" t="str">
        <f>""</f>
        <v/>
      </c>
      <c r="H2906" t="str">
        <f t="shared" si="59"/>
        <v>TASC - FSA  FEES</v>
      </c>
    </row>
    <row r="2907" spans="5:8" x14ac:dyDescent="0.25">
      <c r="E2907" t="str">
        <f>""</f>
        <v/>
      </c>
      <c r="F2907" t="str">
        <f>""</f>
        <v/>
      </c>
      <c r="H2907" t="str">
        <f t="shared" si="59"/>
        <v>TASC - FSA  FEES</v>
      </c>
    </row>
    <row r="2908" spans="5:8" x14ac:dyDescent="0.25">
      <c r="E2908" t="str">
        <f>""</f>
        <v/>
      </c>
      <c r="F2908" t="str">
        <f>""</f>
        <v/>
      </c>
      <c r="H2908" t="str">
        <f t="shared" si="59"/>
        <v>TASC - FSA  FEES</v>
      </c>
    </row>
    <row r="2909" spans="5:8" x14ac:dyDescent="0.25">
      <c r="E2909" t="str">
        <f>""</f>
        <v/>
      </c>
      <c r="F2909" t="str">
        <f>""</f>
        <v/>
      </c>
      <c r="H2909" t="str">
        <f t="shared" si="59"/>
        <v>TASC - FSA  FEES</v>
      </c>
    </row>
    <row r="2910" spans="5:8" x14ac:dyDescent="0.25">
      <c r="E2910" t="str">
        <f>""</f>
        <v/>
      </c>
      <c r="F2910" t="str">
        <f>""</f>
        <v/>
      </c>
      <c r="H2910" t="str">
        <f t="shared" si="59"/>
        <v>TASC - FSA  FEES</v>
      </c>
    </row>
    <row r="2911" spans="5:8" x14ac:dyDescent="0.25">
      <c r="E2911" t="str">
        <f>""</f>
        <v/>
      </c>
      <c r="F2911" t="str">
        <f>""</f>
        <v/>
      </c>
      <c r="H2911" t="str">
        <f t="shared" si="59"/>
        <v>TASC - FSA  FEES</v>
      </c>
    </row>
    <row r="2912" spans="5:8" x14ac:dyDescent="0.25">
      <c r="E2912" t="str">
        <f>""</f>
        <v/>
      </c>
      <c r="F2912" t="str">
        <f>""</f>
        <v/>
      </c>
      <c r="H2912" t="str">
        <f t="shared" si="59"/>
        <v>TASC - FSA  FEES</v>
      </c>
    </row>
    <row r="2913" spans="5:8" x14ac:dyDescent="0.25">
      <c r="E2913" t="str">
        <f>""</f>
        <v/>
      </c>
      <c r="F2913" t="str">
        <f>""</f>
        <v/>
      </c>
      <c r="H2913" t="str">
        <f t="shared" si="59"/>
        <v>TASC - FSA  FEES</v>
      </c>
    </row>
    <row r="2914" spans="5:8" x14ac:dyDescent="0.25">
      <c r="E2914" t="str">
        <f>""</f>
        <v/>
      </c>
      <c r="F2914" t="str">
        <f>""</f>
        <v/>
      </c>
      <c r="H2914" t="str">
        <f t="shared" si="59"/>
        <v>TASC - FSA  FEES</v>
      </c>
    </row>
    <row r="2915" spans="5:8" x14ac:dyDescent="0.25">
      <c r="E2915" t="str">
        <f>""</f>
        <v/>
      </c>
      <c r="F2915" t="str">
        <f>""</f>
        <v/>
      </c>
      <c r="H2915" t="str">
        <f t="shared" si="59"/>
        <v>TASC - FSA  FEES</v>
      </c>
    </row>
    <row r="2916" spans="5:8" x14ac:dyDescent="0.25">
      <c r="E2916" t="str">
        <f>""</f>
        <v/>
      </c>
      <c r="F2916" t="str">
        <f>""</f>
        <v/>
      </c>
      <c r="H2916" t="str">
        <f t="shared" si="59"/>
        <v>TASC - FSA  FEES</v>
      </c>
    </row>
    <row r="2917" spans="5:8" x14ac:dyDescent="0.25">
      <c r="E2917" t="str">
        <f>""</f>
        <v/>
      </c>
      <c r="F2917" t="str">
        <f>""</f>
        <v/>
      </c>
      <c r="H2917" t="str">
        <f t="shared" si="59"/>
        <v>TASC - FSA  FEES</v>
      </c>
    </row>
    <row r="2918" spans="5:8" x14ac:dyDescent="0.25">
      <c r="E2918" t="str">
        <f>""</f>
        <v/>
      </c>
      <c r="F2918" t="str">
        <f>""</f>
        <v/>
      </c>
      <c r="H2918" t="str">
        <f t="shared" si="59"/>
        <v>TASC - FSA  FEES</v>
      </c>
    </row>
    <row r="2919" spans="5:8" x14ac:dyDescent="0.25">
      <c r="E2919" t="str">
        <f>""</f>
        <v/>
      </c>
      <c r="F2919" t="str">
        <f>""</f>
        <v/>
      </c>
      <c r="H2919" t="str">
        <f t="shared" si="59"/>
        <v>TASC - FSA  FEES</v>
      </c>
    </row>
    <row r="2920" spans="5:8" x14ac:dyDescent="0.25">
      <c r="E2920" t="str">
        <f>""</f>
        <v/>
      </c>
      <c r="F2920" t="str">
        <f>""</f>
        <v/>
      </c>
      <c r="H2920" t="str">
        <f t="shared" si="59"/>
        <v>TASC - FSA  FEES</v>
      </c>
    </row>
    <row r="2921" spans="5:8" x14ac:dyDescent="0.25">
      <c r="E2921" t="str">
        <f>""</f>
        <v/>
      </c>
      <c r="F2921" t="str">
        <f>""</f>
        <v/>
      </c>
      <c r="H2921" t="str">
        <f t="shared" si="59"/>
        <v>TASC - FSA  FEES</v>
      </c>
    </row>
    <row r="2922" spans="5:8" x14ac:dyDescent="0.25">
      <c r="E2922" t="str">
        <f>""</f>
        <v/>
      </c>
      <c r="F2922" t="str">
        <f>""</f>
        <v/>
      </c>
      <c r="H2922" t="str">
        <f t="shared" si="59"/>
        <v>TASC - FSA  FEES</v>
      </c>
    </row>
    <row r="2923" spans="5:8" x14ac:dyDescent="0.25">
      <c r="E2923" t="str">
        <f>""</f>
        <v/>
      </c>
      <c r="F2923" t="str">
        <f>""</f>
        <v/>
      </c>
      <c r="H2923" t="str">
        <f t="shared" si="59"/>
        <v>TASC - FSA  FEES</v>
      </c>
    </row>
    <row r="2924" spans="5:8" x14ac:dyDescent="0.25">
      <c r="E2924" t="str">
        <f>""</f>
        <v/>
      </c>
      <c r="F2924" t="str">
        <f>""</f>
        <v/>
      </c>
      <c r="H2924" t="str">
        <f t="shared" si="59"/>
        <v>TASC - FSA  FEES</v>
      </c>
    </row>
    <row r="2925" spans="5:8" x14ac:dyDescent="0.25">
      <c r="E2925" t="str">
        <f>""</f>
        <v/>
      </c>
      <c r="F2925" t="str">
        <f>""</f>
        <v/>
      </c>
      <c r="H2925" t="str">
        <f t="shared" si="59"/>
        <v>TASC - FSA  FEES</v>
      </c>
    </row>
    <row r="2926" spans="5:8" x14ac:dyDescent="0.25">
      <c r="E2926" t="str">
        <f>""</f>
        <v/>
      </c>
      <c r="F2926" t="str">
        <f>""</f>
        <v/>
      </c>
      <c r="H2926" t="str">
        <f t="shared" si="59"/>
        <v>TASC - FSA  FEES</v>
      </c>
    </row>
    <row r="2927" spans="5:8" x14ac:dyDescent="0.25">
      <c r="E2927" t="str">
        <f>""</f>
        <v/>
      </c>
      <c r="F2927" t="str">
        <f>""</f>
        <v/>
      </c>
      <c r="H2927" t="str">
        <f t="shared" si="59"/>
        <v>TASC - FSA  FEES</v>
      </c>
    </row>
    <row r="2928" spans="5:8" x14ac:dyDescent="0.25">
      <c r="E2928" t="str">
        <f>""</f>
        <v/>
      </c>
      <c r="F2928" t="str">
        <f>""</f>
        <v/>
      </c>
      <c r="H2928" t="str">
        <f t="shared" si="59"/>
        <v>TASC - FSA  FEES</v>
      </c>
    </row>
    <row r="2929" spans="5:8" x14ac:dyDescent="0.25">
      <c r="E2929" t="str">
        <f>""</f>
        <v/>
      </c>
      <c r="F2929" t="str">
        <f>""</f>
        <v/>
      </c>
      <c r="H2929" t="str">
        <f t="shared" si="59"/>
        <v>TASC - FSA  FEES</v>
      </c>
    </row>
    <row r="2930" spans="5:8" x14ac:dyDescent="0.25">
      <c r="E2930" t="str">
        <f>""</f>
        <v/>
      </c>
      <c r="F2930" t="str">
        <f>""</f>
        <v/>
      </c>
      <c r="H2930" t="str">
        <f t="shared" si="59"/>
        <v>TASC - FSA  FEES</v>
      </c>
    </row>
    <row r="2931" spans="5:8" x14ac:dyDescent="0.25">
      <c r="E2931" t="str">
        <f>"FSF201811145076"</f>
        <v>FSF201811145076</v>
      </c>
      <c r="F2931" t="str">
        <f>"TASC - FSA  FEES"</f>
        <v>TASC - FSA  FEES</v>
      </c>
      <c r="G2931" s="2">
        <v>12.6</v>
      </c>
      <c r="H2931" t="str">
        <f t="shared" si="59"/>
        <v>TASC - FSA  FEES</v>
      </c>
    </row>
    <row r="2932" spans="5:8" x14ac:dyDescent="0.25">
      <c r="E2932" t="str">
        <f>"HRA201811145076"</f>
        <v>HRA201811145076</v>
      </c>
      <c r="F2932" t="str">
        <f>"TASC HRA"</f>
        <v>TASC HRA</v>
      </c>
      <c r="G2932" s="2">
        <v>366.67</v>
      </c>
      <c r="H2932" t="str">
        <f>"TASC HRA"</f>
        <v>TASC HRA</v>
      </c>
    </row>
    <row r="2933" spans="5:8" x14ac:dyDescent="0.25">
      <c r="E2933" t="str">
        <f>"HRF201811145075"</f>
        <v>HRF201811145075</v>
      </c>
      <c r="F2933" t="str">
        <f>"TASC - HRA FEES"</f>
        <v>TASC - HRA FEES</v>
      </c>
      <c r="G2933" s="2">
        <v>738</v>
      </c>
      <c r="H2933" t="str">
        <f t="shared" ref="H2933:H2964" si="60">"TASC - HRA FEES"</f>
        <v>TASC - HRA FEES</v>
      </c>
    </row>
    <row r="2934" spans="5:8" x14ac:dyDescent="0.25">
      <c r="E2934" t="str">
        <f>""</f>
        <v/>
      </c>
      <c r="F2934" t="str">
        <f>""</f>
        <v/>
      </c>
      <c r="H2934" t="str">
        <f t="shared" si="60"/>
        <v>TASC - HRA FEES</v>
      </c>
    </row>
    <row r="2935" spans="5:8" x14ac:dyDescent="0.25">
      <c r="E2935" t="str">
        <f>""</f>
        <v/>
      </c>
      <c r="F2935" t="str">
        <f>""</f>
        <v/>
      </c>
      <c r="H2935" t="str">
        <f t="shared" si="60"/>
        <v>TASC - HRA FEES</v>
      </c>
    </row>
    <row r="2936" spans="5:8" x14ac:dyDescent="0.25">
      <c r="E2936" t="str">
        <f>""</f>
        <v/>
      </c>
      <c r="F2936" t="str">
        <f>""</f>
        <v/>
      </c>
      <c r="H2936" t="str">
        <f t="shared" si="60"/>
        <v>TASC - HRA FEES</v>
      </c>
    </row>
    <row r="2937" spans="5:8" x14ac:dyDescent="0.25">
      <c r="E2937" t="str">
        <f>""</f>
        <v/>
      </c>
      <c r="F2937" t="str">
        <f>""</f>
        <v/>
      </c>
      <c r="H2937" t="str">
        <f t="shared" si="60"/>
        <v>TASC - HRA FEES</v>
      </c>
    </row>
    <row r="2938" spans="5:8" x14ac:dyDescent="0.25">
      <c r="E2938" t="str">
        <f>""</f>
        <v/>
      </c>
      <c r="F2938" t="str">
        <f>""</f>
        <v/>
      </c>
      <c r="H2938" t="str">
        <f t="shared" si="60"/>
        <v>TASC - HRA FEES</v>
      </c>
    </row>
    <row r="2939" spans="5:8" x14ac:dyDescent="0.25">
      <c r="E2939" t="str">
        <f>""</f>
        <v/>
      </c>
      <c r="F2939" t="str">
        <f>""</f>
        <v/>
      </c>
      <c r="H2939" t="str">
        <f t="shared" si="60"/>
        <v>TASC - HRA FEES</v>
      </c>
    </row>
    <row r="2940" spans="5:8" x14ac:dyDescent="0.25">
      <c r="E2940" t="str">
        <f>""</f>
        <v/>
      </c>
      <c r="F2940" t="str">
        <f>""</f>
        <v/>
      </c>
      <c r="H2940" t="str">
        <f t="shared" si="60"/>
        <v>TASC - HRA FEES</v>
      </c>
    </row>
    <row r="2941" spans="5:8" x14ac:dyDescent="0.25">
      <c r="E2941" t="str">
        <f>""</f>
        <v/>
      </c>
      <c r="F2941" t="str">
        <f>""</f>
        <v/>
      </c>
      <c r="H2941" t="str">
        <f t="shared" si="60"/>
        <v>TASC - HRA FEES</v>
      </c>
    </row>
    <row r="2942" spans="5:8" x14ac:dyDescent="0.25">
      <c r="E2942" t="str">
        <f>""</f>
        <v/>
      </c>
      <c r="F2942" t="str">
        <f>""</f>
        <v/>
      </c>
      <c r="H2942" t="str">
        <f t="shared" si="60"/>
        <v>TASC - HRA FEES</v>
      </c>
    </row>
    <row r="2943" spans="5:8" x14ac:dyDescent="0.25">
      <c r="E2943" t="str">
        <f>""</f>
        <v/>
      </c>
      <c r="F2943" t="str">
        <f>""</f>
        <v/>
      </c>
      <c r="H2943" t="str">
        <f t="shared" si="60"/>
        <v>TASC - HRA FEES</v>
      </c>
    </row>
    <row r="2944" spans="5:8" x14ac:dyDescent="0.25">
      <c r="E2944" t="str">
        <f>""</f>
        <v/>
      </c>
      <c r="F2944" t="str">
        <f>""</f>
        <v/>
      </c>
      <c r="H2944" t="str">
        <f t="shared" si="60"/>
        <v>TASC - HRA FEES</v>
      </c>
    </row>
    <row r="2945" spans="5:8" x14ac:dyDescent="0.25">
      <c r="E2945" t="str">
        <f>""</f>
        <v/>
      </c>
      <c r="F2945" t="str">
        <f>""</f>
        <v/>
      </c>
      <c r="H2945" t="str">
        <f t="shared" si="60"/>
        <v>TASC - HRA FEES</v>
      </c>
    </row>
    <row r="2946" spans="5:8" x14ac:dyDescent="0.25">
      <c r="E2946" t="str">
        <f>""</f>
        <v/>
      </c>
      <c r="F2946" t="str">
        <f>""</f>
        <v/>
      </c>
      <c r="H2946" t="str">
        <f t="shared" si="60"/>
        <v>TASC - HRA FEES</v>
      </c>
    </row>
    <row r="2947" spans="5:8" x14ac:dyDescent="0.25">
      <c r="E2947" t="str">
        <f>""</f>
        <v/>
      </c>
      <c r="F2947" t="str">
        <f>""</f>
        <v/>
      </c>
      <c r="H2947" t="str">
        <f t="shared" si="60"/>
        <v>TASC - HRA FEES</v>
      </c>
    </row>
    <row r="2948" spans="5:8" x14ac:dyDescent="0.25">
      <c r="E2948" t="str">
        <f>""</f>
        <v/>
      </c>
      <c r="F2948" t="str">
        <f>""</f>
        <v/>
      </c>
      <c r="H2948" t="str">
        <f t="shared" si="60"/>
        <v>TASC - HRA FEES</v>
      </c>
    </row>
    <row r="2949" spans="5:8" x14ac:dyDescent="0.25">
      <c r="E2949" t="str">
        <f>""</f>
        <v/>
      </c>
      <c r="F2949" t="str">
        <f>""</f>
        <v/>
      </c>
      <c r="H2949" t="str">
        <f t="shared" si="60"/>
        <v>TASC - HRA FEES</v>
      </c>
    </row>
    <row r="2950" spans="5:8" x14ac:dyDescent="0.25">
      <c r="E2950" t="str">
        <f>""</f>
        <v/>
      </c>
      <c r="F2950" t="str">
        <f>""</f>
        <v/>
      </c>
      <c r="H2950" t="str">
        <f t="shared" si="60"/>
        <v>TASC - HRA FEES</v>
      </c>
    </row>
    <row r="2951" spans="5:8" x14ac:dyDescent="0.25">
      <c r="E2951" t="str">
        <f>""</f>
        <v/>
      </c>
      <c r="F2951" t="str">
        <f>""</f>
        <v/>
      </c>
      <c r="H2951" t="str">
        <f t="shared" si="60"/>
        <v>TASC - HRA FEES</v>
      </c>
    </row>
    <row r="2952" spans="5:8" x14ac:dyDescent="0.25">
      <c r="E2952" t="str">
        <f>""</f>
        <v/>
      </c>
      <c r="F2952" t="str">
        <f>""</f>
        <v/>
      </c>
      <c r="H2952" t="str">
        <f t="shared" si="60"/>
        <v>TASC - HRA FEES</v>
      </c>
    </row>
    <row r="2953" spans="5:8" x14ac:dyDescent="0.25">
      <c r="E2953" t="str">
        <f>""</f>
        <v/>
      </c>
      <c r="F2953" t="str">
        <f>""</f>
        <v/>
      </c>
      <c r="H2953" t="str">
        <f t="shared" si="60"/>
        <v>TASC - HRA FEES</v>
      </c>
    </row>
    <row r="2954" spans="5:8" x14ac:dyDescent="0.25">
      <c r="E2954" t="str">
        <f>""</f>
        <v/>
      </c>
      <c r="F2954" t="str">
        <f>""</f>
        <v/>
      </c>
      <c r="H2954" t="str">
        <f t="shared" si="60"/>
        <v>TASC - HRA FEES</v>
      </c>
    </row>
    <row r="2955" spans="5:8" x14ac:dyDescent="0.25">
      <c r="E2955" t="str">
        <f>""</f>
        <v/>
      </c>
      <c r="F2955" t="str">
        <f>""</f>
        <v/>
      </c>
      <c r="H2955" t="str">
        <f t="shared" si="60"/>
        <v>TASC - HRA FEES</v>
      </c>
    </row>
    <row r="2956" spans="5:8" x14ac:dyDescent="0.25">
      <c r="E2956" t="str">
        <f>""</f>
        <v/>
      </c>
      <c r="F2956" t="str">
        <f>""</f>
        <v/>
      </c>
      <c r="H2956" t="str">
        <f t="shared" si="60"/>
        <v>TASC - HRA FEES</v>
      </c>
    </row>
    <row r="2957" spans="5:8" x14ac:dyDescent="0.25">
      <c r="E2957" t="str">
        <f>""</f>
        <v/>
      </c>
      <c r="F2957" t="str">
        <f>""</f>
        <v/>
      </c>
      <c r="H2957" t="str">
        <f t="shared" si="60"/>
        <v>TASC - HRA FEES</v>
      </c>
    </row>
    <row r="2958" spans="5:8" x14ac:dyDescent="0.25">
      <c r="E2958" t="str">
        <f>""</f>
        <v/>
      </c>
      <c r="F2958" t="str">
        <f>""</f>
        <v/>
      </c>
      <c r="H2958" t="str">
        <f t="shared" si="60"/>
        <v>TASC - HRA FEES</v>
      </c>
    </row>
    <row r="2959" spans="5:8" x14ac:dyDescent="0.25">
      <c r="E2959" t="str">
        <f>""</f>
        <v/>
      </c>
      <c r="F2959" t="str">
        <f>""</f>
        <v/>
      </c>
      <c r="H2959" t="str">
        <f t="shared" si="60"/>
        <v>TASC - HRA FEES</v>
      </c>
    </row>
    <row r="2960" spans="5:8" x14ac:dyDescent="0.25">
      <c r="E2960" t="str">
        <f>""</f>
        <v/>
      </c>
      <c r="F2960" t="str">
        <f>""</f>
        <v/>
      </c>
      <c r="H2960" t="str">
        <f t="shared" si="60"/>
        <v>TASC - HRA FEES</v>
      </c>
    </row>
    <row r="2961" spans="5:8" x14ac:dyDescent="0.25">
      <c r="E2961" t="str">
        <f>""</f>
        <v/>
      </c>
      <c r="F2961" t="str">
        <f>""</f>
        <v/>
      </c>
      <c r="H2961" t="str">
        <f t="shared" si="60"/>
        <v>TASC - HRA FEES</v>
      </c>
    </row>
    <row r="2962" spans="5:8" x14ac:dyDescent="0.25">
      <c r="E2962" t="str">
        <f>""</f>
        <v/>
      </c>
      <c r="F2962" t="str">
        <f>""</f>
        <v/>
      </c>
      <c r="H2962" t="str">
        <f t="shared" si="60"/>
        <v>TASC - HRA FEES</v>
      </c>
    </row>
    <row r="2963" spans="5:8" x14ac:dyDescent="0.25">
      <c r="E2963" t="str">
        <f>""</f>
        <v/>
      </c>
      <c r="F2963" t="str">
        <f>""</f>
        <v/>
      </c>
      <c r="H2963" t="str">
        <f t="shared" si="60"/>
        <v>TASC - HRA FEES</v>
      </c>
    </row>
    <row r="2964" spans="5:8" x14ac:dyDescent="0.25">
      <c r="E2964" t="str">
        <f>""</f>
        <v/>
      </c>
      <c r="F2964" t="str">
        <f>""</f>
        <v/>
      </c>
      <c r="H2964" t="str">
        <f t="shared" si="60"/>
        <v>TASC - HRA FEES</v>
      </c>
    </row>
    <row r="2965" spans="5:8" x14ac:dyDescent="0.25">
      <c r="E2965" t="str">
        <f>""</f>
        <v/>
      </c>
      <c r="F2965" t="str">
        <f>""</f>
        <v/>
      </c>
      <c r="H2965" t="str">
        <f t="shared" ref="H2965:H2981" si="61">"TASC - HRA FEES"</f>
        <v>TASC - HRA FEES</v>
      </c>
    </row>
    <row r="2966" spans="5:8" x14ac:dyDescent="0.25">
      <c r="E2966" t="str">
        <f>""</f>
        <v/>
      </c>
      <c r="F2966" t="str">
        <f>""</f>
        <v/>
      </c>
      <c r="H2966" t="str">
        <f t="shared" si="61"/>
        <v>TASC - HRA FEES</v>
      </c>
    </row>
    <row r="2967" spans="5:8" x14ac:dyDescent="0.25">
      <c r="E2967" t="str">
        <f>""</f>
        <v/>
      </c>
      <c r="F2967" t="str">
        <f>""</f>
        <v/>
      </c>
      <c r="H2967" t="str">
        <f t="shared" si="61"/>
        <v>TASC - HRA FEES</v>
      </c>
    </row>
    <row r="2968" spans="5:8" x14ac:dyDescent="0.25">
      <c r="E2968" t="str">
        <f>""</f>
        <v/>
      </c>
      <c r="F2968" t="str">
        <f>""</f>
        <v/>
      </c>
      <c r="H2968" t="str">
        <f t="shared" si="61"/>
        <v>TASC - HRA FEES</v>
      </c>
    </row>
    <row r="2969" spans="5:8" x14ac:dyDescent="0.25">
      <c r="E2969" t="str">
        <f>""</f>
        <v/>
      </c>
      <c r="F2969" t="str">
        <f>""</f>
        <v/>
      </c>
      <c r="H2969" t="str">
        <f t="shared" si="61"/>
        <v>TASC - HRA FEES</v>
      </c>
    </row>
    <row r="2970" spans="5:8" x14ac:dyDescent="0.25">
      <c r="E2970" t="str">
        <f>""</f>
        <v/>
      </c>
      <c r="F2970" t="str">
        <f>""</f>
        <v/>
      </c>
      <c r="H2970" t="str">
        <f t="shared" si="61"/>
        <v>TASC - HRA FEES</v>
      </c>
    </row>
    <row r="2971" spans="5:8" x14ac:dyDescent="0.25">
      <c r="E2971" t="str">
        <f>""</f>
        <v/>
      </c>
      <c r="F2971" t="str">
        <f>""</f>
        <v/>
      </c>
      <c r="H2971" t="str">
        <f t="shared" si="61"/>
        <v>TASC - HRA FEES</v>
      </c>
    </row>
    <row r="2972" spans="5:8" x14ac:dyDescent="0.25">
      <c r="E2972" t="str">
        <f>""</f>
        <v/>
      </c>
      <c r="F2972" t="str">
        <f>""</f>
        <v/>
      </c>
      <c r="H2972" t="str">
        <f t="shared" si="61"/>
        <v>TASC - HRA FEES</v>
      </c>
    </row>
    <row r="2973" spans="5:8" x14ac:dyDescent="0.25">
      <c r="E2973" t="str">
        <f>""</f>
        <v/>
      </c>
      <c r="F2973" t="str">
        <f>""</f>
        <v/>
      </c>
      <c r="H2973" t="str">
        <f t="shared" si="61"/>
        <v>TASC - HRA FEES</v>
      </c>
    </row>
    <row r="2974" spans="5:8" x14ac:dyDescent="0.25">
      <c r="E2974" t="str">
        <f>""</f>
        <v/>
      </c>
      <c r="F2974" t="str">
        <f>""</f>
        <v/>
      </c>
      <c r="H2974" t="str">
        <f t="shared" si="61"/>
        <v>TASC - HRA FEES</v>
      </c>
    </row>
    <row r="2975" spans="5:8" x14ac:dyDescent="0.25">
      <c r="E2975" t="str">
        <f>""</f>
        <v/>
      </c>
      <c r="F2975" t="str">
        <f>""</f>
        <v/>
      </c>
      <c r="H2975" t="str">
        <f t="shared" si="61"/>
        <v>TASC - HRA FEES</v>
      </c>
    </row>
    <row r="2976" spans="5:8" x14ac:dyDescent="0.25">
      <c r="E2976" t="str">
        <f>""</f>
        <v/>
      </c>
      <c r="F2976" t="str">
        <f>""</f>
        <v/>
      </c>
      <c r="H2976" t="str">
        <f t="shared" si="61"/>
        <v>TASC - HRA FEES</v>
      </c>
    </row>
    <row r="2977" spans="1:8" x14ac:dyDescent="0.25">
      <c r="E2977" t="str">
        <f>""</f>
        <v/>
      </c>
      <c r="F2977" t="str">
        <f>""</f>
        <v/>
      </c>
      <c r="H2977" t="str">
        <f t="shared" si="61"/>
        <v>TASC - HRA FEES</v>
      </c>
    </row>
    <row r="2978" spans="1:8" x14ac:dyDescent="0.25">
      <c r="E2978" t="str">
        <f>""</f>
        <v/>
      </c>
      <c r="F2978" t="str">
        <f>""</f>
        <v/>
      </c>
      <c r="H2978" t="str">
        <f t="shared" si="61"/>
        <v>TASC - HRA FEES</v>
      </c>
    </row>
    <row r="2979" spans="1:8" x14ac:dyDescent="0.25">
      <c r="E2979" t="str">
        <f>""</f>
        <v/>
      </c>
      <c r="F2979" t="str">
        <f>""</f>
        <v/>
      </c>
      <c r="H2979" t="str">
        <f t="shared" si="61"/>
        <v>TASC - HRA FEES</v>
      </c>
    </row>
    <row r="2980" spans="1:8" x14ac:dyDescent="0.25">
      <c r="E2980" t="str">
        <f>""</f>
        <v/>
      </c>
      <c r="F2980" t="str">
        <f>""</f>
        <v/>
      </c>
      <c r="H2980" t="str">
        <f t="shared" si="61"/>
        <v>TASC - HRA FEES</v>
      </c>
    </row>
    <row r="2981" spans="1:8" x14ac:dyDescent="0.25">
      <c r="E2981" t="str">
        <f>"HRF201811145076"</f>
        <v>HRF201811145076</v>
      </c>
      <c r="F2981" t="str">
        <f>"TASC - HRA FEES"</f>
        <v>TASC - HRA FEES</v>
      </c>
      <c r="G2981" s="2">
        <v>28.8</v>
      </c>
      <c r="H2981" t="str">
        <f t="shared" si="61"/>
        <v>TASC - HRA FEES</v>
      </c>
    </row>
    <row r="2982" spans="1:8" x14ac:dyDescent="0.25">
      <c r="A2982" t="s">
        <v>569</v>
      </c>
      <c r="B2982">
        <v>0</v>
      </c>
      <c r="C2982" s="3">
        <v>4264.63</v>
      </c>
      <c r="D2982" s="1">
        <v>43406</v>
      </c>
      <c r="E2982" t="str">
        <f>"C18201810314760"</f>
        <v>C18201810314760</v>
      </c>
      <c r="F2982" t="str">
        <f>"CAUSE# 0011635329"</f>
        <v>CAUSE# 0011635329</v>
      </c>
      <c r="G2982" s="2">
        <v>603.23</v>
      </c>
      <c r="H2982" t="str">
        <f>"CAUSE# 0011635329"</f>
        <v>CAUSE# 0011635329</v>
      </c>
    </row>
    <row r="2983" spans="1:8" x14ac:dyDescent="0.25">
      <c r="E2983" t="str">
        <f>"C2 201810314760"</f>
        <v>C2 201810314760</v>
      </c>
      <c r="F2983" t="str">
        <f>"0012982132CCL7445"</f>
        <v>0012982132CCL7445</v>
      </c>
      <c r="G2983" s="2">
        <v>692.31</v>
      </c>
      <c r="H2983" t="str">
        <f>"0012982132CCL7445"</f>
        <v>0012982132CCL7445</v>
      </c>
    </row>
    <row r="2984" spans="1:8" x14ac:dyDescent="0.25">
      <c r="E2984" t="str">
        <f>"C20201810314759"</f>
        <v>C20201810314759</v>
      </c>
      <c r="F2984" t="str">
        <f>"001003981107-12252"</f>
        <v>001003981107-12252</v>
      </c>
      <c r="G2984" s="2">
        <v>115.39</v>
      </c>
      <c r="H2984" t="str">
        <f>"001003981107-12252"</f>
        <v>001003981107-12252</v>
      </c>
    </row>
    <row r="2985" spans="1:8" x14ac:dyDescent="0.25">
      <c r="E2985" t="str">
        <f>"C42201810314759"</f>
        <v>C42201810314759</v>
      </c>
      <c r="F2985" t="str">
        <f>"001236769211-14410"</f>
        <v>001236769211-14410</v>
      </c>
      <c r="G2985" s="2">
        <v>230.31</v>
      </c>
      <c r="H2985" t="str">
        <f>"001236769211-14410"</f>
        <v>001236769211-14410</v>
      </c>
    </row>
    <row r="2986" spans="1:8" x14ac:dyDescent="0.25">
      <c r="E2986" t="str">
        <f>"C46201810314759"</f>
        <v>C46201810314759</v>
      </c>
      <c r="F2986" t="str">
        <f>"CAUSE# 11-14911"</f>
        <v>CAUSE# 11-14911</v>
      </c>
      <c r="G2986" s="2">
        <v>238.62</v>
      </c>
      <c r="H2986" t="str">
        <f>"CAUSE# 11-14911"</f>
        <v>CAUSE# 11-14911</v>
      </c>
    </row>
    <row r="2987" spans="1:8" x14ac:dyDescent="0.25">
      <c r="E2987" t="str">
        <f>"C53201810314759"</f>
        <v>C53201810314759</v>
      </c>
      <c r="F2987" t="str">
        <f>"0012453366"</f>
        <v>0012453366</v>
      </c>
      <c r="G2987" s="2">
        <v>138.46</v>
      </c>
      <c r="H2987" t="str">
        <f>"0012453366"</f>
        <v>0012453366</v>
      </c>
    </row>
    <row r="2988" spans="1:8" x14ac:dyDescent="0.25">
      <c r="E2988" t="str">
        <f>"C60201810314759"</f>
        <v>C60201810314759</v>
      </c>
      <c r="F2988" t="str">
        <f>"00130730762012V300"</f>
        <v>00130730762012V300</v>
      </c>
      <c r="G2988" s="2">
        <v>399.32</v>
      </c>
      <c r="H2988" t="str">
        <f>"00130730762012V300"</f>
        <v>00130730762012V300</v>
      </c>
    </row>
    <row r="2989" spans="1:8" x14ac:dyDescent="0.25">
      <c r="E2989" t="str">
        <f>"C62201810314759"</f>
        <v>C62201810314759</v>
      </c>
      <c r="F2989" t="str">
        <f>"# 0012128865"</f>
        <v># 0012128865</v>
      </c>
      <c r="G2989" s="2">
        <v>243.23</v>
      </c>
      <c r="H2989" t="str">
        <f>"# 0012128865"</f>
        <v># 0012128865</v>
      </c>
    </row>
    <row r="2990" spans="1:8" x14ac:dyDescent="0.25">
      <c r="E2990" t="str">
        <f>"C66201810314759"</f>
        <v>C66201810314759</v>
      </c>
      <c r="F2990" t="str">
        <f>"# 0012871801"</f>
        <v># 0012871801</v>
      </c>
      <c r="G2990" s="2">
        <v>90</v>
      </c>
      <c r="H2990" t="str">
        <f>"# 0012871801"</f>
        <v># 0012871801</v>
      </c>
    </row>
    <row r="2991" spans="1:8" x14ac:dyDescent="0.25">
      <c r="E2991" t="str">
        <f>"C66201810314761"</f>
        <v>C66201810314761</v>
      </c>
      <c r="F2991" t="str">
        <f>"CAUSE#D1FM13007058"</f>
        <v>CAUSE#D1FM13007058</v>
      </c>
      <c r="G2991" s="2">
        <v>138.46</v>
      </c>
      <c r="H2991" t="str">
        <f>"CAUSE#D1FM13007058"</f>
        <v>CAUSE#D1FM13007058</v>
      </c>
    </row>
    <row r="2992" spans="1:8" x14ac:dyDescent="0.25">
      <c r="E2992" t="str">
        <f>"C69201810314759"</f>
        <v>C69201810314759</v>
      </c>
      <c r="F2992" t="str">
        <f>"0012046911423672"</f>
        <v>0012046911423672</v>
      </c>
      <c r="G2992" s="2">
        <v>187.38</v>
      </c>
      <c r="H2992" t="str">
        <f>"0012046911423672"</f>
        <v>0012046911423672</v>
      </c>
    </row>
    <row r="2993" spans="1:8" x14ac:dyDescent="0.25">
      <c r="E2993" t="str">
        <f>"C70201810314759"</f>
        <v>C70201810314759</v>
      </c>
      <c r="F2993" t="str">
        <f>"00136881334235026"</f>
        <v>00136881334235026</v>
      </c>
      <c r="G2993" s="2">
        <v>257.45999999999998</v>
      </c>
      <c r="H2993" t="str">
        <f>"00136881334235026"</f>
        <v>00136881334235026</v>
      </c>
    </row>
    <row r="2994" spans="1:8" x14ac:dyDescent="0.25">
      <c r="E2994" t="str">
        <f>"C71201810314759"</f>
        <v>C71201810314759</v>
      </c>
      <c r="F2994" t="str">
        <f>"00137390532018V215"</f>
        <v>00137390532018V215</v>
      </c>
      <c r="G2994" s="2">
        <v>276.92</v>
      </c>
      <c r="H2994" t="str">
        <f>"00137390532018V215"</f>
        <v>00137390532018V215</v>
      </c>
    </row>
    <row r="2995" spans="1:8" x14ac:dyDescent="0.25">
      <c r="E2995" t="str">
        <f>"C72201810314759"</f>
        <v>C72201810314759</v>
      </c>
      <c r="F2995" t="str">
        <f>"0012797601C20130529B"</f>
        <v>0012797601C20130529B</v>
      </c>
      <c r="G2995" s="2">
        <v>241.85</v>
      </c>
      <c r="H2995" t="str">
        <f>"0012797601C20130529B"</f>
        <v>0012797601C20130529B</v>
      </c>
    </row>
    <row r="2996" spans="1:8" x14ac:dyDescent="0.25">
      <c r="E2996" t="str">
        <f>"C73201810314759"</f>
        <v>C73201810314759</v>
      </c>
      <c r="F2996" t="str">
        <f>"0013081098D1AG170012"</f>
        <v>0013081098D1AG170012</v>
      </c>
      <c r="G2996" s="2">
        <v>411.69</v>
      </c>
      <c r="H2996" t="str">
        <f>"0013081098D1AG170012"</f>
        <v>0013081098D1AG170012</v>
      </c>
    </row>
    <row r="2997" spans="1:8" x14ac:dyDescent="0.25">
      <c r="A2997" t="s">
        <v>569</v>
      </c>
      <c r="B2997">
        <v>0</v>
      </c>
      <c r="C2997" s="3">
        <v>4264.63</v>
      </c>
      <c r="D2997" s="1">
        <v>43420</v>
      </c>
      <c r="E2997" t="str">
        <f>"C18201811145076"</f>
        <v>C18201811145076</v>
      </c>
      <c r="F2997" t="str">
        <f>"CAUSE# 0011635329"</f>
        <v>CAUSE# 0011635329</v>
      </c>
      <c r="G2997" s="2">
        <v>603.23</v>
      </c>
      <c r="H2997" t="str">
        <f>"CAUSE# 0011635329"</f>
        <v>CAUSE# 0011635329</v>
      </c>
    </row>
    <row r="2998" spans="1:8" x14ac:dyDescent="0.25">
      <c r="E2998" t="str">
        <f>"C2 201811145076"</f>
        <v>C2 201811145076</v>
      </c>
      <c r="F2998" t="str">
        <f>"0012982132CCL7445"</f>
        <v>0012982132CCL7445</v>
      </c>
      <c r="G2998" s="2">
        <v>692.31</v>
      </c>
      <c r="H2998" t="str">
        <f>"0012982132CCL7445"</f>
        <v>0012982132CCL7445</v>
      </c>
    </row>
    <row r="2999" spans="1:8" x14ac:dyDescent="0.25">
      <c r="E2999" t="str">
        <f>"C20201811145075"</f>
        <v>C20201811145075</v>
      </c>
      <c r="F2999" t="str">
        <f>"001003981107-12252"</f>
        <v>001003981107-12252</v>
      </c>
      <c r="G2999" s="2">
        <v>115.39</v>
      </c>
      <c r="H2999" t="str">
        <f>"001003981107-12252"</f>
        <v>001003981107-12252</v>
      </c>
    </row>
    <row r="3000" spans="1:8" x14ac:dyDescent="0.25">
      <c r="E3000" t="str">
        <f>"C42201811145075"</f>
        <v>C42201811145075</v>
      </c>
      <c r="F3000" t="str">
        <f>"001236769211-14410"</f>
        <v>001236769211-14410</v>
      </c>
      <c r="G3000" s="2">
        <v>230.31</v>
      </c>
      <c r="H3000" t="str">
        <f>"001236769211-14410"</f>
        <v>001236769211-14410</v>
      </c>
    </row>
    <row r="3001" spans="1:8" x14ac:dyDescent="0.25">
      <c r="E3001" t="str">
        <f>"C46201811145075"</f>
        <v>C46201811145075</v>
      </c>
      <c r="F3001" t="str">
        <f>"CAUSE# 11-14911"</f>
        <v>CAUSE# 11-14911</v>
      </c>
      <c r="G3001" s="2">
        <v>238.62</v>
      </c>
      <c r="H3001" t="str">
        <f>"CAUSE# 11-14911"</f>
        <v>CAUSE# 11-14911</v>
      </c>
    </row>
    <row r="3002" spans="1:8" x14ac:dyDescent="0.25">
      <c r="E3002" t="str">
        <f>"C53201811145075"</f>
        <v>C53201811145075</v>
      </c>
      <c r="F3002" t="str">
        <f>"0012453366"</f>
        <v>0012453366</v>
      </c>
      <c r="G3002" s="2">
        <v>138.46</v>
      </c>
      <c r="H3002" t="str">
        <f>"0012453366"</f>
        <v>0012453366</v>
      </c>
    </row>
    <row r="3003" spans="1:8" x14ac:dyDescent="0.25">
      <c r="E3003" t="str">
        <f>"C60201811145075"</f>
        <v>C60201811145075</v>
      </c>
      <c r="F3003" t="str">
        <f>"00130730762012V300"</f>
        <v>00130730762012V300</v>
      </c>
      <c r="G3003" s="2">
        <v>399.32</v>
      </c>
      <c r="H3003" t="str">
        <f>"00130730762012V300"</f>
        <v>00130730762012V300</v>
      </c>
    </row>
    <row r="3004" spans="1:8" x14ac:dyDescent="0.25">
      <c r="E3004" t="str">
        <f>"C62201811145075"</f>
        <v>C62201811145075</v>
      </c>
      <c r="F3004" t="str">
        <f>"# 0012128865"</f>
        <v># 0012128865</v>
      </c>
      <c r="G3004" s="2">
        <v>243.23</v>
      </c>
      <c r="H3004" t="str">
        <f>"# 0012128865"</f>
        <v># 0012128865</v>
      </c>
    </row>
    <row r="3005" spans="1:8" x14ac:dyDescent="0.25">
      <c r="E3005" t="str">
        <f>"C66201811145075"</f>
        <v>C66201811145075</v>
      </c>
      <c r="F3005" t="str">
        <f>"# 0012871801"</f>
        <v># 0012871801</v>
      </c>
      <c r="G3005" s="2">
        <v>90</v>
      </c>
      <c r="H3005" t="str">
        <f>"# 0012871801"</f>
        <v># 0012871801</v>
      </c>
    </row>
    <row r="3006" spans="1:8" x14ac:dyDescent="0.25">
      <c r="E3006" t="str">
        <f>"C66201811145077"</f>
        <v>C66201811145077</v>
      </c>
      <c r="F3006" t="str">
        <f>"CAUSE#D1FM13007058"</f>
        <v>CAUSE#D1FM13007058</v>
      </c>
      <c r="G3006" s="2">
        <v>138.46</v>
      </c>
      <c r="H3006" t="str">
        <f>"CAUSE#D1FM13007058"</f>
        <v>CAUSE#D1FM13007058</v>
      </c>
    </row>
    <row r="3007" spans="1:8" x14ac:dyDescent="0.25">
      <c r="E3007" t="str">
        <f>"C69201811145075"</f>
        <v>C69201811145075</v>
      </c>
      <c r="F3007" t="str">
        <f>"0012046911423672"</f>
        <v>0012046911423672</v>
      </c>
      <c r="G3007" s="2">
        <v>187.38</v>
      </c>
      <c r="H3007" t="str">
        <f>"0012046911423672"</f>
        <v>0012046911423672</v>
      </c>
    </row>
    <row r="3008" spans="1:8" x14ac:dyDescent="0.25">
      <c r="E3008" t="str">
        <f>"C70201811145075"</f>
        <v>C70201811145075</v>
      </c>
      <c r="F3008" t="str">
        <f>"00136881334235026"</f>
        <v>00136881334235026</v>
      </c>
      <c r="G3008" s="2">
        <v>257.45999999999998</v>
      </c>
      <c r="H3008" t="str">
        <f>"00136881334235026"</f>
        <v>00136881334235026</v>
      </c>
    </row>
    <row r="3009" spans="1:8" x14ac:dyDescent="0.25">
      <c r="E3009" t="str">
        <f>"C71201811145075"</f>
        <v>C71201811145075</v>
      </c>
      <c r="F3009" t="str">
        <f>"00137390532018V215"</f>
        <v>00137390532018V215</v>
      </c>
      <c r="G3009" s="2">
        <v>276.92</v>
      </c>
      <c r="H3009" t="str">
        <f>"00137390532018V215"</f>
        <v>00137390532018V215</v>
      </c>
    </row>
    <row r="3010" spans="1:8" x14ac:dyDescent="0.25">
      <c r="E3010" t="str">
        <f>"C72201811145075"</f>
        <v>C72201811145075</v>
      </c>
      <c r="F3010" t="str">
        <f>"0012797601C20130529B"</f>
        <v>0012797601C20130529B</v>
      </c>
      <c r="G3010" s="2">
        <v>241.85</v>
      </c>
      <c r="H3010" t="str">
        <f>"0012797601C20130529B"</f>
        <v>0012797601C20130529B</v>
      </c>
    </row>
    <row r="3011" spans="1:8" x14ac:dyDescent="0.25">
      <c r="E3011" t="str">
        <f>"C73201811145075"</f>
        <v>C73201811145075</v>
      </c>
      <c r="F3011" t="str">
        <f>"0013081098D1AG170012"</f>
        <v>0013081098D1AG170012</v>
      </c>
      <c r="G3011" s="2">
        <v>411.69</v>
      </c>
      <c r="H3011" t="str">
        <f>"0013081098D1AG170012"</f>
        <v>0013081098D1AG170012</v>
      </c>
    </row>
    <row r="3012" spans="1:8" x14ac:dyDescent="0.25">
      <c r="A3012" t="s">
        <v>569</v>
      </c>
      <c r="B3012">
        <v>0</v>
      </c>
      <c r="C3012" s="3">
        <v>4264.63</v>
      </c>
      <c r="D3012" s="1">
        <v>43434</v>
      </c>
      <c r="E3012" t="str">
        <f>"C18201811285301"</f>
        <v>C18201811285301</v>
      </c>
      <c r="F3012" t="str">
        <f>"CAUSE# 0011635329"</f>
        <v>CAUSE# 0011635329</v>
      </c>
      <c r="G3012" s="2">
        <v>603.23</v>
      </c>
      <c r="H3012" t="str">
        <f>"CAUSE# 0011635329"</f>
        <v>CAUSE# 0011635329</v>
      </c>
    </row>
    <row r="3013" spans="1:8" x14ac:dyDescent="0.25">
      <c r="E3013" t="str">
        <f>"C2 201811285301"</f>
        <v>C2 201811285301</v>
      </c>
      <c r="F3013" t="str">
        <f>"0012982132CCL7445"</f>
        <v>0012982132CCL7445</v>
      </c>
      <c r="G3013" s="2">
        <v>692.31</v>
      </c>
      <c r="H3013" t="str">
        <f>"0012982132CCL7445"</f>
        <v>0012982132CCL7445</v>
      </c>
    </row>
    <row r="3014" spans="1:8" x14ac:dyDescent="0.25">
      <c r="E3014" t="str">
        <f>"C20201811275300"</f>
        <v>C20201811275300</v>
      </c>
      <c r="F3014" t="str">
        <f>"001003981107-12252"</f>
        <v>001003981107-12252</v>
      </c>
      <c r="G3014" s="2">
        <v>115.39</v>
      </c>
      <c r="H3014" t="str">
        <f>"001003981107-12252"</f>
        <v>001003981107-12252</v>
      </c>
    </row>
    <row r="3015" spans="1:8" x14ac:dyDescent="0.25">
      <c r="E3015" t="str">
        <f>"C42201811275300"</f>
        <v>C42201811275300</v>
      </c>
      <c r="F3015" t="str">
        <f>"001236769211-14410"</f>
        <v>001236769211-14410</v>
      </c>
      <c r="G3015" s="2">
        <v>230.31</v>
      </c>
      <c r="H3015" t="str">
        <f>"001236769211-14410"</f>
        <v>001236769211-14410</v>
      </c>
    </row>
    <row r="3016" spans="1:8" x14ac:dyDescent="0.25">
      <c r="E3016" t="str">
        <f>"C46201811275300"</f>
        <v>C46201811275300</v>
      </c>
      <c r="F3016" t="str">
        <f>"CAUSE# 11-14911"</f>
        <v>CAUSE# 11-14911</v>
      </c>
      <c r="G3016" s="2">
        <v>238.62</v>
      </c>
      <c r="H3016" t="str">
        <f>"CAUSE# 11-14911"</f>
        <v>CAUSE# 11-14911</v>
      </c>
    </row>
    <row r="3017" spans="1:8" x14ac:dyDescent="0.25">
      <c r="E3017" t="str">
        <f>"C53201811275300"</f>
        <v>C53201811275300</v>
      </c>
      <c r="F3017" t="str">
        <f>"0012453366"</f>
        <v>0012453366</v>
      </c>
      <c r="G3017" s="2">
        <v>138.46</v>
      </c>
      <c r="H3017" t="str">
        <f>"0012453366"</f>
        <v>0012453366</v>
      </c>
    </row>
    <row r="3018" spans="1:8" x14ac:dyDescent="0.25">
      <c r="E3018" t="str">
        <f>"C60201811275300"</f>
        <v>C60201811275300</v>
      </c>
      <c r="F3018" t="str">
        <f>"00130730762012V300"</f>
        <v>00130730762012V300</v>
      </c>
      <c r="G3018" s="2">
        <v>399.32</v>
      </c>
      <c r="H3018" t="str">
        <f>"00130730762012V300"</f>
        <v>00130730762012V300</v>
      </c>
    </row>
    <row r="3019" spans="1:8" x14ac:dyDescent="0.25">
      <c r="E3019" t="str">
        <f>"C62201811275300"</f>
        <v>C62201811275300</v>
      </c>
      <c r="F3019" t="str">
        <f>"# 0012128865"</f>
        <v># 0012128865</v>
      </c>
      <c r="G3019" s="2">
        <v>243.23</v>
      </c>
      <c r="H3019" t="str">
        <f>"# 0012128865"</f>
        <v># 0012128865</v>
      </c>
    </row>
    <row r="3020" spans="1:8" x14ac:dyDescent="0.25">
      <c r="E3020" t="str">
        <f>"C66201811275300"</f>
        <v>C66201811275300</v>
      </c>
      <c r="F3020" t="str">
        <f>"# 0012871801"</f>
        <v># 0012871801</v>
      </c>
      <c r="G3020" s="2">
        <v>90</v>
      </c>
      <c r="H3020" t="str">
        <f>"# 0012871801"</f>
        <v># 0012871801</v>
      </c>
    </row>
    <row r="3021" spans="1:8" x14ac:dyDescent="0.25">
      <c r="E3021" t="str">
        <f>"C66201811285302"</f>
        <v>C66201811285302</v>
      </c>
      <c r="F3021" t="str">
        <f>"CAUSE#D1FM13007058"</f>
        <v>CAUSE#D1FM13007058</v>
      </c>
      <c r="G3021" s="2">
        <v>138.46</v>
      </c>
      <c r="H3021" t="str">
        <f>"CAUSE#D1FM13007058"</f>
        <v>CAUSE#D1FM13007058</v>
      </c>
    </row>
    <row r="3022" spans="1:8" x14ac:dyDescent="0.25">
      <c r="E3022" t="str">
        <f>"C69201811275300"</f>
        <v>C69201811275300</v>
      </c>
      <c r="F3022" t="str">
        <f>"0012046911423672"</f>
        <v>0012046911423672</v>
      </c>
      <c r="G3022" s="2">
        <v>187.38</v>
      </c>
      <c r="H3022" t="str">
        <f>"0012046911423672"</f>
        <v>0012046911423672</v>
      </c>
    </row>
    <row r="3023" spans="1:8" x14ac:dyDescent="0.25">
      <c r="E3023" t="str">
        <f>"C70201811275300"</f>
        <v>C70201811275300</v>
      </c>
      <c r="F3023" t="str">
        <f>"00136881334235026"</f>
        <v>00136881334235026</v>
      </c>
      <c r="G3023" s="2">
        <v>257.45999999999998</v>
      </c>
      <c r="H3023" t="str">
        <f>"00136881334235026"</f>
        <v>00136881334235026</v>
      </c>
    </row>
    <row r="3024" spans="1:8" x14ac:dyDescent="0.25">
      <c r="E3024" t="str">
        <f>"C71201811275300"</f>
        <v>C71201811275300</v>
      </c>
      <c r="F3024" t="str">
        <f>"00137390532018V215"</f>
        <v>00137390532018V215</v>
      </c>
      <c r="G3024" s="2">
        <v>276.92</v>
      </c>
      <c r="H3024" t="str">
        <f>"00137390532018V215"</f>
        <v>00137390532018V215</v>
      </c>
    </row>
    <row r="3025" spans="1:8" x14ac:dyDescent="0.25">
      <c r="E3025" t="str">
        <f>"C72201811275300"</f>
        <v>C72201811275300</v>
      </c>
      <c r="F3025" t="str">
        <f>"0012797601C20130529B"</f>
        <v>0012797601C20130529B</v>
      </c>
      <c r="G3025" s="2">
        <v>241.85</v>
      </c>
      <c r="H3025" t="str">
        <f>"0012797601C20130529B"</f>
        <v>0012797601C20130529B</v>
      </c>
    </row>
    <row r="3026" spans="1:8" x14ac:dyDescent="0.25">
      <c r="E3026" t="str">
        <f>"C73201811275300"</f>
        <v>C73201811275300</v>
      </c>
      <c r="F3026" t="str">
        <f>"0013081098D1AG170012"</f>
        <v>0013081098D1AG170012</v>
      </c>
      <c r="G3026" s="2">
        <v>411.69</v>
      </c>
      <c r="H3026" t="str">
        <f>"0013081098D1AG170012"</f>
        <v>0013081098D1AG170012</v>
      </c>
    </row>
    <row r="3027" spans="1:8" x14ac:dyDescent="0.25">
      <c r="A3027" t="s">
        <v>570</v>
      </c>
      <c r="B3027">
        <v>0</v>
      </c>
      <c r="C3027" s="3">
        <v>549922.47</v>
      </c>
      <c r="D3027" s="1">
        <v>43434</v>
      </c>
      <c r="E3027" t="str">
        <f>"RET201811024807"</f>
        <v>RET201811024807</v>
      </c>
      <c r="F3027" t="str">
        <f>"TEXAS COUNTY &amp; DISTRICT RET"</f>
        <v>TEXAS COUNTY &amp; DISTRICT RET</v>
      </c>
      <c r="G3027" s="2">
        <v>-5.24</v>
      </c>
      <c r="H3027" t="str">
        <f t="shared" ref="H3027:H3058" si="62">"TEXAS COUNTY &amp; DISTRICT RET"</f>
        <v>TEXAS COUNTY &amp; DISTRICT RET</v>
      </c>
    </row>
    <row r="3028" spans="1:8" x14ac:dyDescent="0.25">
      <c r="E3028" t="str">
        <f>""</f>
        <v/>
      </c>
      <c r="F3028" t="str">
        <f>""</f>
        <v/>
      </c>
      <c r="H3028" t="str">
        <f t="shared" si="62"/>
        <v>TEXAS COUNTY &amp; DISTRICT RET</v>
      </c>
    </row>
    <row r="3029" spans="1:8" x14ac:dyDescent="0.25">
      <c r="E3029" t="str">
        <f>"RET201810314759"</f>
        <v>RET201810314759</v>
      </c>
      <c r="F3029" t="str">
        <f>"TEXAS COUNTY &amp; DISTRICT RET"</f>
        <v>TEXAS COUNTY &amp; DISTRICT RET</v>
      </c>
      <c r="G3029" s="2">
        <v>157670.26</v>
      </c>
      <c r="H3029" t="str">
        <f t="shared" si="62"/>
        <v>TEXAS COUNTY &amp; DISTRICT RET</v>
      </c>
    </row>
    <row r="3030" spans="1:8" x14ac:dyDescent="0.25">
      <c r="E3030" t="str">
        <f>""</f>
        <v/>
      </c>
      <c r="F3030" t="str">
        <f>""</f>
        <v/>
      </c>
      <c r="H3030" t="str">
        <f t="shared" si="62"/>
        <v>TEXAS COUNTY &amp; DISTRICT RET</v>
      </c>
    </row>
    <row r="3031" spans="1:8" x14ac:dyDescent="0.25">
      <c r="E3031" t="str">
        <f>""</f>
        <v/>
      </c>
      <c r="F3031" t="str">
        <f>""</f>
        <v/>
      </c>
      <c r="H3031" t="str">
        <f t="shared" si="62"/>
        <v>TEXAS COUNTY &amp; DISTRICT RET</v>
      </c>
    </row>
    <row r="3032" spans="1:8" x14ac:dyDescent="0.25">
      <c r="E3032" t="str">
        <f>""</f>
        <v/>
      </c>
      <c r="F3032" t="str">
        <f>""</f>
        <v/>
      </c>
      <c r="H3032" t="str">
        <f t="shared" si="62"/>
        <v>TEXAS COUNTY &amp; DISTRICT RET</v>
      </c>
    </row>
    <row r="3033" spans="1:8" x14ac:dyDescent="0.25">
      <c r="E3033" t="str">
        <f>""</f>
        <v/>
      </c>
      <c r="F3033" t="str">
        <f>""</f>
        <v/>
      </c>
      <c r="H3033" t="str">
        <f t="shared" si="62"/>
        <v>TEXAS COUNTY &amp; DISTRICT RET</v>
      </c>
    </row>
    <row r="3034" spans="1:8" x14ac:dyDescent="0.25">
      <c r="E3034" t="str">
        <f>""</f>
        <v/>
      </c>
      <c r="F3034" t="str">
        <f>""</f>
        <v/>
      </c>
      <c r="H3034" t="str">
        <f t="shared" si="62"/>
        <v>TEXAS COUNTY &amp; DISTRICT RET</v>
      </c>
    </row>
    <row r="3035" spans="1:8" x14ac:dyDescent="0.25">
      <c r="E3035" t="str">
        <f>""</f>
        <v/>
      </c>
      <c r="F3035" t="str">
        <f>""</f>
        <v/>
      </c>
      <c r="H3035" t="str">
        <f t="shared" si="62"/>
        <v>TEXAS COUNTY &amp; DISTRICT RET</v>
      </c>
    </row>
    <row r="3036" spans="1:8" x14ac:dyDescent="0.25">
      <c r="E3036" t="str">
        <f>""</f>
        <v/>
      </c>
      <c r="F3036" t="str">
        <f>""</f>
        <v/>
      </c>
      <c r="H3036" t="str">
        <f t="shared" si="62"/>
        <v>TEXAS COUNTY &amp; DISTRICT RET</v>
      </c>
    </row>
    <row r="3037" spans="1:8" x14ac:dyDescent="0.25">
      <c r="E3037" t="str">
        <f>""</f>
        <v/>
      </c>
      <c r="F3037" t="str">
        <f>""</f>
        <v/>
      </c>
      <c r="H3037" t="str">
        <f t="shared" si="62"/>
        <v>TEXAS COUNTY &amp; DISTRICT RET</v>
      </c>
    </row>
    <row r="3038" spans="1:8" x14ac:dyDescent="0.25">
      <c r="E3038" t="str">
        <f>""</f>
        <v/>
      </c>
      <c r="F3038" t="str">
        <f>""</f>
        <v/>
      </c>
      <c r="H3038" t="str">
        <f t="shared" si="62"/>
        <v>TEXAS COUNTY &amp; DISTRICT RET</v>
      </c>
    </row>
    <row r="3039" spans="1:8" x14ac:dyDescent="0.25">
      <c r="E3039" t="str">
        <f>""</f>
        <v/>
      </c>
      <c r="F3039" t="str">
        <f>""</f>
        <v/>
      </c>
      <c r="H3039" t="str">
        <f t="shared" si="62"/>
        <v>TEXAS COUNTY &amp; DISTRICT RET</v>
      </c>
    </row>
    <row r="3040" spans="1:8" x14ac:dyDescent="0.25">
      <c r="E3040" t="str">
        <f>""</f>
        <v/>
      </c>
      <c r="F3040" t="str">
        <f>""</f>
        <v/>
      </c>
      <c r="H3040" t="str">
        <f t="shared" si="62"/>
        <v>TEXAS COUNTY &amp; DISTRICT RET</v>
      </c>
    </row>
    <row r="3041" spans="5:8" x14ac:dyDescent="0.25">
      <c r="E3041" t="str">
        <f>""</f>
        <v/>
      </c>
      <c r="F3041" t="str">
        <f>""</f>
        <v/>
      </c>
      <c r="H3041" t="str">
        <f t="shared" si="62"/>
        <v>TEXAS COUNTY &amp; DISTRICT RET</v>
      </c>
    </row>
    <row r="3042" spans="5:8" x14ac:dyDescent="0.25">
      <c r="E3042" t="str">
        <f>""</f>
        <v/>
      </c>
      <c r="F3042" t="str">
        <f>""</f>
        <v/>
      </c>
      <c r="H3042" t="str">
        <f t="shared" si="62"/>
        <v>TEXAS COUNTY &amp; DISTRICT RET</v>
      </c>
    </row>
    <row r="3043" spans="5:8" x14ac:dyDescent="0.25">
      <c r="E3043" t="str">
        <f>""</f>
        <v/>
      </c>
      <c r="F3043" t="str">
        <f>""</f>
        <v/>
      </c>
      <c r="H3043" t="str">
        <f t="shared" si="62"/>
        <v>TEXAS COUNTY &amp; DISTRICT RET</v>
      </c>
    </row>
    <row r="3044" spans="5:8" x14ac:dyDescent="0.25">
      <c r="E3044" t="str">
        <f>""</f>
        <v/>
      </c>
      <c r="F3044" t="str">
        <f>""</f>
        <v/>
      </c>
      <c r="H3044" t="str">
        <f t="shared" si="62"/>
        <v>TEXAS COUNTY &amp; DISTRICT RET</v>
      </c>
    </row>
    <row r="3045" spans="5:8" x14ac:dyDescent="0.25">
      <c r="E3045" t="str">
        <f>""</f>
        <v/>
      </c>
      <c r="F3045" t="str">
        <f>""</f>
        <v/>
      </c>
      <c r="H3045" t="str">
        <f t="shared" si="62"/>
        <v>TEXAS COUNTY &amp; DISTRICT RET</v>
      </c>
    </row>
    <row r="3046" spans="5:8" x14ac:dyDescent="0.25">
      <c r="E3046" t="str">
        <f>""</f>
        <v/>
      </c>
      <c r="F3046" t="str">
        <f>""</f>
        <v/>
      </c>
      <c r="H3046" t="str">
        <f t="shared" si="62"/>
        <v>TEXAS COUNTY &amp; DISTRICT RET</v>
      </c>
    </row>
    <row r="3047" spans="5:8" x14ac:dyDescent="0.25">
      <c r="E3047" t="str">
        <f>""</f>
        <v/>
      </c>
      <c r="F3047" t="str">
        <f>""</f>
        <v/>
      </c>
      <c r="H3047" t="str">
        <f t="shared" si="62"/>
        <v>TEXAS COUNTY &amp; DISTRICT RET</v>
      </c>
    </row>
    <row r="3048" spans="5:8" x14ac:dyDescent="0.25">
      <c r="E3048" t="str">
        <f>""</f>
        <v/>
      </c>
      <c r="F3048" t="str">
        <f>""</f>
        <v/>
      </c>
      <c r="H3048" t="str">
        <f t="shared" si="62"/>
        <v>TEXAS COUNTY &amp; DISTRICT RET</v>
      </c>
    </row>
    <row r="3049" spans="5:8" x14ac:dyDescent="0.25">
      <c r="E3049" t="str">
        <f>""</f>
        <v/>
      </c>
      <c r="F3049" t="str">
        <f>""</f>
        <v/>
      </c>
      <c r="H3049" t="str">
        <f t="shared" si="62"/>
        <v>TEXAS COUNTY &amp; DISTRICT RET</v>
      </c>
    </row>
    <row r="3050" spans="5:8" x14ac:dyDescent="0.25">
      <c r="E3050" t="str">
        <f>""</f>
        <v/>
      </c>
      <c r="F3050" t="str">
        <f>""</f>
        <v/>
      </c>
      <c r="H3050" t="str">
        <f t="shared" si="62"/>
        <v>TEXAS COUNTY &amp; DISTRICT RET</v>
      </c>
    </row>
    <row r="3051" spans="5:8" x14ac:dyDescent="0.25">
      <c r="E3051" t="str">
        <f>""</f>
        <v/>
      </c>
      <c r="F3051" t="str">
        <f>""</f>
        <v/>
      </c>
      <c r="H3051" t="str">
        <f t="shared" si="62"/>
        <v>TEXAS COUNTY &amp; DISTRICT RET</v>
      </c>
    </row>
    <row r="3052" spans="5:8" x14ac:dyDescent="0.25">
      <c r="E3052" t="str">
        <f>""</f>
        <v/>
      </c>
      <c r="F3052" t="str">
        <f>""</f>
        <v/>
      </c>
      <c r="H3052" t="str">
        <f t="shared" si="62"/>
        <v>TEXAS COUNTY &amp; DISTRICT RET</v>
      </c>
    </row>
    <row r="3053" spans="5:8" x14ac:dyDescent="0.25">
      <c r="E3053" t="str">
        <f>""</f>
        <v/>
      </c>
      <c r="F3053" t="str">
        <f>""</f>
        <v/>
      </c>
      <c r="H3053" t="str">
        <f t="shared" si="62"/>
        <v>TEXAS COUNTY &amp; DISTRICT RET</v>
      </c>
    </row>
    <row r="3054" spans="5:8" x14ac:dyDescent="0.25">
      <c r="E3054" t="str">
        <f>""</f>
        <v/>
      </c>
      <c r="F3054" t="str">
        <f>""</f>
        <v/>
      </c>
      <c r="H3054" t="str">
        <f t="shared" si="62"/>
        <v>TEXAS COUNTY &amp; DISTRICT RET</v>
      </c>
    </row>
    <row r="3055" spans="5:8" x14ac:dyDescent="0.25">
      <c r="E3055" t="str">
        <f>""</f>
        <v/>
      </c>
      <c r="F3055" t="str">
        <f>""</f>
        <v/>
      </c>
      <c r="H3055" t="str">
        <f t="shared" si="62"/>
        <v>TEXAS COUNTY &amp; DISTRICT RET</v>
      </c>
    </row>
    <row r="3056" spans="5:8" x14ac:dyDescent="0.25">
      <c r="E3056" t="str">
        <f>""</f>
        <v/>
      </c>
      <c r="F3056" t="str">
        <f>""</f>
        <v/>
      </c>
      <c r="H3056" t="str">
        <f t="shared" si="62"/>
        <v>TEXAS COUNTY &amp; DISTRICT RET</v>
      </c>
    </row>
    <row r="3057" spans="5:8" x14ac:dyDescent="0.25">
      <c r="E3057" t="str">
        <f>""</f>
        <v/>
      </c>
      <c r="F3057" t="str">
        <f>""</f>
        <v/>
      </c>
      <c r="H3057" t="str">
        <f t="shared" si="62"/>
        <v>TEXAS COUNTY &amp; DISTRICT RET</v>
      </c>
    </row>
    <row r="3058" spans="5:8" x14ac:dyDescent="0.25">
      <c r="E3058" t="str">
        <f>""</f>
        <v/>
      </c>
      <c r="F3058" t="str">
        <f>""</f>
        <v/>
      </c>
      <c r="H3058" t="str">
        <f t="shared" si="62"/>
        <v>TEXAS COUNTY &amp; DISTRICT RET</v>
      </c>
    </row>
    <row r="3059" spans="5:8" x14ac:dyDescent="0.25">
      <c r="E3059" t="str">
        <f>""</f>
        <v/>
      </c>
      <c r="F3059" t="str">
        <f>""</f>
        <v/>
      </c>
      <c r="H3059" t="str">
        <f t="shared" ref="H3059:H3079" si="63">"TEXAS COUNTY &amp; DISTRICT RET"</f>
        <v>TEXAS COUNTY &amp; DISTRICT RET</v>
      </c>
    </row>
    <row r="3060" spans="5:8" x14ac:dyDescent="0.25">
      <c r="E3060" t="str">
        <f>""</f>
        <v/>
      </c>
      <c r="F3060" t="str">
        <f>""</f>
        <v/>
      </c>
      <c r="H3060" t="str">
        <f t="shared" si="63"/>
        <v>TEXAS COUNTY &amp; DISTRICT RET</v>
      </c>
    </row>
    <row r="3061" spans="5:8" x14ac:dyDescent="0.25">
      <c r="E3061" t="str">
        <f>""</f>
        <v/>
      </c>
      <c r="F3061" t="str">
        <f>""</f>
        <v/>
      </c>
      <c r="H3061" t="str">
        <f t="shared" si="63"/>
        <v>TEXAS COUNTY &amp; DISTRICT RET</v>
      </c>
    </row>
    <row r="3062" spans="5:8" x14ac:dyDescent="0.25">
      <c r="E3062" t="str">
        <f>""</f>
        <v/>
      </c>
      <c r="F3062" t="str">
        <f>""</f>
        <v/>
      </c>
      <c r="H3062" t="str">
        <f t="shared" si="63"/>
        <v>TEXAS COUNTY &amp; DISTRICT RET</v>
      </c>
    </row>
    <row r="3063" spans="5:8" x14ac:dyDescent="0.25">
      <c r="E3063" t="str">
        <f>""</f>
        <v/>
      </c>
      <c r="F3063" t="str">
        <f>""</f>
        <v/>
      </c>
      <c r="H3063" t="str">
        <f t="shared" si="63"/>
        <v>TEXAS COUNTY &amp; DISTRICT RET</v>
      </c>
    </row>
    <row r="3064" spans="5:8" x14ac:dyDescent="0.25">
      <c r="E3064" t="str">
        <f>""</f>
        <v/>
      </c>
      <c r="F3064" t="str">
        <f>""</f>
        <v/>
      </c>
      <c r="H3064" t="str">
        <f t="shared" si="63"/>
        <v>TEXAS COUNTY &amp; DISTRICT RET</v>
      </c>
    </row>
    <row r="3065" spans="5:8" x14ac:dyDescent="0.25">
      <c r="E3065" t="str">
        <f>""</f>
        <v/>
      </c>
      <c r="F3065" t="str">
        <f>""</f>
        <v/>
      </c>
      <c r="H3065" t="str">
        <f t="shared" si="63"/>
        <v>TEXAS COUNTY &amp; DISTRICT RET</v>
      </c>
    </row>
    <row r="3066" spans="5:8" x14ac:dyDescent="0.25">
      <c r="E3066" t="str">
        <f>""</f>
        <v/>
      </c>
      <c r="F3066" t="str">
        <f>""</f>
        <v/>
      </c>
      <c r="H3066" t="str">
        <f t="shared" si="63"/>
        <v>TEXAS COUNTY &amp; DISTRICT RET</v>
      </c>
    </row>
    <row r="3067" spans="5:8" x14ac:dyDescent="0.25">
      <c r="E3067" t="str">
        <f>""</f>
        <v/>
      </c>
      <c r="F3067" t="str">
        <f>""</f>
        <v/>
      </c>
      <c r="H3067" t="str">
        <f t="shared" si="63"/>
        <v>TEXAS COUNTY &amp; DISTRICT RET</v>
      </c>
    </row>
    <row r="3068" spans="5:8" x14ac:dyDescent="0.25">
      <c r="E3068" t="str">
        <f>""</f>
        <v/>
      </c>
      <c r="F3068" t="str">
        <f>""</f>
        <v/>
      </c>
      <c r="H3068" t="str">
        <f t="shared" si="63"/>
        <v>TEXAS COUNTY &amp; DISTRICT RET</v>
      </c>
    </row>
    <row r="3069" spans="5:8" x14ac:dyDescent="0.25">
      <c r="E3069" t="str">
        <f>""</f>
        <v/>
      </c>
      <c r="F3069" t="str">
        <f>""</f>
        <v/>
      </c>
      <c r="H3069" t="str">
        <f t="shared" si="63"/>
        <v>TEXAS COUNTY &amp; DISTRICT RET</v>
      </c>
    </row>
    <row r="3070" spans="5:8" x14ac:dyDescent="0.25">
      <c r="E3070" t="str">
        <f>""</f>
        <v/>
      </c>
      <c r="F3070" t="str">
        <f>""</f>
        <v/>
      </c>
      <c r="H3070" t="str">
        <f t="shared" si="63"/>
        <v>TEXAS COUNTY &amp; DISTRICT RET</v>
      </c>
    </row>
    <row r="3071" spans="5:8" x14ac:dyDescent="0.25">
      <c r="E3071" t="str">
        <f>""</f>
        <v/>
      </c>
      <c r="F3071" t="str">
        <f>""</f>
        <v/>
      </c>
      <c r="H3071" t="str">
        <f t="shared" si="63"/>
        <v>TEXAS COUNTY &amp; DISTRICT RET</v>
      </c>
    </row>
    <row r="3072" spans="5:8" x14ac:dyDescent="0.25">
      <c r="E3072" t="str">
        <f>""</f>
        <v/>
      </c>
      <c r="F3072" t="str">
        <f>""</f>
        <v/>
      </c>
      <c r="H3072" t="str">
        <f t="shared" si="63"/>
        <v>TEXAS COUNTY &amp; DISTRICT RET</v>
      </c>
    </row>
    <row r="3073" spans="5:8" x14ac:dyDescent="0.25">
      <c r="E3073" t="str">
        <f>""</f>
        <v/>
      </c>
      <c r="F3073" t="str">
        <f>""</f>
        <v/>
      </c>
      <c r="H3073" t="str">
        <f t="shared" si="63"/>
        <v>TEXAS COUNTY &amp; DISTRICT RET</v>
      </c>
    </row>
    <row r="3074" spans="5:8" x14ac:dyDescent="0.25">
      <c r="E3074" t="str">
        <f>""</f>
        <v/>
      </c>
      <c r="F3074" t="str">
        <f>""</f>
        <v/>
      </c>
      <c r="H3074" t="str">
        <f t="shared" si="63"/>
        <v>TEXAS COUNTY &amp; DISTRICT RET</v>
      </c>
    </row>
    <row r="3075" spans="5:8" x14ac:dyDescent="0.25">
      <c r="E3075" t="str">
        <f>""</f>
        <v/>
      </c>
      <c r="F3075" t="str">
        <f>""</f>
        <v/>
      </c>
      <c r="H3075" t="str">
        <f t="shared" si="63"/>
        <v>TEXAS COUNTY &amp; DISTRICT RET</v>
      </c>
    </row>
    <row r="3076" spans="5:8" x14ac:dyDescent="0.25">
      <c r="E3076" t="str">
        <f>""</f>
        <v/>
      </c>
      <c r="F3076" t="str">
        <f>""</f>
        <v/>
      </c>
      <c r="H3076" t="str">
        <f t="shared" si="63"/>
        <v>TEXAS COUNTY &amp; DISTRICT RET</v>
      </c>
    </row>
    <row r="3077" spans="5:8" x14ac:dyDescent="0.25">
      <c r="E3077" t="str">
        <f>""</f>
        <v/>
      </c>
      <c r="F3077" t="str">
        <f>""</f>
        <v/>
      </c>
      <c r="H3077" t="str">
        <f t="shared" si="63"/>
        <v>TEXAS COUNTY &amp; DISTRICT RET</v>
      </c>
    </row>
    <row r="3078" spans="5:8" x14ac:dyDescent="0.25">
      <c r="E3078" t="str">
        <f>""</f>
        <v/>
      </c>
      <c r="F3078" t="str">
        <f>""</f>
        <v/>
      </c>
      <c r="H3078" t="str">
        <f t="shared" si="63"/>
        <v>TEXAS COUNTY &amp; DISTRICT RET</v>
      </c>
    </row>
    <row r="3079" spans="5:8" x14ac:dyDescent="0.25">
      <c r="E3079" t="str">
        <f>""</f>
        <v/>
      </c>
      <c r="F3079" t="str">
        <f>""</f>
        <v/>
      </c>
      <c r="H3079" t="str">
        <f t="shared" si="63"/>
        <v>TEXAS COUNTY &amp; DISTRICT RET</v>
      </c>
    </row>
    <row r="3080" spans="5:8" x14ac:dyDescent="0.25">
      <c r="E3080" t="str">
        <f>"RET201810314760"</f>
        <v>RET201810314760</v>
      </c>
      <c r="F3080" t="str">
        <f>"TEXAS COUNTY  DISTRICT RET"</f>
        <v>TEXAS COUNTY  DISTRICT RET</v>
      </c>
      <c r="G3080" s="2">
        <v>6439.61</v>
      </c>
      <c r="H3080" t="str">
        <f>"TEXAS COUNTY  DISTRICT RET"</f>
        <v>TEXAS COUNTY  DISTRICT RET</v>
      </c>
    </row>
    <row r="3081" spans="5:8" x14ac:dyDescent="0.25">
      <c r="E3081" t="str">
        <f>""</f>
        <v/>
      </c>
      <c r="F3081" t="str">
        <f>""</f>
        <v/>
      </c>
      <c r="H3081" t="str">
        <f>"TEXAS COUNTY  DISTRICT RET"</f>
        <v>TEXAS COUNTY  DISTRICT RET</v>
      </c>
    </row>
    <row r="3082" spans="5:8" x14ac:dyDescent="0.25">
      <c r="E3082" t="str">
        <f>"RET201810314761"</f>
        <v>RET201810314761</v>
      </c>
      <c r="F3082" t="str">
        <f>"TEXAS COUNTY &amp; DISTRICT RET"</f>
        <v>TEXAS COUNTY &amp; DISTRICT RET</v>
      </c>
      <c r="G3082" s="2">
        <v>7566.23</v>
      </c>
      <c r="H3082" t="str">
        <f t="shared" ref="H3082:H3113" si="64">"TEXAS COUNTY &amp; DISTRICT RET"</f>
        <v>TEXAS COUNTY &amp; DISTRICT RET</v>
      </c>
    </row>
    <row r="3083" spans="5:8" x14ac:dyDescent="0.25">
      <c r="E3083" t="str">
        <f>""</f>
        <v/>
      </c>
      <c r="F3083" t="str">
        <f>""</f>
        <v/>
      </c>
      <c r="H3083" t="str">
        <f t="shared" si="64"/>
        <v>TEXAS COUNTY &amp; DISTRICT RET</v>
      </c>
    </row>
    <row r="3084" spans="5:8" x14ac:dyDescent="0.25">
      <c r="E3084" t="str">
        <f>"RET201811014776"</f>
        <v>RET201811014776</v>
      </c>
      <c r="F3084" t="str">
        <f>"TEXAS COUNTY &amp; DISTRICT RET"</f>
        <v>TEXAS COUNTY &amp; DISTRICT RET</v>
      </c>
      <c r="G3084" s="2">
        <v>14.36</v>
      </c>
      <c r="H3084" t="str">
        <f t="shared" si="64"/>
        <v>TEXAS COUNTY &amp; DISTRICT RET</v>
      </c>
    </row>
    <row r="3085" spans="5:8" x14ac:dyDescent="0.25">
      <c r="E3085" t="str">
        <f>""</f>
        <v/>
      </c>
      <c r="F3085" t="str">
        <f>""</f>
        <v/>
      </c>
      <c r="H3085" t="str">
        <f t="shared" si="64"/>
        <v>TEXAS COUNTY &amp; DISTRICT RET</v>
      </c>
    </row>
    <row r="3086" spans="5:8" x14ac:dyDescent="0.25">
      <c r="E3086" t="str">
        <f>"RET201811145075"</f>
        <v>RET201811145075</v>
      </c>
      <c r="F3086" t="str">
        <f>"TEXAS COUNTY &amp; DISTRICT RET"</f>
        <v>TEXAS COUNTY &amp; DISTRICT RET</v>
      </c>
      <c r="G3086" s="2">
        <v>151046.04</v>
      </c>
      <c r="H3086" t="str">
        <f t="shared" si="64"/>
        <v>TEXAS COUNTY &amp; DISTRICT RET</v>
      </c>
    </row>
    <row r="3087" spans="5:8" x14ac:dyDescent="0.25">
      <c r="E3087" t="str">
        <f>""</f>
        <v/>
      </c>
      <c r="F3087" t="str">
        <f>""</f>
        <v/>
      </c>
      <c r="H3087" t="str">
        <f t="shared" si="64"/>
        <v>TEXAS COUNTY &amp; DISTRICT RET</v>
      </c>
    </row>
    <row r="3088" spans="5:8" x14ac:dyDescent="0.25">
      <c r="E3088" t="str">
        <f>""</f>
        <v/>
      </c>
      <c r="F3088" t="str">
        <f>""</f>
        <v/>
      </c>
      <c r="H3088" t="str">
        <f t="shared" si="64"/>
        <v>TEXAS COUNTY &amp; DISTRICT RET</v>
      </c>
    </row>
    <row r="3089" spans="5:8" x14ac:dyDescent="0.25">
      <c r="E3089" t="str">
        <f>""</f>
        <v/>
      </c>
      <c r="F3089" t="str">
        <f>""</f>
        <v/>
      </c>
      <c r="H3089" t="str">
        <f t="shared" si="64"/>
        <v>TEXAS COUNTY &amp; DISTRICT RET</v>
      </c>
    </row>
    <row r="3090" spans="5:8" x14ac:dyDescent="0.25">
      <c r="E3090" t="str">
        <f>""</f>
        <v/>
      </c>
      <c r="F3090" t="str">
        <f>""</f>
        <v/>
      </c>
      <c r="H3090" t="str">
        <f t="shared" si="64"/>
        <v>TEXAS COUNTY &amp; DISTRICT RET</v>
      </c>
    </row>
    <row r="3091" spans="5:8" x14ac:dyDescent="0.25">
      <c r="E3091" t="str">
        <f>""</f>
        <v/>
      </c>
      <c r="F3091" t="str">
        <f>""</f>
        <v/>
      </c>
      <c r="H3091" t="str">
        <f t="shared" si="64"/>
        <v>TEXAS COUNTY &amp; DISTRICT RET</v>
      </c>
    </row>
    <row r="3092" spans="5:8" x14ac:dyDescent="0.25">
      <c r="E3092" t="str">
        <f>""</f>
        <v/>
      </c>
      <c r="F3092" t="str">
        <f>""</f>
        <v/>
      </c>
      <c r="H3092" t="str">
        <f t="shared" si="64"/>
        <v>TEXAS COUNTY &amp; DISTRICT RET</v>
      </c>
    </row>
    <row r="3093" spans="5:8" x14ac:dyDescent="0.25">
      <c r="E3093" t="str">
        <f>""</f>
        <v/>
      </c>
      <c r="F3093" t="str">
        <f>""</f>
        <v/>
      </c>
      <c r="H3093" t="str">
        <f t="shared" si="64"/>
        <v>TEXAS COUNTY &amp; DISTRICT RET</v>
      </c>
    </row>
    <row r="3094" spans="5:8" x14ac:dyDescent="0.25">
      <c r="E3094" t="str">
        <f>""</f>
        <v/>
      </c>
      <c r="F3094" t="str">
        <f>""</f>
        <v/>
      </c>
      <c r="H3094" t="str">
        <f t="shared" si="64"/>
        <v>TEXAS COUNTY &amp; DISTRICT RET</v>
      </c>
    </row>
    <row r="3095" spans="5:8" x14ac:dyDescent="0.25">
      <c r="E3095" t="str">
        <f>""</f>
        <v/>
      </c>
      <c r="F3095" t="str">
        <f>""</f>
        <v/>
      </c>
      <c r="H3095" t="str">
        <f t="shared" si="64"/>
        <v>TEXAS COUNTY &amp; DISTRICT RET</v>
      </c>
    </row>
    <row r="3096" spans="5:8" x14ac:dyDescent="0.25">
      <c r="E3096" t="str">
        <f>""</f>
        <v/>
      </c>
      <c r="F3096" t="str">
        <f>""</f>
        <v/>
      </c>
      <c r="H3096" t="str">
        <f t="shared" si="64"/>
        <v>TEXAS COUNTY &amp; DISTRICT RET</v>
      </c>
    </row>
    <row r="3097" spans="5:8" x14ac:dyDescent="0.25">
      <c r="E3097" t="str">
        <f>""</f>
        <v/>
      </c>
      <c r="F3097" t="str">
        <f>""</f>
        <v/>
      </c>
      <c r="H3097" t="str">
        <f t="shared" si="64"/>
        <v>TEXAS COUNTY &amp; DISTRICT RET</v>
      </c>
    </row>
    <row r="3098" spans="5:8" x14ac:dyDescent="0.25">
      <c r="E3098" t="str">
        <f>""</f>
        <v/>
      </c>
      <c r="F3098" t="str">
        <f>""</f>
        <v/>
      </c>
      <c r="H3098" t="str">
        <f t="shared" si="64"/>
        <v>TEXAS COUNTY &amp; DISTRICT RET</v>
      </c>
    </row>
    <row r="3099" spans="5:8" x14ac:dyDescent="0.25">
      <c r="E3099" t="str">
        <f>""</f>
        <v/>
      </c>
      <c r="F3099" t="str">
        <f>""</f>
        <v/>
      </c>
      <c r="H3099" t="str">
        <f t="shared" si="64"/>
        <v>TEXAS COUNTY &amp; DISTRICT RET</v>
      </c>
    </row>
    <row r="3100" spans="5:8" x14ac:dyDescent="0.25">
      <c r="E3100" t="str">
        <f>""</f>
        <v/>
      </c>
      <c r="F3100" t="str">
        <f>""</f>
        <v/>
      </c>
      <c r="H3100" t="str">
        <f t="shared" si="64"/>
        <v>TEXAS COUNTY &amp; DISTRICT RET</v>
      </c>
    </row>
    <row r="3101" spans="5:8" x14ac:dyDescent="0.25">
      <c r="E3101" t="str">
        <f>""</f>
        <v/>
      </c>
      <c r="F3101" t="str">
        <f>""</f>
        <v/>
      </c>
      <c r="H3101" t="str">
        <f t="shared" si="64"/>
        <v>TEXAS COUNTY &amp; DISTRICT RET</v>
      </c>
    </row>
    <row r="3102" spans="5:8" x14ac:dyDescent="0.25">
      <c r="E3102" t="str">
        <f>""</f>
        <v/>
      </c>
      <c r="F3102" t="str">
        <f>""</f>
        <v/>
      </c>
      <c r="H3102" t="str">
        <f t="shared" si="64"/>
        <v>TEXAS COUNTY &amp; DISTRICT RET</v>
      </c>
    </row>
    <row r="3103" spans="5:8" x14ac:dyDescent="0.25">
      <c r="E3103" t="str">
        <f>""</f>
        <v/>
      </c>
      <c r="F3103" t="str">
        <f>""</f>
        <v/>
      </c>
      <c r="H3103" t="str">
        <f t="shared" si="64"/>
        <v>TEXAS COUNTY &amp; DISTRICT RET</v>
      </c>
    </row>
    <row r="3104" spans="5:8" x14ac:dyDescent="0.25">
      <c r="E3104" t="str">
        <f>""</f>
        <v/>
      </c>
      <c r="F3104" t="str">
        <f>""</f>
        <v/>
      </c>
      <c r="H3104" t="str">
        <f t="shared" si="64"/>
        <v>TEXAS COUNTY &amp; DISTRICT RET</v>
      </c>
    </row>
    <row r="3105" spans="5:8" x14ac:dyDescent="0.25">
      <c r="E3105" t="str">
        <f>""</f>
        <v/>
      </c>
      <c r="F3105" t="str">
        <f>""</f>
        <v/>
      </c>
      <c r="H3105" t="str">
        <f t="shared" si="64"/>
        <v>TEXAS COUNTY &amp; DISTRICT RET</v>
      </c>
    </row>
    <row r="3106" spans="5:8" x14ac:dyDescent="0.25">
      <c r="E3106" t="str">
        <f>""</f>
        <v/>
      </c>
      <c r="F3106" t="str">
        <f>""</f>
        <v/>
      </c>
      <c r="H3106" t="str">
        <f t="shared" si="64"/>
        <v>TEXAS COUNTY &amp; DISTRICT RET</v>
      </c>
    </row>
    <row r="3107" spans="5:8" x14ac:dyDescent="0.25">
      <c r="E3107" t="str">
        <f>""</f>
        <v/>
      </c>
      <c r="F3107" t="str">
        <f>""</f>
        <v/>
      </c>
      <c r="H3107" t="str">
        <f t="shared" si="64"/>
        <v>TEXAS COUNTY &amp; DISTRICT RET</v>
      </c>
    </row>
    <row r="3108" spans="5:8" x14ac:dyDescent="0.25">
      <c r="E3108" t="str">
        <f>""</f>
        <v/>
      </c>
      <c r="F3108" t="str">
        <f>""</f>
        <v/>
      </c>
      <c r="H3108" t="str">
        <f t="shared" si="64"/>
        <v>TEXAS COUNTY &amp; DISTRICT RET</v>
      </c>
    </row>
    <row r="3109" spans="5:8" x14ac:dyDescent="0.25">
      <c r="E3109" t="str">
        <f>""</f>
        <v/>
      </c>
      <c r="F3109" t="str">
        <f>""</f>
        <v/>
      </c>
      <c r="H3109" t="str">
        <f t="shared" si="64"/>
        <v>TEXAS COUNTY &amp; DISTRICT RET</v>
      </c>
    </row>
    <row r="3110" spans="5:8" x14ac:dyDescent="0.25">
      <c r="E3110" t="str">
        <f>""</f>
        <v/>
      </c>
      <c r="F3110" t="str">
        <f>""</f>
        <v/>
      </c>
      <c r="H3110" t="str">
        <f t="shared" si="64"/>
        <v>TEXAS COUNTY &amp; DISTRICT RET</v>
      </c>
    </row>
    <row r="3111" spans="5:8" x14ac:dyDescent="0.25">
      <c r="E3111" t="str">
        <f>""</f>
        <v/>
      </c>
      <c r="F3111" t="str">
        <f>""</f>
        <v/>
      </c>
      <c r="H3111" t="str">
        <f t="shared" si="64"/>
        <v>TEXAS COUNTY &amp; DISTRICT RET</v>
      </c>
    </row>
    <row r="3112" spans="5:8" x14ac:dyDescent="0.25">
      <c r="E3112" t="str">
        <f>""</f>
        <v/>
      </c>
      <c r="F3112" t="str">
        <f>""</f>
        <v/>
      </c>
      <c r="H3112" t="str">
        <f t="shared" si="64"/>
        <v>TEXAS COUNTY &amp; DISTRICT RET</v>
      </c>
    </row>
    <row r="3113" spans="5:8" x14ac:dyDescent="0.25">
      <c r="E3113" t="str">
        <f>""</f>
        <v/>
      </c>
      <c r="F3113" t="str">
        <f>""</f>
        <v/>
      </c>
      <c r="H3113" t="str">
        <f t="shared" si="64"/>
        <v>TEXAS COUNTY &amp; DISTRICT RET</v>
      </c>
    </row>
    <row r="3114" spans="5:8" x14ac:dyDescent="0.25">
      <c r="E3114" t="str">
        <f>""</f>
        <v/>
      </c>
      <c r="F3114" t="str">
        <f>""</f>
        <v/>
      </c>
      <c r="H3114" t="str">
        <f t="shared" ref="H3114:H3136" si="65">"TEXAS COUNTY &amp; DISTRICT RET"</f>
        <v>TEXAS COUNTY &amp; DISTRICT RET</v>
      </c>
    </row>
    <row r="3115" spans="5:8" x14ac:dyDescent="0.25">
      <c r="E3115" t="str">
        <f>""</f>
        <v/>
      </c>
      <c r="F3115" t="str">
        <f>""</f>
        <v/>
      </c>
      <c r="H3115" t="str">
        <f t="shared" si="65"/>
        <v>TEXAS COUNTY &amp; DISTRICT RET</v>
      </c>
    </row>
    <row r="3116" spans="5:8" x14ac:dyDescent="0.25">
      <c r="E3116" t="str">
        <f>""</f>
        <v/>
      </c>
      <c r="F3116" t="str">
        <f>""</f>
        <v/>
      </c>
      <c r="H3116" t="str">
        <f t="shared" si="65"/>
        <v>TEXAS COUNTY &amp; DISTRICT RET</v>
      </c>
    </row>
    <row r="3117" spans="5:8" x14ac:dyDescent="0.25">
      <c r="E3117" t="str">
        <f>""</f>
        <v/>
      </c>
      <c r="F3117" t="str">
        <f>""</f>
        <v/>
      </c>
      <c r="H3117" t="str">
        <f t="shared" si="65"/>
        <v>TEXAS COUNTY &amp; DISTRICT RET</v>
      </c>
    </row>
    <row r="3118" spans="5:8" x14ac:dyDescent="0.25">
      <c r="E3118" t="str">
        <f>""</f>
        <v/>
      </c>
      <c r="F3118" t="str">
        <f>""</f>
        <v/>
      </c>
      <c r="H3118" t="str">
        <f t="shared" si="65"/>
        <v>TEXAS COUNTY &amp; DISTRICT RET</v>
      </c>
    </row>
    <row r="3119" spans="5:8" x14ac:dyDescent="0.25">
      <c r="E3119" t="str">
        <f>""</f>
        <v/>
      </c>
      <c r="F3119" t="str">
        <f>""</f>
        <v/>
      </c>
      <c r="H3119" t="str">
        <f t="shared" si="65"/>
        <v>TEXAS COUNTY &amp; DISTRICT RET</v>
      </c>
    </row>
    <row r="3120" spans="5:8" x14ac:dyDescent="0.25">
      <c r="E3120" t="str">
        <f>""</f>
        <v/>
      </c>
      <c r="F3120" t="str">
        <f>""</f>
        <v/>
      </c>
      <c r="H3120" t="str">
        <f t="shared" si="65"/>
        <v>TEXAS COUNTY &amp; DISTRICT RET</v>
      </c>
    </row>
    <row r="3121" spans="5:8" x14ac:dyDescent="0.25">
      <c r="E3121" t="str">
        <f>""</f>
        <v/>
      </c>
      <c r="F3121" t="str">
        <f>""</f>
        <v/>
      </c>
      <c r="H3121" t="str">
        <f t="shared" si="65"/>
        <v>TEXAS COUNTY &amp; DISTRICT RET</v>
      </c>
    </row>
    <row r="3122" spans="5:8" x14ac:dyDescent="0.25">
      <c r="E3122" t="str">
        <f>""</f>
        <v/>
      </c>
      <c r="F3122" t="str">
        <f>""</f>
        <v/>
      </c>
      <c r="H3122" t="str">
        <f t="shared" si="65"/>
        <v>TEXAS COUNTY &amp; DISTRICT RET</v>
      </c>
    </row>
    <row r="3123" spans="5:8" x14ac:dyDescent="0.25">
      <c r="E3123" t="str">
        <f>""</f>
        <v/>
      </c>
      <c r="F3123" t="str">
        <f>""</f>
        <v/>
      </c>
      <c r="H3123" t="str">
        <f t="shared" si="65"/>
        <v>TEXAS COUNTY &amp; DISTRICT RET</v>
      </c>
    </row>
    <row r="3124" spans="5:8" x14ac:dyDescent="0.25">
      <c r="E3124" t="str">
        <f>""</f>
        <v/>
      </c>
      <c r="F3124" t="str">
        <f>""</f>
        <v/>
      </c>
      <c r="H3124" t="str">
        <f t="shared" si="65"/>
        <v>TEXAS COUNTY &amp; DISTRICT RET</v>
      </c>
    </row>
    <row r="3125" spans="5:8" x14ac:dyDescent="0.25">
      <c r="E3125" t="str">
        <f>""</f>
        <v/>
      </c>
      <c r="F3125" t="str">
        <f>""</f>
        <v/>
      </c>
      <c r="H3125" t="str">
        <f t="shared" si="65"/>
        <v>TEXAS COUNTY &amp; DISTRICT RET</v>
      </c>
    </row>
    <row r="3126" spans="5:8" x14ac:dyDescent="0.25">
      <c r="E3126" t="str">
        <f>""</f>
        <v/>
      </c>
      <c r="F3126" t="str">
        <f>""</f>
        <v/>
      </c>
      <c r="H3126" t="str">
        <f t="shared" si="65"/>
        <v>TEXAS COUNTY &amp; DISTRICT RET</v>
      </c>
    </row>
    <row r="3127" spans="5:8" x14ac:dyDescent="0.25">
      <c r="E3127" t="str">
        <f>""</f>
        <v/>
      </c>
      <c r="F3127" t="str">
        <f>""</f>
        <v/>
      </c>
      <c r="H3127" t="str">
        <f t="shared" si="65"/>
        <v>TEXAS COUNTY &amp; DISTRICT RET</v>
      </c>
    </row>
    <row r="3128" spans="5:8" x14ac:dyDescent="0.25">
      <c r="E3128" t="str">
        <f>""</f>
        <v/>
      </c>
      <c r="F3128" t="str">
        <f>""</f>
        <v/>
      </c>
      <c r="H3128" t="str">
        <f t="shared" si="65"/>
        <v>TEXAS COUNTY &amp; DISTRICT RET</v>
      </c>
    </row>
    <row r="3129" spans="5:8" x14ac:dyDescent="0.25">
      <c r="E3129" t="str">
        <f>""</f>
        <v/>
      </c>
      <c r="F3129" t="str">
        <f>""</f>
        <v/>
      </c>
      <c r="H3129" t="str">
        <f t="shared" si="65"/>
        <v>TEXAS COUNTY &amp; DISTRICT RET</v>
      </c>
    </row>
    <row r="3130" spans="5:8" x14ac:dyDescent="0.25">
      <c r="E3130" t="str">
        <f>""</f>
        <v/>
      </c>
      <c r="F3130" t="str">
        <f>""</f>
        <v/>
      </c>
      <c r="H3130" t="str">
        <f t="shared" si="65"/>
        <v>TEXAS COUNTY &amp; DISTRICT RET</v>
      </c>
    </row>
    <row r="3131" spans="5:8" x14ac:dyDescent="0.25">
      <c r="E3131" t="str">
        <f>""</f>
        <v/>
      </c>
      <c r="F3131" t="str">
        <f>""</f>
        <v/>
      </c>
      <c r="H3131" t="str">
        <f t="shared" si="65"/>
        <v>TEXAS COUNTY &amp; DISTRICT RET</v>
      </c>
    </row>
    <row r="3132" spans="5:8" x14ac:dyDescent="0.25">
      <c r="E3132" t="str">
        <f>""</f>
        <v/>
      </c>
      <c r="F3132" t="str">
        <f>""</f>
        <v/>
      </c>
      <c r="H3132" t="str">
        <f t="shared" si="65"/>
        <v>TEXAS COUNTY &amp; DISTRICT RET</v>
      </c>
    </row>
    <row r="3133" spans="5:8" x14ac:dyDescent="0.25">
      <c r="E3133" t="str">
        <f>""</f>
        <v/>
      </c>
      <c r="F3133" t="str">
        <f>""</f>
        <v/>
      </c>
      <c r="H3133" t="str">
        <f t="shared" si="65"/>
        <v>TEXAS COUNTY &amp; DISTRICT RET</v>
      </c>
    </row>
    <row r="3134" spans="5:8" x14ac:dyDescent="0.25">
      <c r="E3134" t="str">
        <f>""</f>
        <v/>
      </c>
      <c r="F3134" t="str">
        <f>""</f>
        <v/>
      </c>
      <c r="H3134" t="str">
        <f t="shared" si="65"/>
        <v>TEXAS COUNTY &amp; DISTRICT RET</v>
      </c>
    </row>
    <row r="3135" spans="5:8" x14ac:dyDescent="0.25">
      <c r="E3135" t="str">
        <f>""</f>
        <v/>
      </c>
      <c r="F3135" t="str">
        <f>""</f>
        <v/>
      </c>
      <c r="H3135" t="str">
        <f t="shared" si="65"/>
        <v>TEXAS COUNTY &amp; DISTRICT RET</v>
      </c>
    </row>
    <row r="3136" spans="5:8" x14ac:dyDescent="0.25">
      <c r="E3136" t="str">
        <f>""</f>
        <v/>
      </c>
      <c r="F3136" t="str">
        <f>""</f>
        <v/>
      </c>
      <c r="H3136" t="str">
        <f t="shared" si="65"/>
        <v>TEXAS COUNTY &amp; DISTRICT RET</v>
      </c>
    </row>
    <row r="3137" spans="5:8" x14ac:dyDescent="0.25">
      <c r="E3137" t="str">
        <f>"RET201811145076"</f>
        <v>RET201811145076</v>
      </c>
      <c r="F3137" t="str">
        <f>"TEXAS COUNTY  DISTRICT RET"</f>
        <v>TEXAS COUNTY  DISTRICT RET</v>
      </c>
      <c r="G3137" s="2">
        <v>5915.13</v>
      </c>
      <c r="H3137" t="str">
        <f>"TEXAS COUNTY  DISTRICT RET"</f>
        <v>TEXAS COUNTY  DISTRICT RET</v>
      </c>
    </row>
    <row r="3138" spans="5:8" x14ac:dyDescent="0.25">
      <c r="E3138" t="str">
        <f>""</f>
        <v/>
      </c>
      <c r="F3138" t="str">
        <f>""</f>
        <v/>
      </c>
      <c r="H3138" t="str">
        <f>"TEXAS COUNTY  DISTRICT RET"</f>
        <v>TEXAS COUNTY  DISTRICT RET</v>
      </c>
    </row>
    <row r="3139" spans="5:8" x14ac:dyDescent="0.25">
      <c r="E3139" t="str">
        <f>"RET201811145077"</f>
        <v>RET201811145077</v>
      </c>
      <c r="F3139" t="str">
        <f>"TEXAS COUNTY &amp; DISTRICT RET"</f>
        <v>TEXAS COUNTY &amp; DISTRICT RET</v>
      </c>
      <c r="G3139" s="2">
        <v>7537.44</v>
      </c>
      <c r="H3139" t="str">
        <f t="shared" ref="H3139:H3179" si="66">"TEXAS COUNTY &amp; DISTRICT RET"</f>
        <v>TEXAS COUNTY &amp; DISTRICT RET</v>
      </c>
    </row>
    <row r="3140" spans="5:8" x14ac:dyDescent="0.25">
      <c r="E3140" t="str">
        <f>""</f>
        <v/>
      </c>
      <c r="F3140" t="str">
        <f>""</f>
        <v/>
      </c>
      <c r="H3140" t="str">
        <f t="shared" si="66"/>
        <v>TEXAS COUNTY &amp; DISTRICT RET</v>
      </c>
    </row>
    <row r="3141" spans="5:8" x14ac:dyDescent="0.25">
      <c r="E3141" t="str">
        <f>"RET201811195270"</f>
        <v>RET201811195270</v>
      </c>
      <c r="F3141" t="str">
        <f>"TEXAS COUNTY &amp; DISTRICT RET"</f>
        <v>TEXAS COUNTY &amp; DISTRICT RET</v>
      </c>
      <c r="G3141" s="2">
        <v>44101.11</v>
      </c>
      <c r="H3141" t="str">
        <f t="shared" si="66"/>
        <v>TEXAS COUNTY &amp; DISTRICT RET</v>
      </c>
    </row>
    <row r="3142" spans="5:8" x14ac:dyDescent="0.25">
      <c r="E3142" t="str">
        <f>""</f>
        <v/>
      </c>
      <c r="F3142" t="str">
        <f>""</f>
        <v/>
      </c>
      <c r="H3142" t="str">
        <f t="shared" si="66"/>
        <v>TEXAS COUNTY &amp; DISTRICT RET</v>
      </c>
    </row>
    <row r="3143" spans="5:8" x14ac:dyDescent="0.25">
      <c r="E3143" t="str">
        <f>""</f>
        <v/>
      </c>
      <c r="F3143" t="str">
        <f>""</f>
        <v/>
      </c>
      <c r="H3143" t="str">
        <f t="shared" si="66"/>
        <v>TEXAS COUNTY &amp; DISTRICT RET</v>
      </c>
    </row>
    <row r="3144" spans="5:8" x14ac:dyDescent="0.25">
      <c r="E3144" t="str">
        <f>""</f>
        <v/>
      </c>
      <c r="F3144" t="str">
        <f>""</f>
        <v/>
      </c>
      <c r="H3144" t="str">
        <f t="shared" si="66"/>
        <v>TEXAS COUNTY &amp; DISTRICT RET</v>
      </c>
    </row>
    <row r="3145" spans="5:8" x14ac:dyDescent="0.25">
      <c r="E3145" t="str">
        <f>""</f>
        <v/>
      </c>
      <c r="F3145" t="str">
        <f>""</f>
        <v/>
      </c>
      <c r="H3145" t="str">
        <f t="shared" si="66"/>
        <v>TEXAS COUNTY &amp; DISTRICT RET</v>
      </c>
    </row>
    <row r="3146" spans="5:8" x14ac:dyDescent="0.25">
      <c r="E3146" t="str">
        <f>""</f>
        <v/>
      </c>
      <c r="F3146" t="str">
        <f>""</f>
        <v/>
      </c>
      <c r="H3146" t="str">
        <f t="shared" si="66"/>
        <v>TEXAS COUNTY &amp; DISTRICT RET</v>
      </c>
    </row>
    <row r="3147" spans="5:8" x14ac:dyDescent="0.25">
      <c r="E3147" t="str">
        <f>""</f>
        <v/>
      </c>
      <c r="F3147" t="str">
        <f>""</f>
        <v/>
      </c>
      <c r="H3147" t="str">
        <f t="shared" si="66"/>
        <v>TEXAS COUNTY &amp; DISTRICT RET</v>
      </c>
    </row>
    <row r="3148" spans="5:8" x14ac:dyDescent="0.25">
      <c r="E3148" t="str">
        <f>""</f>
        <v/>
      </c>
      <c r="F3148" t="str">
        <f>""</f>
        <v/>
      </c>
      <c r="H3148" t="str">
        <f t="shared" si="66"/>
        <v>TEXAS COUNTY &amp; DISTRICT RET</v>
      </c>
    </row>
    <row r="3149" spans="5:8" x14ac:dyDescent="0.25">
      <c r="E3149" t="str">
        <f>""</f>
        <v/>
      </c>
      <c r="F3149" t="str">
        <f>""</f>
        <v/>
      </c>
      <c r="H3149" t="str">
        <f t="shared" si="66"/>
        <v>TEXAS COUNTY &amp; DISTRICT RET</v>
      </c>
    </row>
    <row r="3150" spans="5:8" x14ac:dyDescent="0.25">
      <c r="E3150" t="str">
        <f>""</f>
        <v/>
      </c>
      <c r="F3150" t="str">
        <f>""</f>
        <v/>
      </c>
      <c r="H3150" t="str">
        <f t="shared" si="66"/>
        <v>TEXAS COUNTY &amp; DISTRICT RET</v>
      </c>
    </row>
    <row r="3151" spans="5:8" x14ac:dyDescent="0.25">
      <c r="E3151" t="str">
        <f>""</f>
        <v/>
      </c>
      <c r="F3151" t="str">
        <f>""</f>
        <v/>
      </c>
      <c r="H3151" t="str">
        <f t="shared" si="66"/>
        <v>TEXAS COUNTY &amp; DISTRICT RET</v>
      </c>
    </row>
    <row r="3152" spans="5:8" x14ac:dyDescent="0.25">
      <c r="E3152" t="str">
        <f>""</f>
        <v/>
      </c>
      <c r="F3152" t="str">
        <f>""</f>
        <v/>
      </c>
      <c r="H3152" t="str">
        <f t="shared" si="66"/>
        <v>TEXAS COUNTY &amp; DISTRICT RET</v>
      </c>
    </row>
    <row r="3153" spans="5:8" x14ac:dyDescent="0.25">
      <c r="E3153" t="str">
        <f>""</f>
        <v/>
      </c>
      <c r="F3153" t="str">
        <f>""</f>
        <v/>
      </c>
      <c r="H3153" t="str">
        <f t="shared" si="66"/>
        <v>TEXAS COUNTY &amp; DISTRICT RET</v>
      </c>
    </row>
    <row r="3154" spans="5:8" x14ac:dyDescent="0.25">
      <c r="E3154" t="str">
        <f>""</f>
        <v/>
      </c>
      <c r="F3154" t="str">
        <f>""</f>
        <v/>
      </c>
      <c r="H3154" t="str">
        <f t="shared" si="66"/>
        <v>TEXAS COUNTY &amp; DISTRICT RET</v>
      </c>
    </row>
    <row r="3155" spans="5:8" x14ac:dyDescent="0.25">
      <c r="E3155" t="str">
        <f>""</f>
        <v/>
      </c>
      <c r="F3155" t="str">
        <f>""</f>
        <v/>
      </c>
      <c r="H3155" t="str">
        <f t="shared" si="66"/>
        <v>TEXAS COUNTY &amp; DISTRICT RET</v>
      </c>
    </row>
    <row r="3156" spans="5:8" x14ac:dyDescent="0.25">
      <c r="E3156" t="str">
        <f>""</f>
        <v/>
      </c>
      <c r="F3156" t="str">
        <f>""</f>
        <v/>
      </c>
      <c r="H3156" t="str">
        <f t="shared" si="66"/>
        <v>TEXAS COUNTY &amp; DISTRICT RET</v>
      </c>
    </row>
    <row r="3157" spans="5:8" x14ac:dyDescent="0.25">
      <c r="E3157" t="str">
        <f>""</f>
        <v/>
      </c>
      <c r="F3157" t="str">
        <f>""</f>
        <v/>
      </c>
      <c r="H3157" t="str">
        <f t="shared" si="66"/>
        <v>TEXAS COUNTY &amp; DISTRICT RET</v>
      </c>
    </row>
    <row r="3158" spans="5:8" x14ac:dyDescent="0.25">
      <c r="E3158" t="str">
        <f>""</f>
        <v/>
      </c>
      <c r="F3158" t="str">
        <f>""</f>
        <v/>
      </c>
      <c r="H3158" t="str">
        <f t="shared" si="66"/>
        <v>TEXAS COUNTY &amp; DISTRICT RET</v>
      </c>
    </row>
    <row r="3159" spans="5:8" x14ac:dyDescent="0.25">
      <c r="E3159" t="str">
        <f>""</f>
        <v/>
      </c>
      <c r="F3159" t="str">
        <f>""</f>
        <v/>
      </c>
      <c r="H3159" t="str">
        <f t="shared" si="66"/>
        <v>TEXAS COUNTY &amp; DISTRICT RET</v>
      </c>
    </row>
    <row r="3160" spans="5:8" x14ac:dyDescent="0.25">
      <c r="E3160" t="str">
        <f>""</f>
        <v/>
      </c>
      <c r="F3160" t="str">
        <f>""</f>
        <v/>
      </c>
      <c r="H3160" t="str">
        <f t="shared" si="66"/>
        <v>TEXAS COUNTY &amp; DISTRICT RET</v>
      </c>
    </row>
    <row r="3161" spans="5:8" x14ac:dyDescent="0.25">
      <c r="E3161" t="str">
        <f>""</f>
        <v/>
      </c>
      <c r="F3161" t="str">
        <f>""</f>
        <v/>
      </c>
      <c r="H3161" t="str">
        <f t="shared" si="66"/>
        <v>TEXAS COUNTY &amp; DISTRICT RET</v>
      </c>
    </row>
    <row r="3162" spans="5:8" x14ac:dyDescent="0.25">
      <c r="E3162" t="str">
        <f>""</f>
        <v/>
      </c>
      <c r="F3162" t="str">
        <f>""</f>
        <v/>
      </c>
      <c r="H3162" t="str">
        <f t="shared" si="66"/>
        <v>TEXAS COUNTY &amp; DISTRICT RET</v>
      </c>
    </row>
    <row r="3163" spans="5:8" x14ac:dyDescent="0.25">
      <c r="E3163" t="str">
        <f>""</f>
        <v/>
      </c>
      <c r="F3163" t="str">
        <f>""</f>
        <v/>
      </c>
      <c r="H3163" t="str">
        <f t="shared" si="66"/>
        <v>TEXAS COUNTY &amp; DISTRICT RET</v>
      </c>
    </row>
    <row r="3164" spans="5:8" x14ac:dyDescent="0.25">
      <c r="E3164" t="str">
        <f>""</f>
        <v/>
      </c>
      <c r="F3164" t="str">
        <f>""</f>
        <v/>
      </c>
      <c r="H3164" t="str">
        <f t="shared" si="66"/>
        <v>TEXAS COUNTY &amp; DISTRICT RET</v>
      </c>
    </row>
    <row r="3165" spans="5:8" x14ac:dyDescent="0.25">
      <c r="E3165" t="str">
        <f>""</f>
        <v/>
      </c>
      <c r="F3165" t="str">
        <f>""</f>
        <v/>
      </c>
      <c r="H3165" t="str">
        <f t="shared" si="66"/>
        <v>TEXAS COUNTY &amp; DISTRICT RET</v>
      </c>
    </row>
    <row r="3166" spans="5:8" x14ac:dyDescent="0.25">
      <c r="E3166" t="str">
        <f>""</f>
        <v/>
      </c>
      <c r="F3166" t="str">
        <f>""</f>
        <v/>
      </c>
      <c r="H3166" t="str">
        <f t="shared" si="66"/>
        <v>TEXAS COUNTY &amp; DISTRICT RET</v>
      </c>
    </row>
    <row r="3167" spans="5:8" x14ac:dyDescent="0.25">
      <c r="E3167" t="str">
        <f>""</f>
        <v/>
      </c>
      <c r="F3167" t="str">
        <f>""</f>
        <v/>
      </c>
      <c r="H3167" t="str">
        <f t="shared" si="66"/>
        <v>TEXAS COUNTY &amp; DISTRICT RET</v>
      </c>
    </row>
    <row r="3168" spans="5:8" x14ac:dyDescent="0.25">
      <c r="E3168" t="str">
        <f>""</f>
        <v/>
      </c>
      <c r="F3168" t="str">
        <f>""</f>
        <v/>
      </c>
      <c r="H3168" t="str">
        <f t="shared" si="66"/>
        <v>TEXAS COUNTY &amp; DISTRICT RET</v>
      </c>
    </row>
    <row r="3169" spans="5:8" x14ac:dyDescent="0.25">
      <c r="E3169" t="str">
        <f>""</f>
        <v/>
      </c>
      <c r="F3169" t="str">
        <f>""</f>
        <v/>
      </c>
      <c r="H3169" t="str">
        <f t="shared" si="66"/>
        <v>TEXAS COUNTY &amp; DISTRICT RET</v>
      </c>
    </row>
    <row r="3170" spans="5:8" x14ac:dyDescent="0.25">
      <c r="E3170" t="str">
        <f>""</f>
        <v/>
      </c>
      <c r="F3170" t="str">
        <f>""</f>
        <v/>
      </c>
      <c r="H3170" t="str">
        <f t="shared" si="66"/>
        <v>TEXAS COUNTY &amp; DISTRICT RET</v>
      </c>
    </row>
    <row r="3171" spans="5:8" x14ac:dyDescent="0.25">
      <c r="E3171" t="str">
        <f>""</f>
        <v/>
      </c>
      <c r="F3171" t="str">
        <f>""</f>
        <v/>
      </c>
      <c r="H3171" t="str">
        <f t="shared" si="66"/>
        <v>TEXAS COUNTY &amp; DISTRICT RET</v>
      </c>
    </row>
    <row r="3172" spans="5:8" x14ac:dyDescent="0.25">
      <c r="E3172" t="str">
        <f>""</f>
        <v/>
      </c>
      <c r="F3172" t="str">
        <f>""</f>
        <v/>
      </c>
      <c r="H3172" t="str">
        <f t="shared" si="66"/>
        <v>TEXAS COUNTY &amp; DISTRICT RET</v>
      </c>
    </row>
    <row r="3173" spans="5:8" x14ac:dyDescent="0.25">
      <c r="E3173" t="str">
        <f>""</f>
        <v/>
      </c>
      <c r="F3173" t="str">
        <f>""</f>
        <v/>
      </c>
      <c r="H3173" t="str">
        <f t="shared" si="66"/>
        <v>TEXAS COUNTY &amp; DISTRICT RET</v>
      </c>
    </row>
    <row r="3174" spans="5:8" x14ac:dyDescent="0.25">
      <c r="E3174" t="str">
        <f>""</f>
        <v/>
      </c>
      <c r="F3174" t="str">
        <f>""</f>
        <v/>
      </c>
      <c r="H3174" t="str">
        <f t="shared" si="66"/>
        <v>TEXAS COUNTY &amp; DISTRICT RET</v>
      </c>
    </row>
    <row r="3175" spans="5:8" x14ac:dyDescent="0.25">
      <c r="E3175" t="str">
        <f>""</f>
        <v/>
      </c>
      <c r="F3175" t="str">
        <f>""</f>
        <v/>
      </c>
      <c r="H3175" t="str">
        <f t="shared" si="66"/>
        <v>TEXAS COUNTY &amp; DISTRICT RET</v>
      </c>
    </row>
    <row r="3176" spans="5:8" x14ac:dyDescent="0.25">
      <c r="E3176" t="str">
        <f>""</f>
        <v/>
      </c>
      <c r="F3176" t="str">
        <f>""</f>
        <v/>
      </c>
      <c r="H3176" t="str">
        <f t="shared" si="66"/>
        <v>TEXAS COUNTY &amp; DISTRICT RET</v>
      </c>
    </row>
    <row r="3177" spans="5:8" x14ac:dyDescent="0.25">
      <c r="E3177" t="str">
        <f>""</f>
        <v/>
      </c>
      <c r="F3177" t="str">
        <f>""</f>
        <v/>
      </c>
      <c r="H3177" t="str">
        <f t="shared" si="66"/>
        <v>TEXAS COUNTY &amp; DISTRICT RET</v>
      </c>
    </row>
    <row r="3178" spans="5:8" x14ac:dyDescent="0.25">
      <c r="E3178" t="str">
        <f>""</f>
        <v/>
      </c>
      <c r="F3178" t="str">
        <f>""</f>
        <v/>
      </c>
      <c r="H3178" t="str">
        <f t="shared" si="66"/>
        <v>TEXAS COUNTY &amp; DISTRICT RET</v>
      </c>
    </row>
    <row r="3179" spans="5:8" x14ac:dyDescent="0.25">
      <c r="E3179" t="str">
        <f>""</f>
        <v/>
      </c>
      <c r="F3179" t="str">
        <f>""</f>
        <v/>
      </c>
      <c r="H3179" t="str">
        <f t="shared" si="66"/>
        <v>TEXAS COUNTY &amp; DISTRICT RET</v>
      </c>
    </row>
    <row r="3180" spans="5:8" x14ac:dyDescent="0.25">
      <c r="E3180" t="str">
        <f>"RET201811195271"</f>
        <v>RET201811195271</v>
      </c>
      <c r="F3180" t="str">
        <f>"TEXAS COUNTY  DISTRICT RET"</f>
        <v>TEXAS COUNTY  DISTRICT RET</v>
      </c>
      <c r="G3180" s="2">
        <v>4475.96</v>
      </c>
      <c r="H3180" t="str">
        <f>"TEXAS COUNTY  DISTRICT RET"</f>
        <v>TEXAS COUNTY  DISTRICT RET</v>
      </c>
    </row>
    <row r="3181" spans="5:8" x14ac:dyDescent="0.25">
      <c r="E3181" t="str">
        <f>""</f>
        <v/>
      </c>
      <c r="F3181" t="str">
        <f>""</f>
        <v/>
      </c>
      <c r="H3181" t="str">
        <f>"TEXAS COUNTY  DISTRICT RET"</f>
        <v>TEXAS COUNTY  DISTRICT RET</v>
      </c>
    </row>
    <row r="3182" spans="5:8" x14ac:dyDescent="0.25">
      <c r="E3182" t="str">
        <f>"RET201811275300"</f>
        <v>RET201811275300</v>
      </c>
      <c r="F3182" t="str">
        <f>"TEXAS COUNTY &amp; DISTRICT RET"</f>
        <v>TEXAS COUNTY &amp; DISTRICT RET</v>
      </c>
      <c r="G3182" s="2">
        <v>151765.13</v>
      </c>
      <c r="H3182" t="str">
        <f t="shared" ref="H3182:H3213" si="67">"TEXAS COUNTY &amp; DISTRICT RET"</f>
        <v>TEXAS COUNTY &amp; DISTRICT RET</v>
      </c>
    </row>
    <row r="3183" spans="5:8" x14ac:dyDescent="0.25">
      <c r="E3183" t="str">
        <f>""</f>
        <v/>
      </c>
      <c r="F3183" t="str">
        <f>""</f>
        <v/>
      </c>
      <c r="H3183" t="str">
        <f t="shared" si="67"/>
        <v>TEXAS COUNTY &amp; DISTRICT RET</v>
      </c>
    </row>
    <row r="3184" spans="5:8" x14ac:dyDescent="0.25">
      <c r="E3184" t="str">
        <f>""</f>
        <v/>
      </c>
      <c r="F3184" t="str">
        <f>""</f>
        <v/>
      </c>
      <c r="H3184" t="str">
        <f t="shared" si="67"/>
        <v>TEXAS COUNTY &amp; DISTRICT RET</v>
      </c>
    </row>
    <row r="3185" spans="5:8" x14ac:dyDescent="0.25">
      <c r="E3185" t="str">
        <f>""</f>
        <v/>
      </c>
      <c r="F3185" t="str">
        <f>""</f>
        <v/>
      </c>
      <c r="H3185" t="str">
        <f t="shared" si="67"/>
        <v>TEXAS COUNTY &amp; DISTRICT RET</v>
      </c>
    </row>
    <row r="3186" spans="5:8" x14ac:dyDescent="0.25">
      <c r="E3186" t="str">
        <f>""</f>
        <v/>
      </c>
      <c r="F3186" t="str">
        <f>""</f>
        <v/>
      </c>
      <c r="H3186" t="str">
        <f t="shared" si="67"/>
        <v>TEXAS COUNTY &amp; DISTRICT RET</v>
      </c>
    </row>
    <row r="3187" spans="5:8" x14ac:dyDescent="0.25">
      <c r="E3187" t="str">
        <f>""</f>
        <v/>
      </c>
      <c r="F3187" t="str">
        <f>""</f>
        <v/>
      </c>
      <c r="H3187" t="str">
        <f t="shared" si="67"/>
        <v>TEXAS COUNTY &amp; DISTRICT RET</v>
      </c>
    </row>
    <row r="3188" spans="5:8" x14ac:dyDescent="0.25">
      <c r="E3188" t="str">
        <f>""</f>
        <v/>
      </c>
      <c r="F3188" t="str">
        <f>""</f>
        <v/>
      </c>
      <c r="H3188" t="str">
        <f t="shared" si="67"/>
        <v>TEXAS COUNTY &amp; DISTRICT RET</v>
      </c>
    </row>
    <row r="3189" spans="5:8" x14ac:dyDescent="0.25">
      <c r="E3189" t="str">
        <f>""</f>
        <v/>
      </c>
      <c r="F3189" t="str">
        <f>""</f>
        <v/>
      </c>
      <c r="H3189" t="str">
        <f t="shared" si="67"/>
        <v>TEXAS COUNTY &amp; DISTRICT RET</v>
      </c>
    </row>
    <row r="3190" spans="5:8" x14ac:dyDescent="0.25">
      <c r="E3190" t="str">
        <f>""</f>
        <v/>
      </c>
      <c r="F3190" t="str">
        <f>""</f>
        <v/>
      </c>
      <c r="H3190" t="str">
        <f t="shared" si="67"/>
        <v>TEXAS COUNTY &amp; DISTRICT RET</v>
      </c>
    </row>
    <row r="3191" spans="5:8" x14ac:dyDescent="0.25">
      <c r="E3191" t="str">
        <f>""</f>
        <v/>
      </c>
      <c r="F3191" t="str">
        <f>""</f>
        <v/>
      </c>
      <c r="H3191" t="str">
        <f t="shared" si="67"/>
        <v>TEXAS COUNTY &amp; DISTRICT RET</v>
      </c>
    </row>
    <row r="3192" spans="5:8" x14ac:dyDescent="0.25">
      <c r="E3192" t="str">
        <f>""</f>
        <v/>
      </c>
      <c r="F3192" t="str">
        <f>""</f>
        <v/>
      </c>
      <c r="H3192" t="str">
        <f t="shared" si="67"/>
        <v>TEXAS COUNTY &amp; DISTRICT RET</v>
      </c>
    </row>
    <row r="3193" spans="5:8" x14ac:dyDescent="0.25">
      <c r="E3193" t="str">
        <f>""</f>
        <v/>
      </c>
      <c r="F3193" t="str">
        <f>""</f>
        <v/>
      </c>
      <c r="H3193" t="str">
        <f t="shared" si="67"/>
        <v>TEXAS COUNTY &amp; DISTRICT RET</v>
      </c>
    </row>
    <row r="3194" spans="5:8" x14ac:dyDescent="0.25">
      <c r="E3194" t="str">
        <f>""</f>
        <v/>
      </c>
      <c r="F3194" t="str">
        <f>""</f>
        <v/>
      </c>
      <c r="H3194" t="str">
        <f t="shared" si="67"/>
        <v>TEXAS COUNTY &amp; DISTRICT RET</v>
      </c>
    </row>
    <row r="3195" spans="5:8" x14ac:dyDescent="0.25">
      <c r="E3195" t="str">
        <f>""</f>
        <v/>
      </c>
      <c r="F3195" t="str">
        <f>""</f>
        <v/>
      </c>
      <c r="H3195" t="str">
        <f t="shared" si="67"/>
        <v>TEXAS COUNTY &amp; DISTRICT RET</v>
      </c>
    </row>
    <row r="3196" spans="5:8" x14ac:dyDescent="0.25">
      <c r="E3196" t="str">
        <f>""</f>
        <v/>
      </c>
      <c r="F3196" t="str">
        <f>""</f>
        <v/>
      </c>
      <c r="H3196" t="str">
        <f t="shared" si="67"/>
        <v>TEXAS COUNTY &amp; DISTRICT RET</v>
      </c>
    </row>
    <row r="3197" spans="5:8" x14ac:dyDescent="0.25">
      <c r="E3197" t="str">
        <f>""</f>
        <v/>
      </c>
      <c r="F3197" t="str">
        <f>""</f>
        <v/>
      </c>
      <c r="H3197" t="str">
        <f t="shared" si="67"/>
        <v>TEXAS COUNTY &amp; DISTRICT RET</v>
      </c>
    </row>
    <row r="3198" spans="5:8" x14ac:dyDescent="0.25">
      <c r="E3198" t="str">
        <f>""</f>
        <v/>
      </c>
      <c r="F3198" t="str">
        <f>""</f>
        <v/>
      </c>
      <c r="H3198" t="str">
        <f t="shared" si="67"/>
        <v>TEXAS COUNTY &amp; DISTRICT RET</v>
      </c>
    </row>
    <row r="3199" spans="5:8" x14ac:dyDescent="0.25">
      <c r="E3199" t="str">
        <f>""</f>
        <v/>
      </c>
      <c r="F3199" t="str">
        <f>""</f>
        <v/>
      </c>
      <c r="H3199" t="str">
        <f t="shared" si="67"/>
        <v>TEXAS COUNTY &amp; DISTRICT RET</v>
      </c>
    </row>
    <row r="3200" spans="5:8" x14ac:dyDescent="0.25">
      <c r="E3200" t="str">
        <f>""</f>
        <v/>
      </c>
      <c r="F3200" t="str">
        <f>""</f>
        <v/>
      </c>
      <c r="H3200" t="str">
        <f t="shared" si="67"/>
        <v>TEXAS COUNTY &amp; DISTRICT RET</v>
      </c>
    </row>
    <row r="3201" spans="5:8" x14ac:dyDescent="0.25">
      <c r="E3201" t="str">
        <f>""</f>
        <v/>
      </c>
      <c r="F3201" t="str">
        <f>""</f>
        <v/>
      </c>
      <c r="H3201" t="str">
        <f t="shared" si="67"/>
        <v>TEXAS COUNTY &amp; DISTRICT RET</v>
      </c>
    </row>
    <row r="3202" spans="5:8" x14ac:dyDescent="0.25">
      <c r="E3202" t="str">
        <f>""</f>
        <v/>
      </c>
      <c r="F3202" t="str">
        <f>""</f>
        <v/>
      </c>
      <c r="H3202" t="str">
        <f t="shared" si="67"/>
        <v>TEXAS COUNTY &amp; DISTRICT RET</v>
      </c>
    </row>
    <row r="3203" spans="5:8" x14ac:dyDescent="0.25">
      <c r="E3203" t="str">
        <f>""</f>
        <v/>
      </c>
      <c r="F3203" t="str">
        <f>""</f>
        <v/>
      </c>
      <c r="H3203" t="str">
        <f t="shared" si="67"/>
        <v>TEXAS COUNTY &amp; DISTRICT RET</v>
      </c>
    </row>
    <row r="3204" spans="5:8" x14ac:dyDescent="0.25">
      <c r="E3204" t="str">
        <f>""</f>
        <v/>
      </c>
      <c r="F3204" t="str">
        <f>""</f>
        <v/>
      </c>
      <c r="H3204" t="str">
        <f t="shared" si="67"/>
        <v>TEXAS COUNTY &amp; DISTRICT RET</v>
      </c>
    </row>
    <row r="3205" spans="5:8" x14ac:dyDescent="0.25">
      <c r="E3205" t="str">
        <f>""</f>
        <v/>
      </c>
      <c r="F3205" t="str">
        <f>""</f>
        <v/>
      </c>
      <c r="H3205" t="str">
        <f t="shared" si="67"/>
        <v>TEXAS COUNTY &amp; DISTRICT RET</v>
      </c>
    </row>
    <row r="3206" spans="5:8" x14ac:dyDescent="0.25">
      <c r="E3206" t="str">
        <f>""</f>
        <v/>
      </c>
      <c r="F3206" t="str">
        <f>""</f>
        <v/>
      </c>
      <c r="H3206" t="str">
        <f t="shared" si="67"/>
        <v>TEXAS COUNTY &amp; DISTRICT RET</v>
      </c>
    </row>
    <row r="3207" spans="5:8" x14ac:dyDescent="0.25">
      <c r="E3207" t="str">
        <f>""</f>
        <v/>
      </c>
      <c r="F3207" t="str">
        <f>""</f>
        <v/>
      </c>
      <c r="H3207" t="str">
        <f t="shared" si="67"/>
        <v>TEXAS COUNTY &amp; DISTRICT RET</v>
      </c>
    </row>
    <row r="3208" spans="5:8" x14ac:dyDescent="0.25">
      <c r="E3208" t="str">
        <f>""</f>
        <v/>
      </c>
      <c r="F3208" t="str">
        <f>""</f>
        <v/>
      </c>
      <c r="H3208" t="str">
        <f t="shared" si="67"/>
        <v>TEXAS COUNTY &amp; DISTRICT RET</v>
      </c>
    </row>
    <row r="3209" spans="5:8" x14ac:dyDescent="0.25">
      <c r="E3209" t="str">
        <f>""</f>
        <v/>
      </c>
      <c r="F3209" t="str">
        <f>""</f>
        <v/>
      </c>
      <c r="H3209" t="str">
        <f t="shared" si="67"/>
        <v>TEXAS COUNTY &amp; DISTRICT RET</v>
      </c>
    </row>
    <row r="3210" spans="5:8" x14ac:dyDescent="0.25">
      <c r="E3210" t="str">
        <f>""</f>
        <v/>
      </c>
      <c r="F3210" t="str">
        <f>""</f>
        <v/>
      </c>
      <c r="H3210" t="str">
        <f t="shared" si="67"/>
        <v>TEXAS COUNTY &amp; DISTRICT RET</v>
      </c>
    </row>
    <row r="3211" spans="5:8" x14ac:dyDescent="0.25">
      <c r="E3211" t="str">
        <f>""</f>
        <v/>
      </c>
      <c r="F3211" t="str">
        <f>""</f>
        <v/>
      </c>
      <c r="H3211" t="str">
        <f t="shared" si="67"/>
        <v>TEXAS COUNTY &amp; DISTRICT RET</v>
      </c>
    </row>
    <row r="3212" spans="5:8" x14ac:dyDescent="0.25">
      <c r="E3212" t="str">
        <f>""</f>
        <v/>
      </c>
      <c r="F3212" t="str">
        <f>""</f>
        <v/>
      </c>
      <c r="H3212" t="str">
        <f t="shared" si="67"/>
        <v>TEXAS COUNTY &amp; DISTRICT RET</v>
      </c>
    </row>
    <row r="3213" spans="5:8" x14ac:dyDescent="0.25">
      <c r="E3213" t="str">
        <f>""</f>
        <v/>
      </c>
      <c r="F3213" t="str">
        <f>""</f>
        <v/>
      </c>
      <c r="H3213" t="str">
        <f t="shared" si="67"/>
        <v>TEXAS COUNTY &amp; DISTRICT RET</v>
      </c>
    </row>
    <row r="3214" spans="5:8" x14ac:dyDescent="0.25">
      <c r="E3214" t="str">
        <f>""</f>
        <v/>
      </c>
      <c r="F3214" t="str">
        <f>""</f>
        <v/>
      </c>
      <c r="H3214" t="str">
        <f t="shared" ref="H3214:H3232" si="68">"TEXAS COUNTY &amp; DISTRICT RET"</f>
        <v>TEXAS COUNTY &amp; DISTRICT RET</v>
      </c>
    </row>
    <row r="3215" spans="5:8" x14ac:dyDescent="0.25">
      <c r="E3215" t="str">
        <f>""</f>
        <v/>
      </c>
      <c r="F3215" t="str">
        <f>""</f>
        <v/>
      </c>
      <c r="H3215" t="str">
        <f t="shared" si="68"/>
        <v>TEXAS COUNTY &amp; DISTRICT RET</v>
      </c>
    </row>
    <row r="3216" spans="5:8" x14ac:dyDescent="0.25">
      <c r="E3216" t="str">
        <f>""</f>
        <v/>
      </c>
      <c r="F3216" t="str">
        <f>""</f>
        <v/>
      </c>
      <c r="H3216" t="str">
        <f t="shared" si="68"/>
        <v>TEXAS COUNTY &amp; DISTRICT RET</v>
      </c>
    </row>
    <row r="3217" spans="5:8" x14ac:dyDescent="0.25">
      <c r="E3217" t="str">
        <f>""</f>
        <v/>
      </c>
      <c r="F3217" t="str">
        <f>""</f>
        <v/>
      </c>
      <c r="H3217" t="str">
        <f t="shared" si="68"/>
        <v>TEXAS COUNTY &amp; DISTRICT RET</v>
      </c>
    </row>
    <row r="3218" spans="5:8" x14ac:dyDescent="0.25">
      <c r="E3218" t="str">
        <f>""</f>
        <v/>
      </c>
      <c r="F3218" t="str">
        <f>""</f>
        <v/>
      </c>
      <c r="H3218" t="str">
        <f t="shared" si="68"/>
        <v>TEXAS COUNTY &amp; DISTRICT RET</v>
      </c>
    </row>
    <row r="3219" spans="5:8" x14ac:dyDescent="0.25">
      <c r="E3219" t="str">
        <f>""</f>
        <v/>
      </c>
      <c r="F3219" t="str">
        <f>""</f>
        <v/>
      </c>
      <c r="H3219" t="str">
        <f t="shared" si="68"/>
        <v>TEXAS COUNTY &amp; DISTRICT RET</v>
      </c>
    </row>
    <row r="3220" spans="5:8" x14ac:dyDescent="0.25">
      <c r="E3220" t="str">
        <f>""</f>
        <v/>
      </c>
      <c r="F3220" t="str">
        <f>""</f>
        <v/>
      </c>
      <c r="H3220" t="str">
        <f t="shared" si="68"/>
        <v>TEXAS COUNTY &amp; DISTRICT RET</v>
      </c>
    </row>
    <row r="3221" spans="5:8" x14ac:dyDescent="0.25">
      <c r="E3221" t="str">
        <f>""</f>
        <v/>
      </c>
      <c r="F3221" t="str">
        <f>""</f>
        <v/>
      </c>
      <c r="H3221" t="str">
        <f t="shared" si="68"/>
        <v>TEXAS COUNTY &amp; DISTRICT RET</v>
      </c>
    </row>
    <row r="3222" spans="5:8" x14ac:dyDescent="0.25">
      <c r="E3222" t="str">
        <f>""</f>
        <v/>
      </c>
      <c r="F3222" t="str">
        <f>""</f>
        <v/>
      </c>
      <c r="H3222" t="str">
        <f t="shared" si="68"/>
        <v>TEXAS COUNTY &amp; DISTRICT RET</v>
      </c>
    </row>
    <row r="3223" spans="5:8" x14ac:dyDescent="0.25">
      <c r="E3223" t="str">
        <f>""</f>
        <v/>
      </c>
      <c r="F3223" t="str">
        <f>""</f>
        <v/>
      </c>
      <c r="H3223" t="str">
        <f t="shared" si="68"/>
        <v>TEXAS COUNTY &amp; DISTRICT RET</v>
      </c>
    </row>
    <row r="3224" spans="5:8" x14ac:dyDescent="0.25">
      <c r="E3224" t="str">
        <f>""</f>
        <v/>
      </c>
      <c r="F3224" t="str">
        <f>""</f>
        <v/>
      </c>
      <c r="H3224" t="str">
        <f t="shared" si="68"/>
        <v>TEXAS COUNTY &amp; DISTRICT RET</v>
      </c>
    </row>
    <row r="3225" spans="5:8" x14ac:dyDescent="0.25">
      <c r="E3225" t="str">
        <f>""</f>
        <v/>
      </c>
      <c r="F3225" t="str">
        <f>""</f>
        <v/>
      </c>
      <c r="H3225" t="str">
        <f t="shared" si="68"/>
        <v>TEXAS COUNTY &amp; DISTRICT RET</v>
      </c>
    </row>
    <row r="3226" spans="5:8" x14ac:dyDescent="0.25">
      <c r="E3226" t="str">
        <f>""</f>
        <v/>
      </c>
      <c r="F3226" t="str">
        <f>""</f>
        <v/>
      </c>
      <c r="H3226" t="str">
        <f t="shared" si="68"/>
        <v>TEXAS COUNTY &amp; DISTRICT RET</v>
      </c>
    </row>
    <row r="3227" spans="5:8" x14ac:dyDescent="0.25">
      <c r="E3227" t="str">
        <f>""</f>
        <v/>
      </c>
      <c r="F3227" t="str">
        <f>""</f>
        <v/>
      </c>
      <c r="H3227" t="str">
        <f t="shared" si="68"/>
        <v>TEXAS COUNTY &amp; DISTRICT RET</v>
      </c>
    </row>
    <row r="3228" spans="5:8" x14ac:dyDescent="0.25">
      <c r="E3228" t="str">
        <f>""</f>
        <v/>
      </c>
      <c r="F3228" t="str">
        <f>""</f>
        <v/>
      </c>
      <c r="H3228" t="str">
        <f t="shared" si="68"/>
        <v>TEXAS COUNTY &amp; DISTRICT RET</v>
      </c>
    </row>
    <row r="3229" spans="5:8" x14ac:dyDescent="0.25">
      <c r="E3229" t="str">
        <f>""</f>
        <v/>
      </c>
      <c r="F3229" t="str">
        <f>""</f>
        <v/>
      </c>
      <c r="H3229" t="str">
        <f t="shared" si="68"/>
        <v>TEXAS COUNTY &amp; DISTRICT RET</v>
      </c>
    </row>
    <row r="3230" spans="5:8" x14ac:dyDescent="0.25">
      <c r="E3230" t="str">
        <f>""</f>
        <v/>
      </c>
      <c r="F3230" t="str">
        <f>""</f>
        <v/>
      </c>
      <c r="H3230" t="str">
        <f t="shared" si="68"/>
        <v>TEXAS COUNTY &amp; DISTRICT RET</v>
      </c>
    </row>
    <row r="3231" spans="5:8" x14ac:dyDescent="0.25">
      <c r="E3231" t="str">
        <f>""</f>
        <v/>
      </c>
      <c r="F3231" t="str">
        <f>""</f>
        <v/>
      </c>
      <c r="H3231" t="str">
        <f t="shared" si="68"/>
        <v>TEXAS COUNTY &amp; DISTRICT RET</v>
      </c>
    </row>
    <row r="3232" spans="5:8" x14ac:dyDescent="0.25">
      <c r="E3232" t="str">
        <f>""</f>
        <v/>
      </c>
      <c r="F3232" t="str">
        <f>""</f>
        <v/>
      </c>
      <c r="H3232" t="str">
        <f t="shared" si="68"/>
        <v>TEXAS COUNTY &amp; DISTRICT RET</v>
      </c>
    </row>
    <row r="3233" spans="1:8" x14ac:dyDescent="0.25">
      <c r="E3233" t="str">
        <f>"RET201811285301"</f>
        <v>RET201811285301</v>
      </c>
      <c r="F3233" t="str">
        <f>"TEXAS COUNTY  DISTRICT RET"</f>
        <v>TEXAS COUNTY  DISTRICT RET</v>
      </c>
      <c r="G3233" s="2">
        <v>5860.59</v>
      </c>
      <c r="H3233" t="str">
        <f>"TEXAS COUNTY  DISTRICT RET"</f>
        <v>TEXAS COUNTY  DISTRICT RET</v>
      </c>
    </row>
    <row r="3234" spans="1:8" x14ac:dyDescent="0.25">
      <c r="E3234" t="str">
        <f>""</f>
        <v/>
      </c>
      <c r="F3234" t="str">
        <f>""</f>
        <v/>
      </c>
      <c r="H3234" t="str">
        <f>"TEXAS COUNTY  DISTRICT RET"</f>
        <v>TEXAS COUNTY  DISTRICT RET</v>
      </c>
    </row>
    <row r="3235" spans="1:8" x14ac:dyDescent="0.25">
      <c r="E3235" t="str">
        <f>"RET201811285302"</f>
        <v>RET201811285302</v>
      </c>
      <c r="F3235" t="str">
        <f>"TEXAS COUNTY &amp; DISTRICT RET"</f>
        <v>TEXAS COUNTY &amp; DISTRICT RET</v>
      </c>
      <c r="G3235" s="2">
        <v>7535.85</v>
      </c>
      <c r="H3235" t="str">
        <f>"TEXAS COUNTY &amp; DISTRICT RET"</f>
        <v>TEXAS COUNTY &amp; DISTRICT RET</v>
      </c>
    </row>
    <row r="3236" spans="1:8" x14ac:dyDescent="0.25">
      <c r="E3236" t="str">
        <f>""</f>
        <v/>
      </c>
      <c r="F3236" t="str">
        <f>""</f>
        <v/>
      </c>
      <c r="H3236" t="str">
        <f>"TEXAS COUNTY &amp; DISTRICT RET"</f>
        <v>TEXAS COUNTY &amp; DISTRICT RET</v>
      </c>
    </row>
    <row r="3237" spans="1:8" x14ac:dyDescent="0.25">
      <c r="A3237" t="s">
        <v>571</v>
      </c>
      <c r="B3237">
        <v>47167</v>
      </c>
      <c r="C3237" s="3">
        <v>1195</v>
      </c>
      <c r="D3237" s="1">
        <v>43433</v>
      </c>
      <c r="E3237" t="str">
        <f>"LEG201810314759"</f>
        <v>LEG201810314759</v>
      </c>
      <c r="F3237" t="str">
        <f>"TEXAS LEGAL PROTECTION PLAN"</f>
        <v>TEXAS LEGAL PROTECTION PLAN</v>
      </c>
      <c r="G3237" s="2">
        <v>597.5</v>
      </c>
      <c r="H3237" t="str">
        <f>"TEXAS LEGAL PROTECTION PLAN"</f>
        <v>TEXAS LEGAL PROTECTION PLAN</v>
      </c>
    </row>
    <row r="3238" spans="1:8" x14ac:dyDescent="0.25">
      <c r="E3238" t="str">
        <f>"LEG201811145075"</f>
        <v>LEG201811145075</v>
      </c>
      <c r="F3238" t="str">
        <f>"TEXAS LEGAL PROTECTION PLAN"</f>
        <v>TEXAS LEGAL PROTECTION PLAN</v>
      </c>
      <c r="G3238" s="2">
        <v>597.5</v>
      </c>
      <c r="H3238" t="str">
        <f>"TEXAS LEGAL PROTECTION PLAN"</f>
        <v>TEXAS LEGAL PROTECTION PLAN</v>
      </c>
    </row>
    <row r="3239" spans="1:8" x14ac:dyDescent="0.25">
      <c r="B3239" s="4" t="s">
        <v>572</v>
      </c>
      <c r="C3239" s="3">
        <f>SUM(C2:C3237)</f>
        <v>4983023.2499999991</v>
      </c>
      <c r="D3239" s="1"/>
    </row>
    <row r="3240" spans="1:8" x14ac:dyDescent="0.25">
      <c r="D3240" s="1"/>
    </row>
    <row r="3241" spans="1:8" x14ac:dyDescent="0.25">
      <c r="D3241" s="1"/>
    </row>
    <row r="3242" spans="1:8" x14ac:dyDescent="0.25">
      <c r="D3242" s="1"/>
    </row>
    <row r="3243" spans="1:8" x14ac:dyDescent="0.25">
      <c r="D3243" s="1"/>
    </row>
    <row r="3244" spans="1:8" x14ac:dyDescent="0.25">
      <c r="D3244" s="1"/>
    </row>
    <row r="3245" spans="1:8" x14ac:dyDescent="0.25">
      <c r="D3245" s="1"/>
    </row>
    <row r="3246" spans="1:8" x14ac:dyDescent="0.25">
      <c r="D3246" s="1"/>
    </row>
    <row r="3247" spans="1:8" x14ac:dyDescent="0.25">
      <c r="D3247" s="1"/>
    </row>
    <row r="3248" spans="1:8" x14ac:dyDescent="0.25">
      <c r="D3248" s="1"/>
    </row>
    <row r="3249" spans="4:4" x14ac:dyDescent="0.25">
      <c r="D3249" s="1"/>
    </row>
    <row r="3250" spans="4:4" x14ac:dyDescent="0.25">
      <c r="D3250" s="1"/>
    </row>
    <row r="3251" spans="4:4" x14ac:dyDescent="0.25">
      <c r="D3251" s="1"/>
    </row>
    <row r="3252" spans="4:4" x14ac:dyDescent="0.25">
      <c r="D3252" s="1"/>
    </row>
    <row r="3253" spans="4:4" x14ac:dyDescent="0.25">
      <c r="D3253" s="1"/>
    </row>
    <row r="3254" spans="4:4" x14ac:dyDescent="0.25">
      <c r="D3254" s="1"/>
    </row>
    <row r="3255" spans="4:4" x14ac:dyDescent="0.25">
      <c r="D3255" s="1"/>
    </row>
    <row r="3256" spans="4:4" x14ac:dyDescent="0.25">
      <c r="D3256" s="1"/>
    </row>
    <row r="3257" spans="4:4" x14ac:dyDescent="0.25">
      <c r="D3257" s="1"/>
    </row>
    <row r="3258" spans="4:4" x14ac:dyDescent="0.25">
      <c r="D3258" s="1"/>
    </row>
    <row r="3259" spans="4:4" x14ac:dyDescent="0.25">
      <c r="D3259" s="1"/>
    </row>
    <row r="3260" spans="4:4" x14ac:dyDescent="0.25">
      <c r="D3260" s="1"/>
    </row>
    <row r="3261" spans="4:4" x14ac:dyDescent="0.25">
      <c r="D3261" s="1"/>
    </row>
    <row r="3262" spans="4:4" x14ac:dyDescent="0.25">
      <c r="D3262" s="1"/>
    </row>
    <row r="3263" spans="4:4" x14ac:dyDescent="0.25">
      <c r="D3263" s="1"/>
    </row>
    <row r="3264" spans="4:4" x14ac:dyDescent="0.25">
      <c r="D3264" s="1"/>
    </row>
    <row r="3265" spans="4:4" x14ac:dyDescent="0.25">
      <c r="D3265" s="1"/>
    </row>
    <row r="3266" spans="4:4" x14ac:dyDescent="0.25">
      <c r="D3266" s="1"/>
    </row>
    <row r="3267" spans="4:4" x14ac:dyDescent="0.25">
      <c r="D3267" s="1"/>
    </row>
    <row r="3268" spans="4:4" x14ac:dyDescent="0.25">
      <c r="D3268" s="1"/>
    </row>
    <row r="3269" spans="4:4" x14ac:dyDescent="0.25">
      <c r="D3269" s="1"/>
    </row>
    <row r="3270" spans="4:4" x14ac:dyDescent="0.25">
      <c r="D3270" s="1"/>
    </row>
    <row r="3271" spans="4:4" x14ac:dyDescent="0.25">
      <c r="D3271" s="1"/>
    </row>
    <row r="3272" spans="4:4" x14ac:dyDescent="0.25">
      <c r="D3272" s="1"/>
    </row>
    <row r="3273" spans="4:4" x14ac:dyDescent="0.25">
      <c r="D3273" s="1"/>
    </row>
    <row r="3274" spans="4:4" x14ac:dyDescent="0.25">
      <c r="D3274" s="1"/>
    </row>
    <row r="3275" spans="4:4" x14ac:dyDescent="0.25">
      <c r="D3275" s="1"/>
    </row>
    <row r="3276" spans="4:4" x14ac:dyDescent="0.25">
      <c r="D3276" s="1"/>
    </row>
    <row r="3277" spans="4:4" x14ac:dyDescent="0.25">
      <c r="D3277" s="1"/>
    </row>
    <row r="3278" spans="4:4" x14ac:dyDescent="0.25">
      <c r="D3278" s="1"/>
    </row>
    <row r="3279" spans="4:4" x14ac:dyDescent="0.25">
      <c r="D3279" s="1"/>
    </row>
    <row r="3280" spans="4:4" x14ac:dyDescent="0.25">
      <c r="D3280" s="1"/>
    </row>
    <row r="3281" spans="4:4" x14ac:dyDescent="0.25">
      <c r="D3281" s="1"/>
    </row>
    <row r="3282" spans="4:4" x14ac:dyDescent="0.25">
      <c r="D3282" s="1"/>
    </row>
    <row r="3283" spans="4:4" x14ac:dyDescent="0.25">
      <c r="D3283" s="1"/>
    </row>
    <row r="3284" spans="4:4" x14ac:dyDescent="0.25">
      <c r="D3284" s="1"/>
    </row>
    <row r="3285" spans="4:4" x14ac:dyDescent="0.25">
      <c r="D3285" s="1"/>
    </row>
    <row r="3286" spans="4:4" x14ac:dyDescent="0.25">
      <c r="D3286" s="1"/>
    </row>
    <row r="3287" spans="4:4" x14ac:dyDescent="0.25">
      <c r="D3287" s="1"/>
    </row>
    <row r="3288" spans="4:4" x14ac:dyDescent="0.25">
      <c r="D3288" s="1"/>
    </row>
    <row r="3289" spans="4:4" x14ac:dyDescent="0.25">
      <c r="D3289" s="1"/>
    </row>
    <row r="3290" spans="4:4" x14ac:dyDescent="0.25">
      <c r="D3290" s="1"/>
    </row>
    <row r="3291" spans="4:4" x14ac:dyDescent="0.25">
      <c r="D3291" s="1"/>
    </row>
    <row r="3292" spans="4:4" x14ac:dyDescent="0.25">
      <c r="D3292" s="1"/>
    </row>
    <row r="3293" spans="4:4" x14ac:dyDescent="0.25">
      <c r="D3293" s="1"/>
    </row>
    <row r="3294" spans="4:4" x14ac:dyDescent="0.25">
      <c r="D3294" s="1"/>
    </row>
    <row r="3295" spans="4:4" x14ac:dyDescent="0.25">
      <c r="D3295" s="1"/>
    </row>
    <row r="3296" spans="4:4" x14ac:dyDescent="0.25">
      <c r="D3296" s="1"/>
    </row>
    <row r="3297" spans="4:4" x14ac:dyDescent="0.25">
      <c r="D3297" s="1"/>
    </row>
    <row r="3298" spans="4:4" x14ac:dyDescent="0.25">
      <c r="D3298" s="1"/>
    </row>
    <row r="3299" spans="4:4" x14ac:dyDescent="0.25">
      <c r="D3299" s="1"/>
    </row>
    <row r="3300" spans="4:4" x14ac:dyDescent="0.25">
      <c r="D3300" s="1"/>
    </row>
    <row r="3301" spans="4:4" x14ac:dyDescent="0.25">
      <c r="D3301" s="1"/>
    </row>
    <row r="3302" spans="4:4" x14ac:dyDescent="0.25">
      <c r="D3302" s="1"/>
    </row>
    <row r="3303" spans="4:4" x14ac:dyDescent="0.25">
      <c r="D3303" s="1"/>
    </row>
    <row r="3304" spans="4:4" x14ac:dyDescent="0.25">
      <c r="D3304" s="1"/>
    </row>
    <row r="3305" spans="4:4" x14ac:dyDescent="0.25">
      <c r="D3305" s="1"/>
    </row>
    <row r="3306" spans="4:4" x14ac:dyDescent="0.25">
      <c r="D3306" s="1"/>
    </row>
    <row r="3307" spans="4:4" x14ac:dyDescent="0.25">
      <c r="D3307" s="1"/>
    </row>
    <row r="3308" spans="4:4" x14ac:dyDescent="0.25">
      <c r="D3308" s="1"/>
    </row>
    <row r="3309" spans="4:4" x14ac:dyDescent="0.25">
      <c r="D3309" s="1"/>
    </row>
    <row r="3310" spans="4:4" x14ac:dyDescent="0.25">
      <c r="D3310" s="1"/>
    </row>
    <row r="3311" spans="4:4" x14ac:dyDescent="0.25">
      <c r="D331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AP-CHK-RPT-20190204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Ingram</dc:creator>
  <cp:lastModifiedBy>Ingram, Laurie</cp:lastModifiedBy>
  <dcterms:created xsi:type="dcterms:W3CDTF">2019-02-04T16:04:11Z</dcterms:created>
  <dcterms:modified xsi:type="dcterms:W3CDTF">2019-02-04T16:34:38Z</dcterms:modified>
</cp:coreProperties>
</file>