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AP-CHK-RPT-20190204" sheetId="1" r:id="rId1"/>
  </sheets>
  <calcPr calcId="145621"/>
</workbook>
</file>

<file path=xl/calcChain.xml><?xml version="1.0" encoding="utf-8"?>
<calcChain xmlns="http://schemas.openxmlformats.org/spreadsheetml/2006/main">
  <c r="C2759" i="1" l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G277" i="1"/>
  <c r="H277" i="1"/>
  <c r="I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G405" i="1"/>
  <c r="H405" i="1"/>
  <c r="I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G564" i="1"/>
  <c r="H564" i="1"/>
  <c r="I564" i="1"/>
  <c r="E565" i="1"/>
  <c r="F565" i="1"/>
  <c r="H565" i="1"/>
  <c r="E566" i="1"/>
  <c r="F566" i="1"/>
  <c r="H566" i="1"/>
  <c r="E567" i="1"/>
  <c r="F567" i="1"/>
  <c r="H567" i="1"/>
  <c r="G568" i="1"/>
  <c r="H568" i="1"/>
  <c r="I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G634" i="1"/>
  <c r="H634" i="1"/>
  <c r="I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G722" i="1"/>
  <c r="H722" i="1"/>
  <c r="I722" i="1"/>
  <c r="G723" i="1"/>
  <c r="H723" i="1"/>
  <c r="I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G756" i="1"/>
  <c r="H756" i="1"/>
  <c r="I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E1005" i="1"/>
  <c r="F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G1011" i="1"/>
  <c r="H1011" i="1"/>
  <c r="I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G1248" i="1"/>
  <c r="H1248" i="1"/>
  <c r="I1248" i="1"/>
  <c r="G1249" i="1"/>
  <c r="H1249" i="1"/>
  <c r="I1249" i="1"/>
  <c r="G1250" i="1"/>
  <c r="H1250" i="1"/>
  <c r="I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</calcChain>
</file>

<file path=xl/sharedStrings.xml><?xml version="1.0" encoding="utf-8"?>
<sst xmlns="http://schemas.openxmlformats.org/spreadsheetml/2006/main" count="649" uniqueCount="504">
  <si>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</si>
  <si>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</si>
  <si>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</si>
  <si>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</si>
  <si>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</si>
  <si>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</si>
  <si>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</si>
  <si>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</si>
  <si>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AIRPLEXUS  INC</t>
  </si>
  <si>
    <t>ALTICE USA INC</t>
  </si>
  <si>
    <t>BLUEBONNET PETROLEUM INC</t>
  </si>
  <si>
    <t>CENTURYLINK COMMUNICATIONS  LLC</t>
  </si>
  <si>
    <t>CHARITY ROGERS</t>
  </si>
  <si>
    <t>CITIBANK NA</t>
  </si>
  <si>
    <t>CORRECTIONS SOFTWARE SOLUTIONS LP</t>
  </si>
  <si>
    <t>DONNA DAMON</t>
  </si>
  <si>
    <t>LEXISNEXIS RISK DATA MANAGEMENT INC</t>
  </si>
  <si>
    <t>MATTHEW L CLARK</t>
  </si>
  <si>
    <t>OFFICE DEPOT  INC</t>
  </si>
  <si>
    <t>ONE SOURCE TOXICOLOGY</t>
  </si>
  <si>
    <t>GE CAPITAL INFORMATION TECCHNOLOGY SOLUTIONS  INC</t>
  </si>
  <si>
    <t>ROBERT M &amp; DAN B ALFORD LLC</t>
  </si>
  <si>
    <t>SMART SALES  LLC</t>
  </si>
  <si>
    <t>CHARTER COMMUNICATIONS HOLDINGS  LLC</t>
  </si>
  <si>
    <t>SYLVIN'S  AUTOMOTIVE CENTER INC</t>
  </si>
  <si>
    <t>TERESA MERINO</t>
  </si>
  <si>
    <t>TIB-THE INDEPENDENT BANKERSBANK</t>
  </si>
  <si>
    <t>TRACY NORTH</t>
  </si>
  <si>
    <t>UBEO OF EAST TEXAS  INC.</t>
  </si>
  <si>
    <t>WALMART STORES TEXAS  LLC</t>
  </si>
  <si>
    <t>YOLANDA RAMIREZ</t>
  </si>
  <si>
    <t>CHRISTINA CANNON</t>
  </si>
  <si>
    <t>973 MATERIALS  LLC</t>
  </si>
  <si>
    <t>A PLUS BAIL BONDS</t>
  </si>
  <si>
    <t>ARNOLD OIL COMPANY OF AUSTIN LP</t>
  </si>
  <si>
    <t>TIMOTHY HALL</t>
  </si>
  <si>
    <t>AAA FIRE &amp; SAFETY EQUIP CO.  INC.</t>
  </si>
  <si>
    <t>AALIYAH R. GONZALEZ</t>
  </si>
  <si>
    <t>AARON CRIM</t>
  </si>
  <si>
    <t>ADAM DAKOTA ROWINS</t>
  </si>
  <si>
    <t>ADAM MUERY</t>
  </si>
  <si>
    <t>ADENA LEWIS</t>
  </si>
  <si>
    <t>ALBERT NEAL PFEIFFER</t>
  </si>
  <si>
    <t>TEXAS ENTERPRISES INC.</t>
  </si>
  <si>
    <t>S &amp; D PLUMBING-GIDDINGS LLC</t>
  </si>
  <si>
    <t>AMAZON CAPITAL SERVICES INC</t>
  </si>
  <si>
    <t>AMERISOURCEBERGEN</t>
  </si>
  <si>
    <t>ANDERSON &amp; ANDERSON LAW FIRM PC</t>
  </si>
  <si>
    <t>ASSOCIATION OF PUBLIC SAFETY COMM OFFICIALS</t>
  </si>
  <si>
    <t>C APPLEMAN ENT INC</t>
  </si>
  <si>
    <t>APRIL KUCK</t>
  </si>
  <si>
    <t>AQUA BEVERAGE COMPANY/OZARKA</t>
  </si>
  <si>
    <t>AQUA WATER SUPPLY CORPORATION</t>
  </si>
  <si>
    <t>ASHLEY HERMANS</t>
  </si>
  <si>
    <t>AT &amp; T</t>
  </si>
  <si>
    <t>AT&amp;T</t>
  </si>
  <si>
    <t>AT&amp;T MOBILITY</t>
  </si>
  <si>
    <t>AT&amp;T MOBILITY SMITH</t>
  </si>
  <si>
    <t>GATEHOUSE MEDIA TEXAS HOLDINGS II  INC.</t>
  </si>
  <si>
    <t>AUSTIN CERTIFIED TRANSLATION  LLC</t>
  </si>
  <si>
    <t>AUSTIN FLAG AND FLAGPOLE</t>
  </si>
  <si>
    <t>AUSTIN GASTROENTERLOGY</t>
  </si>
  <si>
    <t>AUSTIN KIDNEY ASSOCIATES  PA</t>
  </si>
  <si>
    <t>PTL LAWN &amp; CLEANING SERVICE  INC</t>
  </si>
  <si>
    <t>AUSTIN RADIOLOGICAL ASSOC</t>
  </si>
  <si>
    <t>AUSTIN RETINA ASSSOCIATES</t>
  </si>
  <si>
    <t>AUTUMN J SMITH</t>
  </si>
  <si>
    <t>JIM ATTRA INC</t>
  </si>
  <si>
    <t>BARBARA GOMEZ</t>
  </si>
  <si>
    <t>MICHAEL OLDHAM TIRE INC</t>
  </si>
  <si>
    <t>EDUARDO BARRIENTOS</t>
  </si>
  <si>
    <t>BASIC IDIQ  INC.</t>
  </si>
  <si>
    <t>BASTROP COUNTY SHERIFF'S DEPT</t>
  </si>
  <si>
    <t>DANIEL L HEPKER</t>
  </si>
  <si>
    <t>BASTROP COUNTY CARES</t>
  </si>
  <si>
    <t>BASTROP COUNTY PROBATION DEPT</t>
  </si>
  <si>
    <t>BASTROP MEDICAL CLINIC</t>
  </si>
  <si>
    <t>BASTROP PROVIDENCE  LLC</t>
  </si>
  <si>
    <t>BASTROP SIGNS &amp; BANNERS</t>
  </si>
  <si>
    <t>DAVID H OUTON</t>
  </si>
  <si>
    <t>BEN E KEITH CO.</t>
  </si>
  <si>
    <t>BENJAMIN FOODS  LLC</t>
  </si>
  <si>
    <t>BEST BUY STORES  LP</t>
  </si>
  <si>
    <t>B C FOOD GROUP  LLC</t>
  </si>
  <si>
    <t>BEXAR COUNTY SHERIFF</t>
  </si>
  <si>
    <t>BIDDLE CONSULTING GROUP  INC.</t>
  </si>
  <si>
    <t>MAURINE MC LEAN</t>
  </si>
  <si>
    <t>BIMBO FOODS INC</t>
  </si>
  <si>
    <t>BLAS J. COY  JR.</t>
  </si>
  <si>
    <t>BLUEBONNET AREA CRIME STOPPERS PROGRAM</t>
  </si>
  <si>
    <t>BLUEBONNET ELECTRIC COOPERATIVE  INC.</t>
  </si>
  <si>
    <t>BLUEBONNET ELECTRIC</t>
  </si>
  <si>
    <t>="15</t>
  </si>
  <si>
    <t>915  11/6/18"</t>
  </si>
  <si>
    <t>BLUEBONNET TRAILS MHMR</t>
  </si>
  <si>
    <t>BOB BARKER COMPANY  INC.</t>
  </si>
  <si>
    <t>BOBBY INGRAM JR</t>
  </si>
  <si>
    <t>BOBBY BROWN</t>
  </si>
  <si>
    <t>BRAUNTEX MATERIALS INC</t>
  </si>
  <si>
    <t>BUREAU OF VITAL STATISTICS</t>
  </si>
  <si>
    <t>CANNON PLUMBING AND DRAIN  LLC</t>
  </si>
  <si>
    <t>CAPITAL AREA COUNCIL OF GOVERNMENTS</t>
  </si>
  <si>
    <t>TIB-THE INDEPENDENT BANKERS BANK</t>
  </si>
  <si>
    <t>CENTERPOINT ENERGY</t>
  </si>
  <si>
    <t>CENTEX MATERIALS LLC</t>
  </si>
  <si>
    <t>CENTEX MECHANICAL INC</t>
  </si>
  <si>
    <t>CENTRAL TEXAS BARRICADES INC</t>
  </si>
  <si>
    <t>CG COMMUNICATIONS  INC.</t>
  </si>
  <si>
    <t>CHARLES W CARVER</t>
  </si>
  <si>
    <t>CHARM-TEX</t>
  </si>
  <si>
    <t>CHRIS BECKER</t>
  </si>
  <si>
    <t>CHRIS MATT DILLON</t>
  </si>
  <si>
    <t>CINTAS</t>
  </si>
  <si>
    <t>CINTAS CORPORATION</t>
  </si>
  <si>
    <t>CINTAS CORPORATION #86</t>
  </si>
  <si>
    <t>CITY OF BASTROP</t>
  </si>
  <si>
    <t>CITY OF SMITHVILLE</t>
  </si>
  <si>
    <t>CLARENCE W HOFFMAN</t>
  </si>
  <si>
    <t>CLAUDE GROHMAN</t>
  </si>
  <si>
    <t>CLAUDIA BECERRA ORTIZ</t>
  </si>
  <si>
    <t>CLIFFORD POWER SYSTEMS INC</t>
  </si>
  <si>
    <t>CLINICAL PATHOLOGY LABORATORIES INC</t>
  </si>
  <si>
    <t>CLINICAL PATHOLOGY ASSOC. OF AUSTIN</t>
  </si>
  <si>
    <t>CML SECURITY  LLC</t>
  </si>
  <si>
    <t>COMMUNITY COFFEE COMPANY LLC</t>
  </si>
  <si>
    <t>CONNIE SCHROEDER</t>
  </si>
  <si>
    <t>="13</t>
  </si>
  <si>
    <t>651  11/30/18"</t>
  </si>
  <si>
    <t>CONSOLIDATED ELECTRIC DIST</t>
  </si>
  <si>
    <t>CONTECH ENGINEERED SOLUTIONS INC</t>
  </si>
  <si>
    <t>OSCAR MENDEZ ARTEAGA</t>
  </si>
  <si>
    <t>COOPER EQUIPMENT CO.</t>
  </si>
  <si>
    <t>CORBIN MOSES</t>
  </si>
  <si>
    <t>CORRECTIONAL MANAGEMENT INSTITUTE OF TX</t>
  </si>
  <si>
    <t>CRESSIDA EVELYN KWOLEK  Ph.D.</t>
  </si>
  <si>
    <t>CROSSHAIRS TEXAS LLC</t>
  </si>
  <si>
    <t>DFW COMMUNICATIONS  INC.</t>
  </si>
  <si>
    <t>CRYSTAL DEAR</t>
  </si>
  <si>
    <t>CUSTOM PRODUCTS CORPORATION</t>
  </si>
  <si>
    <t>CYDNEY CRIDER</t>
  </si>
  <si>
    <t>CYRIL PESL</t>
  </si>
  <si>
    <t>D&amp;A COUNSELING</t>
  </si>
  <si>
    <t>DALLAS COUNTY CONSTABLE PCT 1</t>
  </si>
  <si>
    <t>DANIEL ACKER</t>
  </si>
  <si>
    <t>DANNY SCHROEDER</t>
  </si>
  <si>
    <t>DANNY WOFFORD</t>
  </si>
  <si>
    <t>DAVID B BROOKS</t>
  </si>
  <si>
    <t>DAVID C. FOLKERS  M.D.</t>
  </si>
  <si>
    <t>DAVID GONZALEZ</t>
  </si>
  <si>
    <t>DAVID M COLLINS</t>
  </si>
  <si>
    <t>DAVID WITTMAN</t>
  </si>
  <si>
    <t>DELBERT THIESSEN</t>
  </si>
  <si>
    <t>DELL</t>
  </si>
  <si>
    <t>DENTRUST DENTAL TX PC</t>
  </si>
  <si>
    <t>DEREK DAVIS</t>
  </si>
  <si>
    <t>DEREK SMITH</t>
  </si>
  <si>
    <t>DIANE GUTHRIE</t>
  </si>
  <si>
    <t>DICKENS LOCKSMITH INC</t>
  </si>
  <si>
    <t>DEPARTMENT OF INFORMATION RESOURCES</t>
  </si>
  <si>
    <t>DISCOUNT DOOR &amp; METAL  LLC</t>
  </si>
  <si>
    <t>DON YOUNG</t>
  </si>
  <si>
    <t>DONNIE STARK</t>
  </si>
  <si>
    <t>DOUBLE D INTERNATIONAL FOOD CO.  INC.</t>
  </si>
  <si>
    <t>DOUBLE TUFF TRUCK TARPS INC</t>
  </si>
  <si>
    <t>DUNNE &amp; JUAREZ L.L.C.</t>
  </si>
  <si>
    <t>DURAN GRAVEL CO. INC</t>
  </si>
  <si>
    <t>EARLE WEISS</t>
  </si>
  <si>
    <t>EASYVOTE SOLUTIONS LLC</t>
  </si>
  <si>
    <t>ECOLAB INC</t>
  </si>
  <si>
    <t>ELECTION CENTER</t>
  </si>
  <si>
    <t>ELECTION SYSTEMS &amp; SOFTWARE INC</t>
  </si>
  <si>
    <t>BLACKLANDS PUBLICATIONS INC</t>
  </si>
  <si>
    <t>CITY OF ELGIN UTILITIES</t>
  </si>
  <si>
    <t>ELLIOTT ELECTRIC SUPPLY INC</t>
  </si>
  <si>
    <t>JDHQ HOTELS  LLC</t>
  </si>
  <si>
    <t>ERNIE VINKLAREK</t>
  </si>
  <si>
    <t>ERS-TX SOCIAL SECURITY PROGRAM</t>
  </si>
  <si>
    <t>EUGENE C BLOMSTROM</t>
  </si>
  <si>
    <t>EWALD KUBOTA  INC.</t>
  </si>
  <si>
    <t>BASTROP COUNTY WOMEN'S SHELTER</t>
  </si>
  <si>
    <t>FARONICS TECHNOLOGIES USA INC</t>
  </si>
  <si>
    <t>FAYETTE MEDICAL SUPPLY</t>
  </si>
  <si>
    <t>FEDERAL EXPRESS</t>
  </si>
  <si>
    <t>FIRST NATIONAL BANK BASTROP</t>
  </si>
  <si>
    <t>="14</t>
  </si>
  <si>
    <t>861  11/30/18"</t>
  </si>
  <si>
    <t>FLEETPRIDE</t>
  </si>
  <si>
    <t>FOREMOST COUNTY MUTUAL INS CO</t>
  </si>
  <si>
    <t>347  11/01/18"</t>
  </si>
  <si>
    <t>FORREST L. SANDERSON</t>
  </si>
  <si>
    <t>FRANCES HUNTER</t>
  </si>
  <si>
    <t>CREA PARSON</t>
  </si>
  <si>
    <t>AUSTIN TRUCK &amp; EQUIPMENT  LTD</t>
  </si>
  <si>
    <t>EUGENE W BRIGGS JR</t>
  </si>
  <si>
    <t>GARMENTS TO GO  INC</t>
  </si>
  <si>
    <t>GIPSON PENDERGRASS PEOPLE'S MORTUARY LLC</t>
  </si>
  <si>
    <t>GLENN TEINERT</t>
  </si>
  <si>
    <t>GRAINGER INC</t>
  </si>
  <si>
    <t>GT DISTRIBUTORS  INC.</t>
  </si>
  <si>
    <t>GUADALUPE COUNTY SHERIFF</t>
  </si>
  <si>
    <t>GULF COAST PAPER CO. INC.</t>
  </si>
  <si>
    <t>GUSTAVO NAVEJAS</t>
  </si>
  <si>
    <t>HALFF ASSOCIATES</t>
  </si>
  <si>
    <t>HAMILTON ELECTRIC WORKS  INC.</t>
  </si>
  <si>
    <t>DOUGLAS D. SPILLMAN</t>
  </si>
  <si>
    <t>HEADSETS DIRECT INC.</t>
  </si>
  <si>
    <t>BUTLER ANIMAL HEALTH</t>
  </si>
  <si>
    <t>HERITAGE FOOD SERVICES GROUP</t>
  </si>
  <si>
    <t>HERSHCAP BACKHOE &amp; DITCHING  INC.</t>
  </si>
  <si>
    <t>="10</t>
  </si>
  <si>
    <t>658  11/15/18"</t>
  </si>
  <si>
    <t>HERTZ CORPORATION</t>
  </si>
  <si>
    <t>BASCOM L HODGES JR</t>
  </si>
  <si>
    <t>HODGSON G ECKEL</t>
  </si>
  <si>
    <t>HOLLY TUCKER</t>
  </si>
  <si>
    <t>BD HOLT CO</t>
  </si>
  <si>
    <t>CITIBANK (SOUTH DAKOTA)N.A./THE HOME DEPOT</t>
  </si>
  <si>
    <t>HUDSON ENERGY CORP</t>
  </si>
  <si>
    <t>IDEXX DISTRIBUTION INC</t>
  </si>
  <si>
    <t>INDIGENT HEALTHCARE SOLUTIONS</t>
  </si>
  <si>
    <t>IRON MOUNTAIN RECORDS MGMT INC</t>
  </si>
  <si>
    <t>JACK WILSON</t>
  </si>
  <si>
    <t>JAMES JANSON</t>
  </si>
  <si>
    <t>JAMES O. BURKE</t>
  </si>
  <si>
    <t>JANET L. LYNN</t>
  </si>
  <si>
    <t>JASON LEMOND</t>
  </si>
  <si>
    <t>JEFF ROBERTSON</t>
  </si>
  <si>
    <t>JENKINS &amp; JENKINS LLP</t>
  </si>
  <si>
    <t>JERRY HOFROCK</t>
  </si>
  <si>
    <t>505  11/2/18"</t>
  </si>
  <si>
    <t>505  11/26/18"</t>
  </si>
  <si>
    <t>JAMES MORGAN</t>
  </si>
  <si>
    <t>JODY BECK</t>
  </si>
  <si>
    <t>JOE HOLUB</t>
  </si>
  <si>
    <t>JOE W. FLY CO.  INC</t>
  </si>
  <si>
    <t>JOHN DEERE FINANCIAL f.s.b.</t>
  </si>
  <si>
    <t>JOHN KLEMM</t>
  </si>
  <si>
    <t>JOHNNIE REESE</t>
  </si>
  <si>
    <t>JOHNNY JOHNSTON</t>
  </si>
  <si>
    <t>JESSE E. PERKINS</t>
  </si>
  <si>
    <t>JUSTIN HOLDER</t>
  </si>
  <si>
    <t>JUSTIN MATTHEW FOHN</t>
  </si>
  <si>
    <t>KAYLA HERSCHAP</t>
  </si>
  <si>
    <t>KAYLA STEIN</t>
  </si>
  <si>
    <t>KEITH JAYE ALEXANDER</t>
  </si>
  <si>
    <t>KELLY-MOORE PAINT COMPANY  INC</t>
  </si>
  <si>
    <t>KENNETH GONSOULIN</t>
  </si>
  <si>
    <t>="16</t>
  </si>
  <si>
    <t>181  11/26/18"</t>
  </si>
  <si>
    <t>KENNETH LIMUEL</t>
  </si>
  <si>
    <t>KENT BROUSSARD TOWER RENTAL INC</t>
  </si>
  <si>
    <t>KING'S PORTABLE THRONES</t>
  </si>
  <si>
    <t>KNIGHT SECURITY SYSTEMS LLC</t>
  </si>
  <si>
    <t>LONGHORN INTERNATIONAL TRUCKS LTD</t>
  </si>
  <si>
    <t>LA GRANGE FORD</t>
  </si>
  <si>
    <t>THE LA GRANGE PARTS HOUSE INC</t>
  </si>
  <si>
    <t>LAYTON HOTEL CORP</t>
  </si>
  <si>
    <t>LABATT INSTITUTIONAL SUPPLY CO</t>
  </si>
  <si>
    <t>LAURA ROBERTSON</t>
  </si>
  <si>
    <t>J. MARQUE MOORE</t>
  </si>
  <si>
    <t>LEADSONLINE  LLC</t>
  </si>
  <si>
    <t>LUCIO LEAL</t>
  </si>
  <si>
    <t>LEE COUNTY WATER SUPPLY CORP</t>
  </si>
  <si>
    <t>LEXISNEXIS RISK DATA MGMT INC</t>
  </si>
  <si>
    <t>LIBERTY TIRE RECYCLING</t>
  </si>
  <si>
    <t>LINDA HARMON-TAX ASSESSOR</t>
  </si>
  <si>
    <t>LISA M. MIMS</t>
  </si>
  <si>
    <t>LOGAN SCHROEDER</t>
  </si>
  <si>
    <t>LONE STAR CIRCLE OF CARE</t>
  </si>
  <si>
    <t>UNITED KWB COLLABORATIONS LLC</t>
  </si>
  <si>
    <t>LONGHORN EMERGENCY MEDICAL ASSOC PA</t>
  </si>
  <si>
    <t>LONNIE LAWRENCE DAVIS JR</t>
  </si>
  <si>
    <t>LORENE REDUS</t>
  </si>
  <si>
    <t>LORI STIFFLEMIRE</t>
  </si>
  <si>
    <t>TRUBAR  LLC</t>
  </si>
  <si>
    <t>LOWE'S</t>
  </si>
  <si>
    <t>LYN TURNER</t>
  </si>
  <si>
    <t>MAGIC TOUCH CLEANING SYSTEMS LLC</t>
  </si>
  <si>
    <t>MANDY VOIGT</t>
  </si>
  <si>
    <t>MARGARET A RAIFORD</t>
  </si>
  <si>
    <t>MARIA ANFOSSO</t>
  </si>
  <si>
    <t>MARK E BOWLES</t>
  </si>
  <si>
    <t>MARK RAEMSCH</t>
  </si>
  <si>
    <t>MARK T. MALONE  M.D. P.A</t>
  </si>
  <si>
    <t>MARRS-JONES-NEWBY FUNERAL HOME</t>
  </si>
  <si>
    <t>MARVIN BERGER</t>
  </si>
  <si>
    <t>MARY BETH SCOTT</t>
  </si>
  <si>
    <t>MATHESON TRI-GAS INC</t>
  </si>
  <si>
    <t>McCOY'S BUILDING SUPPLY CENTER</t>
  </si>
  <si>
    <t>McCREARY  VESELKA  BRAGG &amp; ALLEN P</t>
  </si>
  <si>
    <t>MEDIMPACT HEALTHCARE SYSTEMS INC</t>
  </si>
  <si>
    <t>MEGAN FAITH BROWN</t>
  </si>
  <si>
    <t>MELVIN EVANS</t>
  </si>
  <si>
    <t>MICHAEL J BAUMANN</t>
  </si>
  <si>
    <t>MICHELE FRITSCHE C.S.R.</t>
  </si>
  <si>
    <t>MICHELLE ROD</t>
  </si>
  <si>
    <t>MIDTEX MATERIALS</t>
  </si>
  <si>
    <t>MIKE WEISSKOPF</t>
  </si>
  <si>
    <t>GALLS  LLC</t>
  </si>
  <si>
    <t>GERALD RAY STRONG</t>
  </si>
  <si>
    <t>DUSTIN JOSIAH HAINES</t>
  </si>
  <si>
    <t>JULIA DAVIS SULSAR</t>
  </si>
  <si>
    <t>KERRI LYNETTE WASHINGTON</t>
  </si>
  <si>
    <t>SHARI JO WYATT</t>
  </si>
  <si>
    <t>HILLARY MARIE KVAMME</t>
  </si>
  <si>
    <t>DONNA BESS SCHUBERT</t>
  </si>
  <si>
    <t>DONNA RAE NONDORF</t>
  </si>
  <si>
    <t>DAVID GOSTECNIK</t>
  </si>
  <si>
    <t>SOUTHWEST TEXAS EQUIPMENT DIST INC</t>
  </si>
  <si>
    <t>MOORE MEDICAL LLC</t>
  </si>
  <si>
    <t>HAJOCA CORPORATION</t>
  </si>
  <si>
    <t>MORRIS &amp; MCCLIMON ATTORNEYS AT LAW  PLLC</t>
  </si>
  <si>
    <t>MORSCO SUPPLY  LLC</t>
  </si>
  <si>
    <t>JOSE MOSCOSO</t>
  </si>
  <si>
    <t>MOTOROLA INC</t>
  </si>
  <si>
    <t>NALCO COMPANY LLC</t>
  </si>
  <si>
    <t>NANCY YOUNG</t>
  </si>
  <si>
    <t>CHARLES NATHAN BASTIAN</t>
  </si>
  <si>
    <t>NATIONAL FOOD GROUP INC</t>
  </si>
  <si>
    <t>O'REILLY AUTOMOTIVE  INC.</t>
  </si>
  <si>
    <t>SOUTHERN FOODS GROUP LP</t>
  </si>
  <si>
    <t>OFFICE DEPOT</t>
  </si>
  <si>
    <t>ON SITE SERVICES</t>
  </si>
  <si>
    <t>ROGER C. OSBORN</t>
  </si>
  <si>
    <t>OSBURN ASSOCIATES INC.</t>
  </si>
  <si>
    <t>PAIGE TRACTORS INC</t>
  </si>
  <si>
    <t>PAMELA HOHMAN</t>
  </si>
  <si>
    <t>SL PARKER PARTNERSHIP LLC</t>
  </si>
  <si>
    <t>PATRICK BECK</t>
  </si>
  <si>
    <t>PATRICK ELECTRIC SERVICE</t>
  </si>
  <si>
    <t>JACOB  COX</t>
  </si>
  <si>
    <t>PATTERSON  VETERINARY SUPPLY INC</t>
  </si>
  <si>
    <t>PAUL PAPE</t>
  </si>
  <si>
    <t>CLEVELAND MACK SALES INC</t>
  </si>
  <si>
    <t>PHILIP R DUCLOUX</t>
  </si>
  <si>
    <t>R.J. THOMAS MANUFACTURING COMPANY  INC.</t>
  </si>
  <si>
    <t>PITNEY BOWES GLOBAL FINANCIAL SERVICES</t>
  </si>
  <si>
    <t>AMERICAN PIZZA PARTNERS LP</t>
  </si>
  <si>
    <t>PM WILSON &amp; ASSOCIATES PLLC</t>
  </si>
  <si>
    <t>POST OAK HARDWARE  INC.</t>
  </si>
  <si>
    <t>POSTMASTER</t>
  </si>
  <si>
    <t>MC KIM ULLRICH YOUNG LLP</t>
  </si>
  <si>
    <t>PRODUCTIVITY CENTER INC</t>
  </si>
  <si>
    <t>PROGRESSIVE - RESTITUTION ACCT</t>
  </si>
  <si>
    <t>ELGIN PROVIDENCE LLC</t>
  </si>
  <si>
    <t>AEGEAN  LLC</t>
  </si>
  <si>
    <t>THE PUBLIC GROUP LLC</t>
  </si>
  <si>
    <t>QUALYS INC</t>
  </si>
  <si>
    <t>RACHEL A BAUER</t>
  </si>
  <si>
    <t>NESTLE WATERS N AMERICA INC</t>
  </si>
  <si>
    <t>RED WING BUSINESS ADVANTAGE ACCOUNT</t>
  </si>
  <si>
    <t>REPUBLIC SERVICES INC BFI WASTE SERVICE</t>
  </si>
  <si>
    <t>RESERVE ACCOUNT</t>
  </si>
  <si>
    <t>RIATA FORD</t>
  </si>
  <si>
    <t>RICOH USA INC</t>
  </si>
  <si>
    <t>BLADES GROUP  LLC</t>
  </si>
  <si>
    <t>ROADRUNNER RADIOLOGY EQUIP LLC</t>
  </si>
  <si>
    <t>ROBERT JENKINS</t>
  </si>
  <si>
    <t>ROBERT MADDEN INDUSTRIES LTD</t>
  </si>
  <si>
    <t>ROCKY ROAD PRINTING</t>
  </si>
  <si>
    <t>RONALD WOLF</t>
  </si>
  <si>
    <t>ROSE PIETSCH COUNTY CLERK</t>
  </si>
  <si>
    <t>RUTH A. CARROLL</t>
  </si>
  <si>
    <t>JONATHAN ROBERT DENNEY</t>
  </si>
  <si>
    <t>SAMMY LERMA III MD</t>
  </si>
  <si>
    <t>SAMMY REESE</t>
  </si>
  <si>
    <t>SCOTT &amp; WHITE CLINIC</t>
  </si>
  <si>
    <t>SCOTT &amp; WHITE MEM HOSPITAL</t>
  </si>
  <si>
    <t>SCOTT MERRIMAN INC</t>
  </si>
  <si>
    <t>SCOTT PAULK</t>
  </si>
  <si>
    <t>SCOTT YOUNG</t>
  </si>
  <si>
    <t>SECURUS TECHNOLOGIES INC</t>
  </si>
  <si>
    <t>SETON HEALTHCARE SPONSORED PROJECTS</t>
  </si>
  <si>
    <t>SETON FAMILY OF HOSPITALS</t>
  </si>
  <si>
    <t>SHARON HANCOCK</t>
  </si>
  <si>
    <t>FERRELLGAS  LP</t>
  </si>
  <si>
    <t>SHERWIN WILLIAMS CO</t>
  </si>
  <si>
    <t>SHI GOVERNMENT SOLUTIONS INC.</t>
  </si>
  <si>
    <t>SHRED-IT US HOLDCO  INC</t>
  </si>
  <si>
    <t>SMITH STORES  INC.</t>
  </si>
  <si>
    <t>SMITHVILLE AUTO PARTS  INC</t>
  </si>
  <si>
    <t>SMITHVILLE CHAMBER OF COMMERCE</t>
  </si>
  <si>
    <t>SOUTHERN TIRE MART LLC</t>
  </si>
  <si>
    <t>SOUTHWEST SOLUTIONS GROUP</t>
  </si>
  <si>
    <t>DS WATERS OF AMERICA INC</t>
  </si>
  <si>
    <t>SPECIALTY VETERINARY PHARMACY INC</t>
  </si>
  <si>
    <t>ST.DAVID'S HEALTHCARE PARTNERSHIP</t>
  </si>
  <si>
    <t>ST.DAVIDS HEART &amp; VASCULAR  PLLC</t>
  </si>
  <si>
    <t>STAPLES ADVANTAGE</t>
  </si>
  <si>
    <t>STATE OF TEXAS</t>
  </si>
  <si>
    <t>STEPHEN R BECK</t>
  </si>
  <si>
    <t>STERICYCLE  INC.</t>
  </si>
  <si>
    <t>STEVE GRANADO</t>
  </si>
  <si>
    <t>STEVEN HILBIG</t>
  </si>
  <si>
    <t>MATTHEW LEE SULLINS</t>
  </si>
  <si>
    <t>SUN COAST RESOURCES</t>
  </si>
  <si>
    <t>SUSAN RODRIGUEZ</t>
  </si>
  <si>
    <t>TAVCO SERVICES INC</t>
  </si>
  <si>
    <t>TAYLOR AUTO ELECTRIC INC.</t>
  </si>
  <si>
    <t>TAYLOR SECURITY SYSTEMS  LLC</t>
  </si>
  <si>
    <t>TEJAS ELEVATOR COMPANY</t>
  </si>
  <si>
    <t>TERRILL L FLENNIKEN</t>
  </si>
  <si>
    <t>TERRY NEIDIG</t>
  </si>
  <si>
    <t>JOHN J FIETSAM INC</t>
  </si>
  <si>
    <t>TEX-CON OIL CO</t>
  </si>
  <si>
    <t>TEXAS A&amp;M TRANSPORTATION INSTITUTE</t>
  </si>
  <si>
    <t>TEXAS ASSOCIATES INSURORS AGENCY</t>
  </si>
  <si>
    <t>TEXAS ASSOCIATION OF ELECTIONS ADMINISTRATORS</t>
  </si>
  <si>
    <t>TEXAS ASSOCIATION OF COUNTIES</t>
  </si>
  <si>
    <t>TEXAS COMPTROLLER OF PUBLIC ACCOUNTS</t>
  </si>
  <si>
    <t>TEXAS CORRECTIONAL INDUSTRIES</t>
  </si>
  <si>
    <t>TEXAS CRUSHED STONE CO.</t>
  </si>
  <si>
    <t>TEXAS DEPT OF MOTOR VEHICLES</t>
  </si>
  <si>
    <t>TEXAS DEPT OF PUBLIC SAFETY</t>
  </si>
  <si>
    <t>="1</t>
  </si>
  <si>
    <t>847"</t>
  </si>
  <si>
    <t>072  11/15/18"</t>
  </si>
  <si>
    <t>309"</t>
  </si>
  <si>
    <t>TEXAS ECONOMIC DEVELOPMENT COUNCIL</t>
  </si>
  <si>
    <t>TEXAS FLEET FUEL  LTD</t>
  </si>
  <si>
    <t>TXFACT  LLC</t>
  </si>
  <si>
    <t>TEXAS PARKS &amp; WILDLIFE DEPARTMENT</t>
  </si>
  <si>
    <t>TEXAS VISION CLINIC  PLLC</t>
  </si>
  <si>
    <t>BUG MASTER EXTERMINATING SERVICES  LTD</t>
  </si>
  <si>
    <t>JAMES ANDREW CASEY</t>
  </si>
  <si>
    <t>RICHARD NELSON MOORE</t>
  </si>
  <si>
    <t>THE TRAVELERS INDEMNITY COMPANY</t>
  </si>
  <si>
    <t>VWR FUNDING  INC.</t>
  </si>
  <si>
    <t>WEST PUBLISHING CORPORATION</t>
  </si>
  <si>
    <t>TWE-ADVANCE/NEWHOUSE PARTNERSHIP</t>
  </si>
  <si>
    <t>TRACTOR SUPPLY CREDIT PLAN</t>
  </si>
  <si>
    <t>TRAVIS COUNTY CONSTABLE PCT 5</t>
  </si>
  <si>
    <t>TRAVIS COUNTY MEDICAL EXAMINER</t>
  </si>
  <si>
    <t>TRAVIS ROBERTS</t>
  </si>
  <si>
    <t>KAUFFMAN TIRE</t>
  </si>
  <si>
    <t>TRI-COUNTY PRACTICE ASSOCIATION</t>
  </si>
  <si>
    <t>TROY WALTERS</t>
  </si>
  <si>
    <t>THE SITHE GROUP  LLC</t>
  </si>
  <si>
    <t>TULL FARLEY</t>
  </si>
  <si>
    <t>LINDA WALKER</t>
  </si>
  <si>
    <t>TYLER TECHNOLOGIES INC</t>
  </si>
  <si>
    <t>UNITED REFRIGERATION INC</t>
  </si>
  <si>
    <t>VARIPHY  INC</t>
  </si>
  <si>
    <t>VERNON HORSELY</t>
  </si>
  <si>
    <t>VICTOR PROCHNOW</t>
  </si>
  <si>
    <t>VINCENT J. UHDE</t>
  </si>
  <si>
    <t>TEXAS DEPARTMENT OF STATE HEALTH SERVICES</t>
  </si>
  <si>
    <t>VIVIAN PAN</t>
  </si>
  <si>
    <t>US BANK NA</t>
  </si>
  <si>
    <t>VULCAN CONSTRUCTION MATERIALS  LP</t>
  </si>
  <si>
    <t>VULCAN  INC.</t>
  </si>
  <si>
    <t>WAGEWORKS INC  FSA/HSA</t>
  </si>
  <si>
    <t>WALLER COUNTY ASPHALT INC</t>
  </si>
  <si>
    <t>WALMART COMMUNITY BRC</t>
  </si>
  <si>
    <t>WASTE MANAGEMENT OF TEXAS INC</t>
  </si>
  <si>
    <t>PROGRESSIVE WASTE SOLUTIONS OF TX. INC.</t>
  </si>
  <si>
    <t>WIND KNOT INCORPORATED</t>
  </si>
  <si>
    <t>COBRA EQUIPMENT RENTALS</t>
  </si>
  <si>
    <t>WEI-ANN LIN (REIMBURSEMENTS ONLY)</t>
  </si>
  <si>
    <t>MAO PHARMACY INC</t>
  </si>
  <si>
    <t>WILLIAMSON COUNTY CONSTABLE PCT 4</t>
  </si>
  <si>
    <t>XEROX CORPORATION</t>
  </si>
  <si>
    <t>YOLANDA MORALES</t>
  </si>
  <si>
    <t>ZAC SMITHERS</t>
  </si>
  <si>
    <t>304 CONSTRUCTION LLC</t>
  </si>
  <si>
    <t>ALAMO  GROUP (TX)  INC</t>
  </si>
  <si>
    <t>THOMAS BILBO</t>
  </si>
  <si>
    <t>BECK-REIT AND SONS  LTD</t>
  </si>
  <si>
    <t>DAVID CONTI</t>
  </si>
  <si>
    <t>ENVIRONMENTAL SYSTEMS RESEARCH INSTITUTE  INC</t>
  </si>
  <si>
    <t>ERGON ASPHALT &amp; EMULSIONS INC</t>
  </si>
  <si>
    <t>FIRST NATIONAL BANK</t>
  </si>
  <si>
    <t>GREGORY O MCFARLAND</t>
  </si>
  <si>
    <t>HOISTING WIRE ROPE &amp; SLING</t>
  </si>
  <si>
    <t>KIRKSEY ARCHITECTS  INC.</t>
  </si>
  <si>
    <t>SPEED FAB-CRETE CORPORATION</t>
  </si>
  <si>
    <t>TRAILERS AND MORE  LLC</t>
  </si>
  <si>
    <t>TREEFOLKS INC</t>
  </si>
  <si>
    <t>WILDLIFE ACOUSTICS  INC.</t>
  </si>
  <si>
    <t>ALLSTATE-AMERICAN HERITAGE LIFE INS CO</t>
  </si>
  <si>
    <t>BARBARA ANN BOGART</t>
  </si>
  <si>
    <t>BASTROP CNTY ADULT PROBATION</t>
  </si>
  <si>
    <t>CHESTER LEE MCDONALD</t>
  </si>
  <si>
    <t>COLONIAL LIFE &amp; ACCIDENT INS. CO.</t>
  </si>
  <si>
    <t>CONNIE STEWART</t>
  </si>
  <si>
    <t>CPI QUALIFIED PLAN CONSULTANTS  INC.</t>
  </si>
  <si>
    <t>DEBORAH B LANGEHENNIG</t>
  </si>
  <si>
    <t>GALE E LEE</t>
  </si>
  <si>
    <t>GUARDIAN</t>
  </si>
  <si>
    <t>INTERNAL REVENUE SERVICE - ACS SUPPORT</t>
  </si>
  <si>
    <t>IRS-PAYROLL TAXES</t>
  </si>
  <si>
    <t>JAMES S HOFFMAN</t>
  </si>
  <si>
    <t>MARILYN JEAN LILES</t>
  </si>
  <si>
    <t>MARY CAMPOS-CISNEROS</t>
  </si>
  <si>
    <t>MELVIN BELL</t>
  </si>
  <si>
    <t>MICHIGAN STATE DISBURSEMENT UNIT(MiSDU)</t>
  </si>
  <si>
    <t>MONUMENTAL LIFE INS CO</t>
  </si>
  <si>
    <t>GERALD FLORES OLIVO</t>
  </si>
  <si>
    <t>RANDALL LOONEY</t>
  </si>
  <si>
    <t>TAC HEALTH BENEFITS POOL</t>
  </si>
  <si>
    <t>TOTAL ADMINISTRATIVE SERVICES CORPORATION</t>
  </si>
  <si>
    <t>TEXAS ATTY.GENERAL'S OFFICE</t>
  </si>
  <si>
    <t>TEXAS CNTY &amp; DIST RETIREMENT SYS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</si>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</sst>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43"/>
  <sheetViews>
    <sheetView tabSelected="1" workbookViewId="0"/>
  </sheetViews>
  <sheetFormatPr defaultRowHeight="15" x14ac:dyDescent="0.25"/>
  <cols>
    <col min="1" max="1" width="53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20.5703125" bestFit="1" customWidth="1"/>
    <col min="6" max="6" width="35.5703125" bestFit="1" customWidth="1"/>
    <col min="7" max="7" width="29.85546875" style="3" bestFit="1" customWidth="1"/>
    <col min="8" max="8" width="35.570312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3" t="s">
        <v>6</v>
      </c>
      <c r="H1" t="s">
        <v>7</v>
      </c>
    </row>
    <row r="2" spans="1:8" x14ac:dyDescent="0.25">
      <c r="A2" t="s">
        <v>8</v>
      </c>
      <c r="B2">
        <v>53</v>
      </c>
      <c r="C2" s="2">
        <v>190.25</v>
      </c>
      <c r="D2" s="1">
        <v>43445</v>
      </c>
      <c r="E2" t="str">
        <f>"45177"</f>
        <v>45177</v>
      </c>
      <c r="F2" t="str">
        <f>"INTERNET/FAX"</f>
        <v>INTERNET/FAX</v>
      </c>
      <c r="G2" s="3">
        <v>145.5</v>
      </c>
      <c r="H2" t="str">
        <f>"INTERNET/FAX"</f>
        <v>INTERNET/FAX</v>
      </c>
    </row>
    <row r="3" spans="1:8" x14ac:dyDescent="0.25">
      <c r="E3" t="str">
        <f>"45178"</f>
        <v>45178</v>
      </c>
      <c r="F3" t="str">
        <f>"DOMAIN HOSTING"</f>
        <v>DOMAIN HOSTING</v>
      </c>
      <c r="G3" s="3">
        <v>44.75</v>
      </c>
      <c r="H3" t="str">
        <f>"DOMAIN HOSTING"</f>
        <v>DOMAIN HOSTING</v>
      </c>
    </row>
    <row r="4" spans="1:8" x14ac:dyDescent="0.25">
      <c r="A4" t="s">
        <v>9</v>
      </c>
      <c r="B4">
        <v>2441</v>
      </c>
      <c r="C4" s="2">
        <v>233.57</v>
      </c>
      <c r="D4" s="1">
        <v>43444</v>
      </c>
      <c r="E4" t="str">
        <f>"201812065592"</f>
        <v>201812065592</v>
      </c>
      <c r="F4" t="str">
        <f>"ACCT#100001-8659-708279001"</f>
        <v>ACCT#100001-8659-708279001</v>
      </c>
      <c r="G4" s="3">
        <v>233.57</v>
      </c>
      <c r="H4" t="str">
        <f>"ACCT#100001-8659-708279001"</f>
        <v>ACCT#100001-8659-708279001</v>
      </c>
    </row>
    <row r="5" spans="1:8" x14ac:dyDescent="0.25">
      <c r="A5" t="s">
        <v>10</v>
      </c>
      <c r="B5">
        <v>2448</v>
      </c>
      <c r="C5" s="2">
        <v>42.03</v>
      </c>
      <c r="D5" s="1">
        <v>43461</v>
      </c>
      <c r="E5" t="str">
        <f>"201812195949"</f>
        <v>201812195949</v>
      </c>
      <c r="F5" t="str">
        <f>"ACCT# BASTRO 11/30/2018"</f>
        <v>ACCT# BASTRO 11/30/2018</v>
      </c>
      <c r="G5" s="3">
        <v>42.03</v>
      </c>
      <c r="H5" t="str">
        <f>"ACCT# BASTRO 11/30/2018"</f>
        <v>ACCT# BASTRO 11/30/2018</v>
      </c>
    </row>
    <row r="6" spans="1:8" x14ac:dyDescent="0.25">
      <c r="A6" t="s">
        <v>11</v>
      </c>
      <c r="B6">
        <v>2449</v>
      </c>
      <c r="C6" s="2">
        <v>30.6</v>
      </c>
      <c r="D6" s="1">
        <v>43461</v>
      </c>
      <c r="E6" t="str">
        <f>"1456486614"</f>
        <v>1456486614</v>
      </c>
      <c r="F6" t="str">
        <f>"ACCT#36550462 11/30/2018"</f>
        <v>ACCT#36550462 11/30/2018</v>
      </c>
      <c r="G6" s="3">
        <v>30.6</v>
      </c>
      <c r="H6" t="str">
        <f>"ACCT#36550462 11/30/2018"</f>
        <v>ACCT#36550462 11/30/2018</v>
      </c>
    </row>
    <row r="7" spans="1:8" x14ac:dyDescent="0.25">
      <c r="A7" t="s">
        <v>12</v>
      </c>
      <c r="B7">
        <v>55</v>
      </c>
      <c r="C7" s="2">
        <v>70</v>
      </c>
      <c r="D7" s="1">
        <v>43445</v>
      </c>
      <c r="E7" t="str">
        <f>"201812065593"</f>
        <v>201812065593</v>
      </c>
      <c r="F7" t="str">
        <f>"ALCOHOL &amp; DRUG ASSESS/NOV2018"</f>
        <v>ALCOHOL &amp; DRUG ASSESS/NOV2018</v>
      </c>
      <c r="G7" s="3">
        <v>70</v>
      </c>
      <c r="H7" t="str">
        <f>"ALCOHOL &amp; DRUG ASSESS/NOV2018"</f>
        <v>ALCOHOL &amp; DRUG ASSESS/NOV2018</v>
      </c>
    </row>
    <row r="8" spans="1:8" x14ac:dyDescent="0.25">
      <c r="E8" t="str">
        <f>""</f>
        <v/>
      </c>
      <c r="F8" t="str">
        <f>""</f>
        <v/>
      </c>
      <c r="H8" t="str">
        <f>"ALCOHOL &amp; DRUG ASSESS/NOV2018"</f>
        <v>ALCOHOL &amp; DRUG ASSESS/NOV2018</v>
      </c>
    </row>
    <row r="9" spans="1:8" x14ac:dyDescent="0.25">
      <c r="A9" t="s">
        <v>12</v>
      </c>
      <c r="B9">
        <v>279</v>
      </c>
      <c r="C9" s="2">
        <v>280</v>
      </c>
      <c r="D9" s="1">
        <v>43462</v>
      </c>
      <c r="E9" t="str">
        <f>"201812195956"</f>
        <v>201812195956</v>
      </c>
      <c r="F9" t="str">
        <f>"DECEMBER 2018"</f>
        <v>DECEMBER 2018</v>
      </c>
      <c r="G9" s="3">
        <v>280</v>
      </c>
      <c r="H9" t="str">
        <f>"DECEMBER 2018"</f>
        <v>DECEMBER 2018</v>
      </c>
    </row>
    <row r="10" spans="1:8" x14ac:dyDescent="0.25">
      <c r="E10" t="str">
        <f>""</f>
        <v/>
      </c>
      <c r="F10" t="str">
        <f>""</f>
        <v/>
      </c>
      <c r="H10" t="str">
        <f>"DECEMBER 2018"</f>
        <v>DECEMBER 2018</v>
      </c>
    </row>
    <row r="11" spans="1:8" x14ac:dyDescent="0.25">
      <c r="A11" t="s">
        <v>13</v>
      </c>
      <c r="B11">
        <v>2450</v>
      </c>
      <c r="C11" s="2">
        <v>129.11000000000001</v>
      </c>
      <c r="D11" s="1">
        <v>43461</v>
      </c>
      <c r="E11" t="str">
        <f>"65155376812"</f>
        <v>65155376812</v>
      </c>
      <c r="F11" t="str">
        <f>"ACCT#065 155 376 * 12/06/18"</f>
        <v>ACCT#065 155 376 * 12/06/18</v>
      </c>
      <c r="G11" s="3">
        <v>129.11000000000001</v>
      </c>
      <c r="H11" t="str">
        <f>"ACCT#065 155 376 * 12/06/18"</f>
        <v>ACCT#065 155 376 * 12/06/18</v>
      </c>
    </row>
    <row r="12" spans="1:8" x14ac:dyDescent="0.25">
      <c r="E12" t="str">
        <f>""</f>
        <v/>
      </c>
      <c r="F12" t="str">
        <f>""</f>
        <v/>
      </c>
      <c r="H12" t="str">
        <f>"ACCT#065 155 376 * 12/06/18"</f>
        <v>ACCT#065 155 376 * 12/06/18</v>
      </c>
    </row>
    <row r="13" spans="1:8" x14ac:dyDescent="0.25">
      <c r="A13" t="s">
        <v>14</v>
      </c>
      <c r="B13">
        <v>54</v>
      </c>
      <c r="C13" s="2">
        <v>3980</v>
      </c>
      <c r="D13" s="1">
        <v>43445</v>
      </c>
      <c r="E13" t="str">
        <f>"45743"</f>
        <v>45743</v>
      </c>
      <c r="F13" t="str">
        <f>"PROF SVCS - JANUARY 2019"</f>
        <v>PROF SVCS - JANUARY 2019</v>
      </c>
      <c r="G13" s="3">
        <v>3980</v>
      </c>
      <c r="H13" t="str">
        <f>"PROF SVCS - JANUARY 2019"</f>
        <v>PROF SVCS - JANUARY 2019</v>
      </c>
    </row>
    <row r="14" spans="1:8" x14ac:dyDescent="0.25">
      <c r="A14" t="s">
        <v>15</v>
      </c>
      <c r="B14">
        <v>2451</v>
      </c>
      <c r="C14" s="2">
        <v>252.37</v>
      </c>
      <c r="D14" s="1">
        <v>43461</v>
      </c>
      <c r="E14" t="str">
        <f>"201812195950"</f>
        <v>201812195950</v>
      </c>
      <c r="F14" t="str">
        <f>"FT WORTH TRAVEL REIMB"</f>
        <v>FT WORTH TRAVEL REIMB</v>
      </c>
      <c r="G14" s="3">
        <v>252.37</v>
      </c>
      <c r="H14" t="str">
        <f>"FT WORTH TRAVEL REIMB"</f>
        <v>FT WORTH TRAVEL REIMB</v>
      </c>
    </row>
    <row r="15" spans="1:8" x14ac:dyDescent="0.25">
      <c r="A15" t="s">
        <v>16</v>
      </c>
      <c r="B15">
        <v>2452</v>
      </c>
      <c r="C15" s="2">
        <v>50</v>
      </c>
      <c r="D15" s="1">
        <v>43461</v>
      </c>
      <c r="E15" t="str">
        <f>"1223984-20181130"</f>
        <v>1223984-20181130</v>
      </c>
      <c r="F15" t="str">
        <f>"ACCT#1223984 - 11/30/2018"</f>
        <v>ACCT#1223984 - 11/30/2018</v>
      </c>
      <c r="G15" s="3">
        <v>50</v>
      </c>
      <c r="H15" t="str">
        <f>"ACCT#1223984 - 11/30/2018"</f>
        <v>ACCT#1223984 - 11/30/2018</v>
      </c>
    </row>
    <row r="16" spans="1:8" x14ac:dyDescent="0.25">
      <c r="A16" t="s">
        <v>17</v>
      </c>
      <c r="B16">
        <v>2453</v>
      </c>
      <c r="C16" s="2">
        <v>228.81</v>
      </c>
      <c r="D16" s="1">
        <v>43461</v>
      </c>
      <c r="E16" t="str">
        <f>"201812195951"</f>
        <v>201812195951</v>
      </c>
      <c r="F16" t="str">
        <f>"TRAVEL REIMBURSEMENT DEC"</f>
        <v>TRAVEL REIMBURSEMENT DEC</v>
      </c>
      <c r="G16" s="3">
        <v>228.81</v>
      </c>
      <c r="H16" t="str">
        <f>"TRAVEL REIMBURSEMENT DEC"</f>
        <v>TRAVEL REIMBURSEMENT DEC</v>
      </c>
    </row>
    <row r="17" spans="1:8" x14ac:dyDescent="0.25">
      <c r="A17" t="s">
        <v>18</v>
      </c>
      <c r="B17">
        <v>2442</v>
      </c>
      <c r="C17" s="2">
        <v>607.35</v>
      </c>
      <c r="D17" s="1">
        <v>43444</v>
      </c>
      <c r="E17" t="str">
        <f>"232988660001"</f>
        <v>232988660001</v>
      </c>
      <c r="F17" t="str">
        <f>"ACCT#60805099/BILL ID:3755073"</f>
        <v>ACCT#60805099/BILL ID:3755073</v>
      </c>
      <c r="G17" s="3">
        <v>8.43</v>
      </c>
      <c r="H17" t="str">
        <f>"ACCT#60805099/BILL ID:3755073"</f>
        <v>ACCT#60805099/BILL ID:3755073</v>
      </c>
    </row>
    <row r="18" spans="1:8" x14ac:dyDescent="0.25">
      <c r="E18" t="str">
        <f>"232995527001"</f>
        <v>232995527001</v>
      </c>
      <c r="F18" t="str">
        <f>"ACCT#60805099/BILL ID:3755073"</f>
        <v>ACCT#60805099/BILL ID:3755073</v>
      </c>
      <c r="G18" s="3">
        <v>136.99</v>
      </c>
      <c r="H18" t="str">
        <f>"ACCT#60805099/BILL ID:3755073"</f>
        <v>ACCT#60805099/BILL ID:3755073</v>
      </c>
    </row>
    <row r="19" spans="1:8" x14ac:dyDescent="0.25">
      <c r="E19" t="str">
        <f>"232996057001"</f>
        <v>232996057001</v>
      </c>
      <c r="F19" t="str">
        <f>"ACCT#60805099/BILL ID:3755073"</f>
        <v>ACCT#60805099/BILL ID:3755073</v>
      </c>
      <c r="G19" s="3">
        <v>99.98</v>
      </c>
      <c r="H19" t="str">
        <f>"ACCT#60805099/BILL ID:3755073"</f>
        <v>ACCT#60805099/BILL ID:3755073</v>
      </c>
    </row>
    <row r="20" spans="1:8" x14ac:dyDescent="0.25">
      <c r="E20" t="str">
        <f>"232997817001"</f>
        <v>232997817001</v>
      </c>
      <c r="F20" t="str">
        <f>"ACCT#60805099/BILL ID:3755073"</f>
        <v>ACCT#60805099/BILL ID:3755073</v>
      </c>
      <c r="G20" s="3">
        <v>131.96</v>
      </c>
      <c r="H20" t="str">
        <f>"ACCT#60805099/BILL ID:3755073"</f>
        <v>ACCT#60805099/BILL ID:3755073</v>
      </c>
    </row>
    <row r="21" spans="1:8" x14ac:dyDescent="0.25">
      <c r="E21" t="str">
        <f>"234200215001"</f>
        <v>234200215001</v>
      </c>
      <c r="F21" t="str">
        <f>"ACCT#60805099/BILL ID:3755073"</f>
        <v>ACCT#60805099/BILL ID:3755073</v>
      </c>
      <c r="G21" s="3">
        <v>229.99</v>
      </c>
      <c r="H21" t="str">
        <f>"ACCT#60805099/BILL ID:3755073"</f>
        <v>ACCT#60805099/BILL ID:3755073</v>
      </c>
    </row>
    <row r="22" spans="1:8" x14ac:dyDescent="0.25">
      <c r="A22" t="s">
        <v>18</v>
      </c>
      <c r="B22">
        <v>2454</v>
      </c>
      <c r="C22" s="2">
        <v>540</v>
      </c>
      <c r="D22" s="1">
        <v>43461</v>
      </c>
      <c r="E22" t="str">
        <f>"241295984001"</f>
        <v>241295984001</v>
      </c>
      <c r="F22" t="str">
        <f>"ACCT#60805099 / CSCD"</f>
        <v>ACCT#60805099 / CSCD</v>
      </c>
      <c r="G22" s="3">
        <v>218.16</v>
      </c>
      <c r="H22" t="str">
        <f>"ACCT#60805099 / CSCD"</f>
        <v>ACCT#60805099 / CSCD</v>
      </c>
    </row>
    <row r="23" spans="1:8" x14ac:dyDescent="0.25">
      <c r="E23" t="str">
        <f>"241297083001"</f>
        <v>241297083001</v>
      </c>
      <c r="F23" t="str">
        <f>"ACCT#60805099 / CSCD"</f>
        <v>ACCT#60805099 / CSCD</v>
      </c>
      <c r="G23" s="3">
        <v>273.98</v>
      </c>
      <c r="H23" t="str">
        <f>"ACCT#60805099 / CSCD"</f>
        <v>ACCT#60805099 / CSCD</v>
      </c>
    </row>
    <row r="24" spans="1:8" x14ac:dyDescent="0.25">
      <c r="E24" t="str">
        <f>"245598245001"</f>
        <v>245598245001</v>
      </c>
      <c r="F24" t="str">
        <f>"ACCT#60805099 / CSCD"</f>
        <v>ACCT#60805099 / CSCD</v>
      </c>
      <c r="G24" s="3">
        <v>5.52</v>
      </c>
      <c r="H24" t="str">
        <f>"ACCT#60805099 / CSCD"</f>
        <v>ACCT#60805099 / CSCD</v>
      </c>
    </row>
    <row r="25" spans="1:8" x14ac:dyDescent="0.25">
      <c r="E25" t="str">
        <f>"245602279001"</f>
        <v>245602279001</v>
      </c>
      <c r="F25" t="str">
        <f>"ACCT#60805099 / CSCD"</f>
        <v>ACCT#60805099 / CSCD</v>
      </c>
      <c r="G25" s="3">
        <v>42.34</v>
      </c>
      <c r="H25" t="str">
        <f>"ACCT#60805099 / CSCD"</f>
        <v>ACCT#60805099 / CSCD</v>
      </c>
    </row>
    <row r="26" spans="1:8" x14ac:dyDescent="0.25">
      <c r="A26" t="s">
        <v>19</v>
      </c>
      <c r="B26">
        <v>2455</v>
      </c>
      <c r="C26" s="2">
        <v>29</v>
      </c>
      <c r="D26" s="1">
        <v>43461</v>
      </c>
      <c r="E26" t="str">
        <f>"83491"</f>
        <v>83491</v>
      </c>
      <c r="F26" t="str">
        <f>"CLIENT ID 21254 NOV 2018"</f>
        <v>CLIENT ID 21254 NOV 2018</v>
      </c>
      <c r="G26" s="3">
        <v>12</v>
      </c>
      <c r="H26" t="str">
        <f>"CLIENT ID 21254 NOV 2018"</f>
        <v>CLIENT ID 21254 NOV 2018</v>
      </c>
    </row>
    <row r="27" spans="1:8" x14ac:dyDescent="0.25">
      <c r="E27" t="str">
        <f>"83492"</f>
        <v>83492</v>
      </c>
      <c r="F27" t="str">
        <f>"CLIENT ID#21263 NOV 2018"</f>
        <v>CLIENT ID#21263 NOV 2018</v>
      </c>
      <c r="G27" s="3">
        <v>17</v>
      </c>
      <c r="H27" t="str">
        <f>"CLIENT ID#21263 NOV 2018"</f>
        <v>CLIENT ID#21263 NOV 2018</v>
      </c>
    </row>
    <row r="28" spans="1:8" x14ac:dyDescent="0.25">
      <c r="A28" t="s">
        <v>20</v>
      </c>
      <c r="B28">
        <v>2443</v>
      </c>
      <c r="C28" s="2">
        <v>346</v>
      </c>
      <c r="D28" s="1">
        <v>43444</v>
      </c>
      <c r="E28" t="str">
        <f>"101409626"</f>
        <v>101409626</v>
      </c>
      <c r="F28" t="str">
        <f>"ACCT#969045-1009520A9"</f>
        <v>ACCT#969045-1009520A9</v>
      </c>
      <c r="G28" s="3">
        <v>178</v>
      </c>
      <c r="H28" t="str">
        <f>"ACCT#969045-1009520A9"</f>
        <v>ACCT#969045-1009520A9</v>
      </c>
    </row>
    <row r="29" spans="1:8" x14ac:dyDescent="0.25">
      <c r="E29" t="str">
        <f>"101410559"</f>
        <v>101410559</v>
      </c>
      <c r="F29" t="str">
        <f>"ACCT#1581891-1029681ML"</f>
        <v>ACCT#1581891-1029681ML</v>
      </c>
      <c r="G29" s="3">
        <v>168</v>
      </c>
      <c r="H29" t="str">
        <f>"ACCT#1581891-1029681ML"</f>
        <v>ACCT#1581891-1029681ML</v>
      </c>
    </row>
    <row r="30" spans="1:8" x14ac:dyDescent="0.25">
      <c r="A30" t="s">
        <v>21</v>
      </c>
      <c r="B30">
        <v>278</v>
      </c>
      <c r="C30" s="2">
        <v>29.1</v>
      </c>
      <c r="D30" s="1">
        <v>43462</v>
      </c>
      <c r="E30" t="str">
        <f>"201812195957"</f>
        <v>201812195957</v>
      </c>
      <c r="F30" t="str">
        <f>"ACCT #PROBAT - 12/01/18"</f>
        <v>ACCT #PROBAT - 12/01/18</v>
      </c>
      <c r="G30" s="3">
        <v>29.1</v>
      </c>
      <c r="H30" t="str">
        <f>"ACCT #PROBAT - 12/01/18"</f>
        <v>ACCT #PROBAT - 12/01/18</v>
      </c>
    </row>
    <row r="31" spans="1:8" x14ac:dyDescent="0.25">
      <c r="A31" t="s">
        <v>22</v>
      </c>
      <c r="B31">
        <v>2444</v>
      </c>
      <c r="C31" s="2">
        <v>885</v>
      </c>
      <c r="D31" s="1">
        <v>43444</v>
      </c>
      <c r="E31" t="str">
        <f>"12113"</f>
        <v>12113</v>
      </c>
      <c r="F31" t="str">
        <f>"U/A SUPPLIES"</f>
        <v>U/A SUPPLIES</v>
      </c>
      <c r="G31" s="3">
        <v>885</v>
      </c>
      <c r="H31" t="str">
        <f>"U/A SUPPLIES"</f>
        <v>U/A SUPPLIES</v>
      </c>
    </row>
    <row r="32" spans="1:8" x14ac:dyDescent="0.25">
      <c r="A32" t="s">
        <v>23</v>
      </c>
      <c r="B32">
        <v>2445</v>
      </c>
      <c r="C32" s="2">
        <v>407.13</v>
      </c>
      <c r="D32" s="1">
        <v>43444</v>
      </c>
      <c r="E32" t="str">
        <f>"0047972111918"</f>
        <v>0047972111918</v>
      </c>
      <c r="F32" t="str">
        <f>"ACCT#8260 16 111 0047972"</f>
        <v>ACCT#8260 16 111 0047972</v>
      </c>
      <c r="G32" s="3">
        <v>407.13</v>
      </c>
      <c r="H32" t="str">
        <f>"ACCT#8260 16 111 0047972"</f>
        <v>ACCT#8260 16 111 0047972</v>
      </c>
    </row>
    <row r="33" spans="1:8" x14ac:dyDescent="0.25">
      <c r="A33" t="s">
        <v>24</v>
      </c>
      <c r="B33">
        <v>2456</v>
      </c>
      <c r="C33" s="2">
        <v>46.45</v>
      </c>
      <c r="D33" s="1">
        <v>43461</v>
      </c>
      <c r="E33" t="str">
        <f>"98171"</f>
        <v>98171</v>
      </c>
      <c r="F33" t="str">
        <f>"AR261463 - 12/05/2018"</f>
        <v>AR261463 - 12/05/2018</v>
      </c>
      <c r="G33" s="3">
        <v>46.45</v>
      </c>
      <c r="H33" t="str">
        <f>"AR261463 - 12/05/2018"</f>
        <v>AR261463 - 12/05/2018</v>
      </c>
    </row>
    <row r="34" spans="1:8" x14ac:dyDescent="0.25">
      <c r="A34" t="s">
        <v>25</v>
      </c>
      <c r="B34">
        <v>2457</v>
      </c>
      <c r="C34" s="2">
        <v>74.95</v>
      </c>
      <c r="D34" s="1">
        <v>43461</v>
      </c>
      <c r="E34" t="str">
        <f>"201812195952"</f>
        <v>201812195952</v>
      </c>
      <c r="F34" t="str">
        <f>"REIMBURSEMENT"</f>
        <v>REIMBURSEMENT</v>
      </c>
      <c r="G34" s="3">
        <v>74.95</v>
      </c>
      <c r="H34" t="str">
        <f>"REIMBURSEMENT"</f>
        <v>REIMBURSEMENT</v>
      </c>
    </row>
    <row r="35" spans="1:8" x14ac:dyDescent="0.25">
      <c r="A35" t="s">
        <v>26</v>
      </c>
      <c r="B35">
        <v>24</v>
      </c>
      <c r="C35" s="2">
        <v>1051.73</v>
      </c>
      <c r="D35" s="1">
        <v>43461</v>
      </c>
      <c r="E35" t="str">
        <f>"201812195953"</f>
        <v>201812195953</v>
      </c>
      <c r="F35" t="str">
        <f>"ACCT# 0132 - 12/03/2018"</f>
        <v>ACCT# 0132 - 12/03/2018</v>
      </c>
      <c r="G35" s="3">
        <v>1051.73</v>
      </c>
      <c r="H35" t="str">
        <f t="shared" ref="H35:H40" si="0">"ACCT# 0132 - 12/03/2018"</f>
        <v>ACCT# 0132 - 12/03/2018</v>
      </c>
    </row>
    <row r="36" spans="1:8" x14ac:dyDescent="0.25">
      <c r="E36" t="str">
        <f>""</f>
        <v/>
      </c>
      <c r="F36" t="str">
        <f>""</f>
        <v/>
      </c>
      <c r="H36" t="str">
        <f t="shared" si="0"/>
        <v>ACCT# 0132 - 12/03/2018</v>
      </c>
    </row>
    <row r="37" spans="1:8" x14ac:dyDescent="0.25">
      <c r="E37" t="str">
        <f>""</f>
        <v/>
      </c>
      <c r="F37" t="str">
        <f>""</f>
        <v/>
      </c>
      <c r="H37" t="str">
        <f t="shared" si="0"/>
        <v>ACCT# 0132 - 12/03/2018</v>
      </c>
    </row>
    <row r="38" spans="1:8" x14ac:dyDescent="0.25">
      <c r="E38" t="str">
        <f>""</f>
        <v/>
      </c>
      <c r="F38" t="str">
        <f>""</f>
        <v/>
      </c>
      <c r="H38" t="str">
        <f t="shared" si="0"/>
        <v>ACCT# 0132 - 12/03/2018</v>
      </c>
    </row>
    <row r="39" spans="1:8" x14ac:dyDescent="0.25">
      <c r="E39" t="str">
        <f>""</f>
        <v/>
      </c>
      <c r="F39" t="str">
        <f>""</f>
        <v/>
      </c>
      <c r="H39" t="str">
        <f t="shared" si="0"/>
        <v>ACCT# 0132 - 12/03/2018</v>
      </c>
    </row>
    <row r="40" spans="1:8" x14ac:dyDescent="0.25">
      <c r="E40" t="str">
        <f>""</f>
        <v/>
      </c>
      <c r="F40" t="str">
        <f>""</f>
        <v/>
      </c>
      <c r="H40" t="str">
        <f t="shared" si="0"/>
        <v>ACCT# 0132 - 12/03/2018</v>
      </c>
    </row>
    <row r="41" spans="1:8" x14ac:dyDescent="0.25">
      <c r="A41" t="s">
        <v>27</v>
      </c>
      <c r="B41">
        <v>2458</v>
      </c>
      <c r="C41" s="2">
        <v>117.99</v>
      </c>
      <c r="D41" s="1">
        <v>43461</v>
      </c>
      <c r="E41" t="str">
        <f>"201812195954"</f>
        <v>201812195954</v>
      </c>
      <c r="F41" t="str">
        <f>"REIMBURSEMENT"</f>
        <v>REIMBURSEMENT</v>
      </c>
      <c r="G41" s="3">
        <v>117.99</v>
      </c>
      <c r="H41" t="str">
        <f>"REIMBURSEMENT"</f>
        <v>REIMBURSEMENT</v>
      </c>
    </row>
    <row r="42" spans="1:8" x14ac:dyDescent="0.25">
      <c r="A42" t="s">
        <v>28</v>
      </c>
      <c r="B42">
        <v>2446</v>
      </c>
      <c r="C42" s="2">
        <v>195</v>
      </c>
      <c r="D42" s="1">
        <v>43444</v>
      </c>
      <c r="E42" t="str">
        <f>"23776550"</f>
        <v>23776550</v>
      </c>
      <c r="F42" t="str">
        <f>"AGREEMENT#012-1173727-000"</f>
        <v>AGREEMENT#012-1173727-000</v>
      </c>
      <c r="G42" s="3">
        <v>195</v>
      </c>
      <c r="H42" t="str">
        <f>"AGREEMENT#012-1173727-000"</f>
        <v>AGREEMENT#012-1173727-000</v>
      </c>
    </row>
    <row r="43" spans="1:8" x14ac:dyDescent="0.25">
      <c r="A43" t="s">
        <v>29</v>
      </c>
      <c r="B43">
        <v>2459</v>
      </c>
      <c r="C43" s="2">
        <v>210.18</v>
      </c>
      <c r="D43" s="1">
        <v>43461</v>
      </c>
      <c r="E43" t="str">
        <f>"201812195955"</f>
        <v>201812195955</v>
      </c>
      <c r="F43" t="str">
        <f>"ACCT# 4019 - 12/03/2018"</f>
        <v>ACCT# 4019 - 12/03/2018</v>
      </c>
      <c r="G43" s="3">
        <v>210.18</v>
      </c>
      <c r="H43" t="str">
        <f>"ACCT# 4019 - 12/03/2018"</f>
        <v>ACCT# 4019 - 12/03/2018</v>
      </c>
    </row>
    <row r="44" spans="1:8" x14ac:dyDescent="0.25">
      <c r="E44" t="str">
        <f>""</f>
        <v/>
      </c>
      <c r="F44" t="str">
        <f>""</f>
        <v/>
      </c>
      <c r="H44" t="str">
        <f>"ACCT# 4019 - 12/03/2018"</f>
        <v>ACCT# 4019 - 12/03/2018</v>
      </c>
    </row>
    <row r="45" spans="1:8" x14ac:dyDescent="0.25">
      <c r="A45" t="s">
        <v>30</v>
      </c>
      <c r="B45">
        <v>2447</v>
      </c>
      <c r="C45" s="2">
        <v>110</v>
      </c>
      <c r="D45" s="1">
        <v>43444</v>
      </c>
      <c r="E45" t="str">
        <f>"201812065594"</f>
        <v>201812065594</v>
      </c>
      <c r="F45" t="str">
        <f>"PER DIEM"</f>
        <v>PER DIEM</v>
      </c>
      <c r="G45" s="3">
        <v>110</v>
      </c>
      <c r="H45" t="str">
        <f>"PER DIEM"</f>
        <v>PER DIEM</v>
      </c>
    </row>
    <row r="46" spans="1:8" x14ac:dyDescent="0.25">
      <c r="A46" t="s">
        <v>31</v>
      </c>
      <c r="B46">
        <v>80100</v>
      </c>
      <c r="C46" s="2">
        <v>15</v>
      </c>
      <c r="D46" s="1">
        <v>43461</v>
      </c>
      <c r="E46" t="str">
        <f>"201812185863"</f>
        <v>201812185863</v>
      </c>
      <c r="F46" t="str">
        <f>"REFUND BAIL BOND COUPON"</f>
        <v>REFUND BAIL BOND COUPON</v>
      </c>
      <c r="G46" s="3">
        <v>15</v>
      </c>
      <c r="H46" t="str">
        <f>"REFUND BAIL BOND COUPON"</f>
        <v>REFUND BAIL BOND COUPON</v>
      </c>
    </row>
    <row r="47" spans="1:8" x14ac:dyDescent="0.25">
      <c r="A47" t="s">
        <v>32</v>
      </c>
      <c r="B47">
        <v>79888</v>
      </c>
      <c r="C47" s="2">
        <v>26585.82</v>
      </c>
      <c r="D47" s="1">
        <v>43444</v>
      </c>
      <c r="E47" t="str">
        <f>"9725-001-104461"</f>
        <v>9725-001-104461</v>
      </c>
      <c r="F47" t="str">
        <f>"ACCT#9725-001/REC BASE/PCT#2"</f>
        <v>ACCT#9725-001/REC BASE/PCT#2</v>
      </c>
      <c r="G47" s="3">
        <v>625.45000000000005</v>
      </c>
      <c r="H47" t="str">
        <f>"ACCT#9725-001/REC BASE/PCT#2"</f>
        <v>ACCT#9725-001/REC BASE/PCT#2</v>
      </c>
    </row>
    <row r="48" spans="1:8" x14ac:dyDescent="0.25">
      <c r="E48" t="str">
        <f>"9725-001-104488"</f>
        <v>9725-001-104488</v>
      </c>
      <c r="F48" t="str">
        <f>"ACCT#9725-001/REC BASE/PCT#2"</f>
        <v>ACCT#9725-001/REC BASE/PCT#2</v>
      </c>
      <c r="G48" s="3">
        <v>2001.22</v>
      </c>
      <c r="H48" t="str">
        <f>"ACCT#9725-001/REC BASE/PCT#2"</f>
        <v>ACCT#9725-001/REC BASE/PCT#2</v>
      </c>
    </row>
    <row r="49" spans="1:8" x14ac:dyDescent="0.25">
      <c r="E49" t="str">
        <f>"9725-001-104522"</f>
        <v>9725-001-104522</v>
      </c>
      <c r="F49" t="str">
        <f>"ACCT#9725-001/REC BASE/PCT#2"</f>
        <v>ACCT#9725-001/REC BASE/PCT#2</v>
      </c>
      <c r="G49" s="3">
        <v>5288.78</v>
      </c>
      <c r="H49" t="str">
        <f>"ACCT#9725-001/REC BASE/PCT#2"</f>
        <v>ACCT#9725-001/REC BASE/PCT#2</v>
      </c>
    </row>
    <row r="50" spans="1:8" x14ac:dyDescent="0.25">
      <c r="E50" t="str">
        <f>"9725-001-104553"</f>
        <v>9725-001-104553</v>
      </c>
      <c r="F50" t="str">
        <f>"ACCT#9725-001/REC BASE/PCT#2"</f>
        <v>ACCT#9725-001/REC BASE/PCT#2</v>
      </c>
      <c r="G50" s="3">
        <v>2277.0300000000002</v>
      </c>
      <c r="H50" t="str">
        <f>"ACCT#9725-001/REC BASE/PCT#2"</f>
        <v>ACCT#9725-001/REC BASE/PCT#2</v>
      </c>
    </row>
    <row r="51" spans="1:8" x14ac:dyDescent="0.25">
      <c r="E51" t="str">
        <f>"9725-002-104425"</f>
        <v>9725-002-104425</v>
      </c>
      <c r="F51" t="str">
        <f>"ACCT#9725-002/REC BASE/PCT#2"</f>
        <v>ACCT#9725-002/REC BASE/PCT#2</v>
      </c>
      <c r="G51" s="3">
        <v>407.23</v>
      </c>
      <c r="H51" t="str">
        <f>"ACCT#9725-002/REC BASE/PCT#2"</f>
        <v>ACCT#9725-002/REC BASE/PCT#2</v>
      </c>
    </row>
    <row r="52" spans="1:8" x14ac:dyDescent="0.25">
      <c r="E52" t="str">
        <f>"9725-004-104235"</f>
        <v>9725-004-104235</v>
      </c>
      <c r="F52" t="str">
        <f>"ACCT#9725-004/REC BASE/PCT#1"</f>
        <v>ACCT#9725-004/REC BASE/PCT#1</v>
      </c>
      <c r="G52" s="3">
        <v>2300.13</v>
      </c>
      <c r="H52" t="str">
        <f>"ACCT#9725-004/REC BASE/PCT#1"</f>
        <v>ACCT#9725-004/REC BASE/PCT#1</v>
      </c>
    </row>
    <row r="53" spans="1:8" x14ac:dyDescent="0.25">
      <c r="E53" t="str">
        <f>"9725-004-104257"</f>
        <v>9725-004-104257</v>
      </c>
      <c r="F53" t="str">
        <f>"ACCT#9725-004/PCT#2"</f>
        <v>ACCT#9725-004/PCT#2</v>
      </c>
      <c r="G53" s="3">
        <v>1379.81</v>
      </c>
      <c r="H53" t="str">
        <f>"ACCT#9725-004/PCT#2"</f>
        <v>ACCT#9725-004/PCT#2</v>
      </c>
    </row>
    <row r="54" spans="1:8" x14ac:dyDescent="0.25">
      <c r="E54" t="str">
        <f>"9725-004-104434"</f>
        <v>9725-004-104434</v>
      </c>
      <c r="F54" t="str">
        <f t="shared" ref="F54:F59" si="1">"ACCT#9725-004/REC BASE/PCT#1"</f>
        <v>ACCT#9725-004/REC BASE/PCT#1</v>
      </c>
      <c r="G54" s="3">
        <v>1793.1</v>
      </c>
      <c r="H54" t="str">
        <f t="shared" ref="H54:H59" si="2">"ACCT#9725-004/REC BASE/PCT#1"</f>
        <v>ACCT#9725-004/REC BASE/PCT#1</v>
      </c>
    </row>
    <row r="55" spans="1:8" x14ac:dyDescent="0.25">
      <c r="E55" t="str">
        <f>"9725-004-104473"</f>
        <v>9725-004-104473</v>
      </c>
      <c r="F55" t="str">
        <f t="shared" si="1"/>
        <v>ACCT#9725-004/REC BASE/PCT#1</v>
      </c>
      <c r="G55" s="3">
        <v>1502.91</v>
      </c>
      <c r="H55" t="str">
        <f t="shared" si="2"/>
        <v>ACCT#9725-004/REC BASE/PCT#1</v>
      </c>
    </row>
    <row r="56" spans="1:8" x14ac:dyDescent="0.25">
      <c r="E56" t="str">
        <f>"9725-004-104505"</f>
        <v>9725-004-104505</v>
      </c>
      <c r="F56" t="str">
        <f t="shared" si="1"/>
        <v>ACCT#9725-004/REC BASE/PCT#1</v>
      </c>
      <c r="G56" s="3">
        <v>1711.17</v>
      </c>
      <c r="H56" t="str">
        <f t="shared" si="2"/>
        <v>ACCT#9725-004/REC BASE/PCT#1</v>
      </c>
    </row>
    <row r="57" spans="1:8" x14ac:dyDescent="0.25">
      <c r="E57" t="str">
        <f>"9725-004-104536"</f>
        <v>9725-004-104536</v>
      </c>
      <c r="F57" t="str">
        <f t="shared" si="1"/>
        <v>ACCT#9725-004/REC BASE/PCT#1</v>
      </c>
      <c r="G57" s="3">
        <v>1843.99</v>
      </c>
      <c r="H57" t="str">
        <f t="shared" si="2"/>
        <v>ACCT#9725-004/REC BASE/PCT#1</v>
      </c>
    </row>
    <row r="58" spans="1:8" x14ac:dyDescent="0.25">
      <c r="E58" t="str">
        <f>"9725-004-104610"</f>
        <v>9725-004-104610</v>
      </c>
      <c r="F58" t="str">
        <f t="shared" si="1"/>
        <v>ACCT#9725-004/REC BASE/PCT#1</v>
      </c>
      <c r="G58" s="3">
        <v>2373.65</v>
      </c>
      <c r="H58" t="str">
        <f t="shared" si="2"/>
        <v>ACCT#9725-004/REC BASE/PCT#1</v>
      </c>
    </row>
    <row r="59" spans="1:8" x14ac:dyDescent="0.25">
      <c r="E59" t="str">
        <f>"9725-004-104655"</f>
        <v>9725-004-104655</v>
      </c>
      <c r="F59" t="str">
        <f t="shared" si="1"/>
        <v>ACCT#9725-004/REC BASE/PCT#1</v>
      </c>
      <c r="G59" s="3">
        <v>3081.35</v>
      </c>
      <c r="H59" t="str">
        <f t="shared" si="2"/>
        <v>ACCT#9725-004/REC BASE/PCT#1</v>
      </c>
    </row>
    <row r="60" spans="1:8" x14ac:dyDescent="0.25">
      <c r="A60" t="s">
        <v>32</v>
      </c>
      <c r="B60">
        <v>80101</v>
      </c>
      <c r="C60" s="2">
        <v>33072.870000000003</v>
      </c>
      <c r="D60" s="1">
        <v>43461</v>
      </c>
      <c r="E60" t="str">
        <f>"9725-001-104594"</f>
        <v>9725-001-104594</v>
      </c>
      <c r="F60" t="str">
        <f t="shared" ref="F60:F69" si="3">"ACCT#9725-001/REC BASE/PCT#2"</f>
        <v>ACCT#9725-001/REC BASE/PCT#2</v>
      </c>
      <c r="G60" s="3">
        <v>3794.45</v>
      </c>
      <c r="H60" t="str">
        <f t="shared" ref="H60:H69" si="4">"ACCT#9725-001/REC BASE/PCT#2"</f>
        <v>ACCT#9725-001/REC BASE/PCT#2</v>
      </c>
    </row>
    <row r="61" spans="1:8" x14ac:dyDescent="0.25">
      <c r="E61" t="str">
        <f>"9725-001-104638"</f>
        <v>9725-001-104638</v>
      </c>
      <c r="F61" t="str">
        <f t="shared" si="3"/>
        <v>ACCT#9725-001/REC BASE/PCT#2</v>
      </c>
      <c r="G61" s="3">
        <v>4604.6099999999997</v>
      </c>
      <c r="H61" t="str">
        <f t="shared" si="4"/>
        <v>ACCT#9725-001/REC BASE/PCT#2</v>
      </c>
    </row>
    <row r="62" spans="1:8" x14ac:dyDescent="0.25">
      <c r="E62" t="str">
        <f>"9725-001-104668"</f>
        <v>9725-001-104668</v>
      </c>
      <c r="F62" t="str">
        <f t="shared" si="3"/>
        <v>ACCT#9725-001/REC BASE/PCT#2</v>
      </c>
      <c r="G62" s="3">
        <v>423.68</v>
      </c>
      <c r="H62" t="str">
        <f t="shared" si="4"/>
        <v>ACCT#9725-001/REC BASE/PCT#2</v>
      </c>
    </row>
    <row r="63" spans="1:8" x14ac:dyDescent="0.25">
      <c r="E63" t="str">
        <f>"9725-001-104697"</f>
        <v>9725-001-104697</v>
      </c>
      <c r="F63" t="str">
        <f t="shared" si="3"/>
        <v>ACCT#9725-001/REC BASE/PCT#2</v>
      </c>
      <c r="G63" s="3">
        <v>3523.11</v>
      </c>
      <c r="H63" t="str">
        <f t="shared" si="4"/>
        <v>ACCT#9725-001/REC BASE/PCT#2</v>
      </c>
    </row>
    <row r="64" spans="1:8" x14ac:dyDescent="0.25">
      <c r="E64" t="str">
        <f>"9725-001-104730"</f>
        <v>9725-001-104730</v>
      </c>
      <c r="F64" t="str">
        <f t="shared" si="3"/>
        <v>ACCT#9725-001/REC BASE/PCT#2</v>
      </c>
      <c r="G64" s="3">
        <v>215.16</v>
      </c>
      <c r="H64" t="str">
        <f t="shared" si="4"/>
        <v>ACCT#9725-001/REC BASE/PCT#2</v>
      </c>
    </row>
    <row r="65" spans="1:8" x14ac:dyDescent="0.25">
      <c r="E65" t="str">
        <f>"9725-001-104752"</f>
        <v>9725-001-104752</v>
      </c>
      <c r="F65" t="str">
        <f t="shared" si="3"/>
        <v>ACCT#9725-001/REC BASE/PCT#2</v>
      </c>
      <c r="G65" s="3">
        <v>5865.25</v>
      </c>
      <c r="H65" t="str">
        <f t="shared" si="4"/>
        <v>ACCT#9725-001/REC BASE/PCT#2</v>
      </c>
    </row>
    <row r="66" spans="1:8" x14ac:dyDescent="0.25">
      <c r="E66" t="str">
        <f>"9725-001-104792"</f>
        <v>9725-001-104792</v>
      </c>
      <c r="F66" t="str">
        <f t="shared" si="3"/>
        <v>ACCT#9725-001/REC BASE/PCT#2</v>
      </c>
      <c r="G66" s="3">
        <v>4873.49</v>
      </c>
      <c r="H66" t="str">
        <f t="shared" si="4"/>
        <v>ACCT#9725-001/REC BASE/PCT#2</v>
      </c>
    </row>
    <row r="67" spans="1:8" x14ac:dyDescent="0.25">
      <c r="E67" t="str">
        <f>"9725-001-104820"</f>
        <v>9725-001-104820</v>
      </c>
      <c r="F67" t="str">
        <f t="shared" si="3"/>
        <v>ACCT#9725-001/REC BASE/PCT#2</v>
      </c>
      <c r="G67" s="3">
        <v>638.57000000000005</v>
      </c>
      <c r="H67" t="str">
        <f t="shared" si="4"/>
        <v>ACCT#9725-001/REC BASE/PCT#2</v>
      </c>
    </row>
    <row r="68" spans="1:8" x14ac:dyDescent="0.25">
      <c r="E68" t="str">
        <f>"9725-001-104851"</f>
        <v>9725-001-104851</v>
      </c>
      <c r="F68" t="str">
        <f t="shared" si="3"/>
        <v>ACCT#9725-001/REC BASE/PCT#2</v>
      </c>
      <c r="G68" s="3">
        <v>1494.41</v>
      </c>
      <c r="H68" t="str">
        <f t="shared" si="4"/>
        <v>ACCT#9725-001/REC BASE/PCT#2</v>
      </c>
    </row>
    <row r="69" spans="1:8" x14ac:dyDescent="0.25">
      <c r="E69" t="str">
        <f>"9725-001-104896"</f>
        <v>9725-001-104896</v>
      </c>
      <c r="F69" t="str">
        <f t="shared" si="3"/>
        <v>ACCT#9725-001/REC BASE/PCT#2</v>
      </c>
      <c r="G69" s="3">
        <v>1276.8900000000001</v>
      </c>
      <c r="H69" t="str">
        <f t="shared" si="4"/>
        <v>ACCT#9725-001/REC BASE/PCT#2</v>
      </c>
    </row>
    <row r="70" spans="1:8" x14ac:dyDescent="0.25">
      <c r="E70" t="str">
        <f>"9725-004-104710"</f>
        <v>9725-004-104710</v>
      </c>
      <c r="F70" t="str">
        <f>"ACCT#9725-004/REC BASE/PCT#1"</f>
        <v>ACCT#9725-004/REC BASE/PCT#1</v>
      </c>
      <c r="G70" s="3">
        <v>2702.91</v>
      </c>
      <c r="H70" t="str">
        <f>"ACCT#9725-004/REC BASE/PCT#1"</f>
        <v>ACCT#9725-004/REC BASE/PCT#1</v>
      </c>
    </row>
    <row r="71" spans="1:8" x14ac:dyDescent="0.25">
      <c r="E71" t="str">
        <f>"9725-004-104766"</f>
        <v>9725-004-104766</v>
      </c>
      <c r="F71" t="str">
        <f>"ACCT#9725-004/REC BASE/PCT#1"</f>
        <v>ACCT#9725-004/REC BASE/PCT#1</v>
      </c>
      <c r="G71" s="3">
        <v>480.65</v>
      </c>
      <c r="H71" t="str">
        <f>"ACCT#9725-004/REC BASE/PCT#1"</f>
        <v>ACCT#9725-004/REC BASE/PCT#1</v>
      </c>
    </row>
    <row r="72" spans="1:8" x14ac:dyDescent="0.25">
      <c r="E72" t="str">
        <f>"9725-004-104807"</f>
        <v>9725-004-104807</v>
      </c>
      <c r="F72" t="str">
        <f>"ACCT#9725-004/REC BASE/PCT#1"</f>
        <v>ACCT#9725-004/REC BASE/PCT#1</v>
      </c>
      <c r="G72" s="3">
        <v>1049.1300000000001</v>
      </c>
      <c r="H72" t="str">
        <f>"ACCT#9725-004/REC BASE/PCT#1"</f>
        <v>ACCT#9725-004/REC BASE/PCT#1</v>
      </c>
    </row>
    <row r="73" spans="1:8" x14ac:dyDescent="0.25">
      <c r="E73" t="str">
        <f>"9725-004-104836"</f>
        <v>9725-004-104836</v>
      </c>
      <c r="F73" t="str">
        <f>"RECYCLED BASE / PCT #1"</f>
        <v>RECYCLED BASE / PCT #1</v>
      </c>
      <c r="G73" s="3">
        <v>508.73</v>
      </c>
      <c r="H73" t="str">
        <f>"RECYCLED BASE / PCT #1"</f>
        <v>RECYCLED BASE / PCT #1</v>
      </c>
    </row>
    <row r="74" spans="1:8" x14ac:dyDescent="0.25">
      <c r="E74" t="str">
        <f>"9725-004-104869"</f>
        <v>9725-004-104869</v>
      </c>
      <c r="F74" t="str">
        <f>"RECYCLED BASE / PCT #1"</f>
        <v>RECYCLED BASE / PCT #1</v>
      </c>
      <c r="G74" s="3">
        <v>373.72</v>
      </c>
      <c r="H74" t="str">
        <f>"RECYCLED BASE / PCT #1"</f>
        <v>RECYCLED BASE / PCT #1</v>
      </c>
    </row>
    <row r="75" spans="1:8" x14ac:dyDescent="0.25">
      <c r="E75" t="str">
        <f>"9725-004-104941"</f>
        <v>9725-004-104941</v>
      </c>
      <c r="F75" t="str">
        <f>"RECYCLED BASE / PCT #1"</f>
        <v>RECYCLED BASE / PCT #1</v>
      </c>
      <c r="G75" s="3">
        <v>374.24</v>
      </c>
      <c r="H75" t="str">
        <f>"RECYCLED BASE / PCT #1"</f>
        <v>RECYCLED BASE / PCT #1</v>
      </c>
    </row>
    <row r="76" spans="1:8" x14ac:dyDescent="0.25">
      <c r="E76" t="str">
        <f>"9725-004-104976"</f>
        <v>9725-004-104976</v>
      </c>
      <c r="F76" t="str">
        <f>"RECYCLED BASE / PCT #1"</f>
        <v>RECYCLED BASE / PCT #1</v>
      </c>
      <c r="G76" s="3">
        <v>873.87</v>
      </c>
      <c r="H76" t="str">
        <f>"RECYCLED BASE / PCT #1"</f>
        <v>RECYCLED BASE / PCT #1</v>
      </c>
    </row>
    <row r="77" spans="1:8" x14ac:dyDescent="0.25">
      <c r="A77" t="s">
        <v>33</v>
      </c>
      <c r="B77">
        <v>80102</v>
      </c>
      <c r="C77" s="2">
        <v>30</v>
      </c>
      <c r="D77" s="1">
        <v>43461</v>
      </c>
      <c r="E77" t="str">
        <f>"201812185864"</f>
        <v>201812185864</v>
      </c>
      <c r="F77" t="str">
        <f>"BAIL BOND COUPONS"</f>
        <v>BAIL BOND COUPONS</v>
      </c>
      <c r="G77" s="3">
        <v>30</v>
      </c>
      <c r="H77" t="str">
        <f>"BAIL BOND COUPONS"</f>
        <v>BAIL BOND COUPONS</v>
      </c>
    </row>
    <row r="78" spans="1:8" x14ac:dyDescent="0.25">
      <c r="A78" t="s">
        <v>34</v>
      </c>
      <c r="B78">
        <v>79889</v>
      </c>
      <c r="C78" s="2">
        <v>25.69</v>
      </c>
      <c r="D78" s="1">
        <v>43444</v>
      </c>
      <c r="E78" t="str">
        <f>"201811305422"</f>
        <v>201811305422</v>
      </c>
      <c r="F78" t="str">
        <f>"CUST#16500/ST#327854/PCT#4"</f>
        <v>CUST#16500/ST#327854/PCT#4</v>
      </c>
      <c r="G78" s="3">
        <v>25.69</v>
      </c>
      <c r="H78" t="str">
        <f>"CUST#16500/ST#327854/PCT#4"</f>
        <v>CUST#16500/ST#327854/PCT#4</v>
      </c>
    </row>
    <row r="79" spans="1:8" x14ac:dyDescent="0.25">
      <c r="A79" t="s">
        <v>35</v>
      </c>
      <c r="B79">
        <v>166</v>
      </c>
      <c r="C79" s="2">
        <v>24075.81</v>
      </c>
      <c r="D79" s="1">
        <v>43445</v>
      </c>
      <c r="E79" t="str">
        <f>"201812045514"</f>
        <v>201812045514</v>
      </c>
      <c r="F79" t="str">
        <f>"HAULING EXPS/11/19-11/30/PCT#4"</f>
        <v>HAULING EXPS/11/19-11/30/PCT#4</v>
      </c>
      <c r="G79" s="3">
        <v>24075.81</v>
      </c>
      <c r="H79" t="str">
        <f>"HAULING EXPS/11/19-11/30/PCT#4"</f>
        <v>HAULING EXPS/11/19-11/30/PCT#4</v>
      </c>
    </row>
    <row r="80" spans="1:8" x14ac:dyDescent="0.25">
      <c r="A80" t="s">
        <v>35</v>
      </c>
      <c r="B80">
        <v>218</v>
      </c>
      <c r="C80" s="2">
        <v>25019.42</v>
      </c>
      <c r="D80" s="1">
        <v>43462</v>
      </c>
      <c r="E80" t="str">
        <f>"201812145827"</f>
        <v>201812145827</v>
      </c>
      <c r="F80" t="str">
        <f>"HAULING EXPS 12/3-12/12/PCT#1"</f>
        <v>HAULING EXPS 12/3-12/12/PCT#1</v>
      </c>
      <c r="G80" s="3">
        <v>4143.78</v>
      </c>
      <c r="H80" t="str">
        <f>"HAULING EXPS 12/3-12/12/PCT#1"</f>
        <v>HAULING EXPS 12/3-12/12/PCT#1</v>
      </c>
    </row>
    <row r="81" spans="1:8" x14ac:dyDescent="0.25">
      <c r="E81" t="str">
        <f>"201812145828"</f>
        <v>201812145828</v>
      </c>
      <c r="F81" t="str">
        <f>"HAULING EXPS - 12/3-12/12/PCT#"</f>
        <v>HAULING EXPS - 12/3-12/12/PCT#</v>
      </c>
      <c r="G81" s="3">
        <v>20875.64</v>
      </c>
      <c r="H81" t="str">
        <f>"HAULING EXPS - 12/3-12/12/PCT#"</f>
        <v>HAULING EXPS - 12/3-12/12/PCT#</v>
      </c>
    </row>
    <row r="82" spans="1:8" x14ac:dyDescent="0.25">
      <c r="A82" t="s">
        <v>36</v>
      </c>
      <c r="B82">
        <v>79890</v>
      </c>
      <c r="C82" s="2">
        <v>35</v>
      </c>
      <c r="D82" s="1">
        <v>43444</v>
      </c>
      <c r="E82" t="str">
        <f>"307469"</f>
        <v>307469</v>
      </c>
      <c r="F82" t="str">
        <f>"FIRE EXTINGUSHER MAINT SVC"</f>
        <v>FIRE EXTINGUSHER MAINT SVC</v>
      </c>
      <c r="G82" s="3">
        <v>35</v>
      </c>
      <c r="H82" t="str">
        <f>"FIRE EXTINGUSHER MAINT SVC"</f>
        <v>FIRE EXTINGUSHER MAINT SVC</v>
      </c>
    </row>
    <row r="83" spans="1:8" x14ac:dyDescent="0.25">
      <c r="A83" t="s">
        <v>36</v>
      </c>
      <c r="B83">
        <v>80103</v>
      </c>
      <c r="C83" s="2">
        <v>491</v>
      </c>
      <c r="D83" s="1">
        <v>43461</v>
      </c>
      <c r="E83" t="str">
        <f>"INV105062"</f>
        <v>INV105062</v>
      </c>
      <c r="F83" t="str">
        <f>"INV105062"</f>
        <v>INV105062</v>
      </c>
      <c r="G83" s="3">
        <v>491</v>
      </c>
      <c r="H83" t="str">
        <f>"INV105062"</f>
        <v>INV105062</v>
      </c>
    </row>
    <row r="84" spans="1:8" x14ac:dyDescent="0.25">
      <c r="A84" t="s">
        <v>37</v>
      </c>
      <c r="B84">
        <v>80104</v>
      </c>
      <c r="C84" s="2">
        <v>300</v>
      </c>
      <c r="D84" s="1">
        <v>43461</v>
      </c>
      <c r="E84" t="str">
        <f>"201812195935"</f>
        <v>201812195935</v>
      </c>
      <c r="F84" t="str">
        <f>"1CO-0312-18 / JP1 REFUND"</f>
        <v>1CO-0312-18 / JP1 REFUND</v>
      </c>
      <c r="G84" s="3">
        <v>300</v>
      </c>
      <c r="H84" t="str">
        <f>"1CO-0312-18 / JP1 REFUND"</f>
        <v>1CO-0312-18 / JP1 REFUND</v>
      </c>
    </row>
    <row r="85" spans="1:8" x14ac:dyDescent="0.25">
      <c r="A85" t="s">
        <v>38</v>
      </c>
      <c r="B85">
        <v>79891</v>
      </c>
      <c r="C85" s="2">
        <v>50</v>
      </c>
      <c r="D85" s="1">
        <v>43444</v>
      </c>
      <c r="E85" t="str">
        <f>"18-21610"</f>
        <v>18-21610</v>
      </c>
      <c r="F85" t="str">
        <f>"PER DIEM"</f>
        <v>PER DIEM</v>
      </c>
      <c r="G85" s="3">
        <v>50</v>
      </c>
      <c r="H85" t="str">
        <f>"PER DIEM"</f>
        <v>PER DIEM</v>
      </c>
    </row>
    <row r="86" spans="1:8" x14ac:dyDescent="0.25">
      <c r="A86" t="s">
        <v>39</v>
      </c>
      <c r="B86">
        <v>80105</v>
      </c>
      <c r="C86" s="2">
        <v>1355</v>
      </c>
      <c r="D86" s="1">
        <v>43461</v>
      </c>
      <c r="E86" t="str">
        <f>"201812135803"</f>
        <v>201812135803</v>
      </c>
      <c r="F86" t="str">
        <f>"14-16907"</f>
        <v>14-16907</v>
      </c>
      <c r="G86" s="3">
        <v>512.5</v>
      </c>
      <c r="H86" t="str">
        <f>"14-16907"</f>
        <v>14-16907</v>
      </c>
    </row>
    <row r="87" spans="1:8" x14ac:dyDescent="0.25">
      <c r="E87" t="str">
        <f>"201812135804"</f>
        <v>201812135804</v>
      </c>
      <c r="F87" t="str">
        <f>"14-16404"</f>
        <v>14-16404</v>
      </c>
      <c r="G87" s="3">
        <v>82.5</v>
      </c>
      <c r="H87" t="str">
        <f>"14-16404"</f>
        <v>14-16404</v>
      </c>
    </row>
    <row r="88" spans="1:8" x14ac:dyDescent="0.25">
      <c r="E88" t="str">
        <f>"201812135805"</f>
        <v>201812135805</v>
      </c>
      <c r="F88" t="str">
        <f>"16-17709"</f>
        <v>16-17709</v>
      </c>
      <c r="G88" s="3">
        <v>107.5</v>
      </c>
      <c r="H88" t="str">
        <f>"16-17709"</f>
        <v>16-17709</v>
      </c>
    </row>
    <row r="89" spans="1:8" x14ac:dyDescent="0.25">
      <c r="E89" t="str">
        <f>"201812135806"</f>
        <v>201812135806</v>
      </c>
      <c r="F89" t="str">
        <f>"17-18635"</f>
        <v>17-18635</v>
      </c>
      <c r="G89" s="3">
        <v>100</v>
      </c>
      <c r="H89" t="str">
        <f>"17-18635"</f>
        <v>17-18635</v>
      </c>
    </row>
    <row r="90" spans="1:8" x14ac:dyDescent="0.25">
      <c r="E90" t="str">
        <f>"201812135807"</f>
        <v>201812135807</v>
      </c>
      <c r="F90" t="str">
        <f>"18-19016"</f>
        <v>18-19016</v>
      </c>
      <c r="G90" s="3">
        <v>107.5</v>
      </c>
      <c r="H90" t="str">
        <f>"18-19016"</f>
        <v>18-19016</v>
      </c>
    </row>
    <row r="91" spans="1:8" x14ac:dyDescent="0.25">
      <c r="E91" t="str">
        <f>"201812135808"</f>
        <v>201812135808</v>
      </c>
      <c r="F91" t="str">
        <f>"17-18392"</f>
        <v>17-18392</v>
      </c>
      <c r="G91" s="3">
        <v>75</v>
      </c>
      <c r="H91" t="str">
        <f>"17-18392"</f>
        <v>17-18392</v>
      </c>
    </row>
    <row r="92" spans="1:8" x14ac:dyDescent="0.25">
      <c r="E92" t="str">
        <f>"201812135809"</f>
        <v>201812135809</v>
      </c>
      <c r="F92" t="str">
        <f>"17-18738"</f>
        <v>17-18738</v>
      </c>
      <c r="G92" s="3">
        <v>370</v>
      </c>
      <c r="H92" t="str">
        <f>"17-18738"</f>
        <v>17-18738</v>
      </c>
    </row>
    <row r="93" spans="1:8" x14ac:dyDescent="0.25">
      <c r="A93" t="s">
        <v>40</v>
      </c>
      <c r="B93">
        <v>79892</v>
      </c>
      <c r="C93" s="2">
        <v>2415</v>
      </c>
      <c r="D93" s="1">
        <v>43444</v>
      </c>
      <c r="E93" t="str">
        <f>"201811275282"</f>
        <v>201811275282</v>
      </c>
      <c r="F93" t="str">
        <f>"15 534"</f>
        <v>15 534</v>
      </c>
      <c r="G93" s="3">
        <v>400</v>
      </c>
      <c r="H93" t="str">
        <f>"15 534"</f>
        <v>15 534</v>
      </c>
    </row>
    <row r="94" spans="1:8" x14ac:dyDescent="0.25">
      <c r="E94" t="str">
        <f>"201811275283"</f>
        <v>201811275283</v>
      </c>
      <c r="F94" t="str">
        <f>"16 323"</f>
        <v>16 323</v>
      </c>
      <c r="G94" s="3">
        <v>1215</v>
      </c>
      <c r="H94" t="str">
        <f>"16 323"</f>
        <v>16 323</v>
      </c>
    </row>
    <row r="95" spans="1:8" x14ac:dyDescent="0.25">
      <c r="E95" t="str">
        <f>"201811275284"</f>
        <v>201811275284</v>
      </c>
      <c r="F95" t="str">
        <f>"16 530"</f>
        <v>16 530</v>
      </c>
      <c r="G95" s="3">
        <v>400</v>
      </c>
      <c r="H95" t="str">
        <f>"16 530"</f>
        <v>16 530</v>
      </c>
    </row>
    <row r="96" spans="1:8" x14ac:dyDescent="0.25">
      <c r="E96" t="str">
        <f>"201811285309"</f>
        <v>201811285309</v>
      </c>
      <c r="F96" t="str">
        <f>"16 663"</f>
        <v>16 663</v>
      </c>
      <c r="G96" s="3">
        <v>400</v>
      </c>
      <c r="H96" t="str">
        <f>"16 663"</f>
        <v>16 663</v>
      </c>
    </row>
    <row r="97" spans="1:8" x14ac:dyDescent="0.25">
      <c r="A97" t="s">
        <v>41</v>
      </c>
      <c r="B97">
        <v>172</v>
      </c>
      <c r="C97" s="2">
        <v>658.51</v>
      </c>
      <c r="D97" s="1">
        <v>43445</v>
      </c>
      <c r="E97" t="str">
        <f>"201811275292"</f>
        <v>201811275292</v>
      </c>
      <c r="F97" t="str">
        <f>"REIMBURSE-MAIL CHIMP/HOTEL"</f>
        <v>REIMBURSE-MAIL CHIMP/HOTEL</v>
      </c>
      <c r="G97" s="3">
        <v>357.5</v>
      </c>
      <c r="H97" t="str">
        <f>"REIMBURSE-MAIL CHIMP/HOTEL"</f>
        <v>REIMBURSE-MAIL CHIMP/HOTEL</v>
      </c>
    </row>
    <row r="98" spans="1:8" x14ac:dyDescent="0.25">
      <c r="E98" t="str">
        <f>"201811275294"</f>
        <v>201811275294</v>
      </c>
      <c r="F98" t="str">
        <f>"REIMBURSE HOTEL ROOM"</f>
        <v>REIMBURSE HOTEL ROOM</v>
      </c>
      <c r="G98" s="3">
        <v>192.26</v>
      </c>
      <c r="H98" t="str">
        <f>"REIMBURSE HOTEL ROOM"</f>
        <v>REIMBURSE HOTEL ROOM</v>
      </c>
    </row>
    <row r="99" spans="1:8" x14ac:dyDescent="0.25">
      <c r="E99" t="str">
        <f>"201812035490"</f>
        <v>201812035490</v>
      </c>
      <c r="F99" t="str">
        <f>"POSTAGE/ICSC MEMBERSHIP"</f>
        <v>POSTAGE/ICSC MEMBERSHIP</v>
      </c>
      <c r="G99" s="3">
        <v>108.75</v>
      </c>
      <c r="H99" t="str">
        <f>"POSTAGE/ICSC MEMBERSHIP"</f>
        <v>POSTAGE/ICSC MEMBERSHIP</v>
      </c>
    </row>
    <row r="100" spans="1:8" x14ac:dyDescent="0.25">
      <c r="A100" t="s">
        <v>41</v>
      </c>
      <c r="B100">
        <v>224</v>
      </c>
      <c r="C100" s="2">
        <v>359</v>
      </c>
      <c r="D100" s="1">
        <v>43462</v>
      </c>
      <c r="E100" t="str">
        <f>"201812185852"</f>
        <v>201812185852</v>
      </c>
      <c r="F100" t="str">
        <f>"REIMBURSE ICSC MEMBERSHIP"</f>
        <v>REIMBURSE ICSC MEMBERSHIP</v>
      </c>
      <c r="G100" s="3">
        <v>100</v>
      </c>
      <c r="H100" t="str">
        <f>"ICSC MEMBERSHIP-ADENA LEWIS"</f>
        <v>ICSC MEMBERSHIP-ADENA LEWIS</v>
      </c>
    </row>
    <row r="101" spans="1:8" x14ac:dyDescent="0.25">
      <c r="E101" t="str">
        <f>"201812185853"</f>
        <v>201812185853</v>
      </c>
      <c r="F101" t="str">
        <f>"REIMBURSE-MEMBERSHIP/MAIL"</f>
        <v>REIMBURSE-MEMBERSHIP/MAIL</v>
      </c>
      <c r="G101" s="3">
        <v>189</v>
      </c>
      <c r="H101" t="str">
        <f>"REIMBURSE-MEMBERSHIP/MAIL"</f>
        <v>REIMBURSE-MEMBERSHIP/MAIL</v>
      </c>
    </row>
    <row r="102" spans="1:8" x14ac:dyDescent="0.25">
      <c r="E102" t="str">
        <f>"201812195936"</f>
        <v>201812195936</v>
      </c>
      <c r="F102" t="str">
        <f>"TRAVEL ADVANCE JAN 2019"</f>
        <v>TRAVEL ADVANCE JAN 2019</v>
      </c>
      <c r="G102" s="3">
        <v>70</v>
      </c>
      <c r="H102" t="str">
        <f>"TRAVEL ADVANCE JAN 2019"</f>
        <v>TRAVEL ADVANCE JAN 2019</v>
      </c>
    </row>
    <row r="103" spans="1:8" x14ac:dyDescent="0.25">
      <c r="A103" t="s">
        <v>42</v>
      </c>
      <c r="B103">
        <v>193</v>
      </c>
      <c r="C103" s="2">
        <v>700</v>
      </c>
      <c r="D103" s="1">
        <v>43445</v>
      </c>
      <c r="E103" t="str">
        <f>"201811275286"</f>
        <v>201811275286</v>
      </c>
      <c r="F103" t="str">
        <f>"16608"</f>
        <v>16608</v>
      </c>
      <c r="G103" s="3">
        <v>100</v>
      </c>
      <c r="H103" t="str">
        <f>"16608"</f>
        <v>16608</v>
      </c>
    </row>
    <row r="104" spans="1:8" x14ac:dyDescent="0.25">
      <c r="E104" t="str">
        <f>"201811275287"</f>
        <v>201811275287</v>
      </c>
      <c r="F104" t="str">
        <f>"16 577"</f>
        <v>16 577</v>
      </c>
      <c r="G104" s="3">
        <v>400</v>
      </c>
      <c r="H104" t="str">
        <f>"16 577"</f>
        <v>16 577</v>
      </c>
    </row>
    <row r="105" spans="1:8" x14ac:dyDescent="0.25">
      <c r="E105" t="str">
        <f>"201811305435"</f>
        <v>201811305435</v>
      </c>
      <c r="F105" t="str">
        <f>"993-21"</f>
        <v>993-21</v>
      </c>
      <c r="G105" s="3">
        <v>100</v>
      </c>
      <c r="H105" t="str">
        <f>"993-21"</f>
        <v>993-21</v>
      </c>
    </row>
    <row r="106" spans="1:8" x14ac:dyDescent="0.25">
      <c r="E106" t="str">
        <f>"201811305436"</f>
        <v>201811305436</v>
      </c>
      <c r="F106" t="str">
        <f>"423-6169"</f>
        <v>423-6169</v>
      </c>
      <c r="G106" s="3">
        <v>100</v>
      </c>
      <c r="H106" t="str">
        <f>"423-6169"</f>
        <v>423-6169</v>
      </c>
    </row>
    <row r="107" spans="1:8" x14ac:dyDescent="0.25">
      <c r="A107" t="s">
        <v>43</v>
      </c>
      <c r="B107">
        <v>183</v>
      </c>
      <c r="C107" s="2">
        <v>4485.62</v>
      </c>
      <c r="D107" s="1">
        <v>43445</v>
      </c>
      <c r="E107" t="str">
        <f>"31728985"</f>
        <v>31728985</v>
      </c>
      <c r="F107" t="str">
        <f>"CUST ID:39329/PCT#4"</f>
        <v>CUST ID:39329/PCT#4</v>
      </c>
      <c r="G107" s="3">
        <v>4485.62</v>
      </c>
      <c r="H107" t="str">
        <f>"CUST ID:39329/PCT#4"</f>
        <v>CUST ID:39329/PCT#4</v>
      </c>
    </row>
    <row r="108" spans="1:8" x14ac:dyDescent="0.25">
      <c r="A108" t="s">
        <v>43</v>
      </c>
      <c r="B108">
        <v>243</v>
      </c>
      <c r="C108" s="2">
        <v>4720.75</v>
      </c>
      <c r="D108" s="1">
        <v>43462</v>
      </c>
      <c r="E108" t="str">
        <f>"31736598"</f>
        <v>31736598</v>
      </c>
      <c r="F108" t="str">
        <f>"CUST ID:39329/PCT#4"</f>
        <v>CUST ID:39329/PCT#4</v>
      </c>
      <c r="G108" s="3">
        <v>4720.75</v>
      </c>
      <c r="H108" t="str">
        <f>"CUST ID:39329/PCT#4"</f>
        <v>CUST ID:39329/PCT#4</v>
      </c>
    </row>
    <row r="109" spans="1:8" x14ac:dyDescent="0.25">
      <c r="A109" t="s">
        <v>44</v>
      </c>
      <c r="B109">
        <v>79893</v>
      </c>
      <c r="C109" s="2">
        <v>474</v>
      </c>
      <c r="D109" s="1">
        <v>43444</v>
      </c>
      <c r="E109" t="str">
        <f>"33811"</f>
        <v>33811</v>
      </c>
      <c r="F109" t="str">
        <f>"RENTAL-601 COOL WATER"</f>
        <v>RENTAL-601 COOL WATER</v>
      </c>
      <c r="G109" s="3">
        <v>215</v>
      </c>
      <c r="H109" t="str">
        <f>"RENTAL-601 COOL WATER"</f>
        <v>RENTAL-601 COOL WATER</v>
      </c>
    </row>
    <row r="110" spans="1:8" x14ac:dyDescent="0.25">
      <c r="E110" t="str">
        <f>"33812"</f>
        <v>33812</v>
      </c>
      <c r="F110" t="str">
        <f>"RENTAL-375 RIVERSIDE"</f>
        <v>RENTAL-375 RIVERSIDE</v>
      </c>
      <c r="G110" s="3">
        <v>259</v>
      </c>
      <c r="H110" t="str">
        <f>"RENTAL-375 RIVERSIDE"</f>
        <v>RENTAL-375 RIVERSIDE</v>
      </c>
    </row>
    <row r="111" spans="1:8" x14ac:dyDescent="0.25">
      <c r="A111" t="s">
        <v>44</v>
      </c>
      <c r="B111">
        <v>80106</v>
      </c>
      <c r="C111" s="2">
        <v>474</v>
      </c>
      <c r="D111" s="1">
        <v>43461</v>
      </c>
      <c r="E111" t="str">
        <f>"34240"</f>
        <v>34240</v>
      </c>
      <c r="F111" t="str">
        <f>"RENTAL-601 COOL WATER"</f>
        <v>RENTAL-601 COOL WATER</v>
      </c>
      <c r="G111" s="3">
        <v>215</v>
      </c>
      <c r="H111" t="str">
        <f>"RENTAL-601 COOL WATER"</f>
        <v>RENTAL-601 COOL WATER</v>
      </c>
    </row>
    <row r="112" spans="1:8" x14ac:dyDescent="0.25">
      <c r="E112" t="str">
        <f>"34241"</f>
        <v>34241</v>
      </c>
      <c r="F112" t="str">
        <f>"RENTAL-375 RIVERSIDE LAUNCH"</f>
        <v>RENTAL-375 RIVERSIDE LAUNCH</v>
      </c>
      <c r="G112" s="3">
        <v>259</v>
      </c>
      <c r="H112" t="str">
        <f>"RENTAL-375 RIVERSIDE LAUNCH"</f>
        <v>RENTAL-375 RIVERSIDE LAUNCH</v>
      </c>
    </row>
    <row r="113" spans="1:8" x14ac:dyDescent="0.25">
      <c r="A113" t="s">
        <v>45</v>
      </c>
      <c r="B113">
        <v>177</v>
      </c>
      <c r="C113" s="2">
        <v>54.99</v>
      </c>
      <c r="D113" s="1">
        <v>43445</v>
      </c>
      <c r="E113" t="str">
        <f>"1PV3-TNWG-M63R"</f>
        <v>1PV3-TNWG-M63R</v>
      </c>
      <c r="F113" t="str">
        <f>"APC Battery Backup"</f>
        <v>APC Battery Backup</v>
      </c>
      <c r="G113" s="3">
        <v>54.99</v>
      </c>
      <c r="H113" t="str">
        <f>"APC Battery Backup"</f>
        <v>APC Battery Backup</v>
      </c>
    </row>
    <row r="114" spans="1:8" x14ac:dyDescent="0.25">
      <c r="A114" t="s">
        <v>45</v>
      </c>
      <c r="B114">
        <v>238</v>
      </c>
      <c r="C114" s="2">
        <v>479.34</v>
      </c>
      <c r="D114" s="1">
        <v>43462</v>
      </c>
      <c r="E114" t="str">
        <f>"1CPC-6PJJ-JWY4"</f>
        <v>1CPC-6PJJ-JWY4</v>
      </c>
      <c r="F114" t="str">
        <f>"pump for water tank and p"</f>
        <v>pump for water tank and p</v>
      </c>
      <c r="G114" s="3">
        <v>59.99</v>
      </c>
      <c r="H114" t="str">
        <f>"Seaflo 42-Series Wat"</f>
        <v>Seaflo 42-Series Wat</v>
      </c>
    </row>
    <row r="115" spans="1:8" x14ac:dyDescent="0.25">
      <c r="E115" t="str">
        <f>"1L61-KRYP-DCDG"</f>
        <v>1L61-KRYP-DCDG</v>
      </c>
      <c r="F115" t="str">
        <f>"power strips"</f>
        <v>power strips</v>
      </c>
      <c r="G115" s="3">
        <v>183.96</v>
      </c>
      <c r="H115" t="str">
        <f>"power strips"</f>
        <v>power strips</v>
      </c>
    </row>
    <row r="116" spans="1:8" x14ac:dyDescent="0.25">
      <c r="E116" t="str">
        <f>"1XCH-NR31-9JTL"</f>
        <v>1XCH-NR31-9JTL</v>
      </c>
      <c r="F116" t="str">
        <f>"Cleaning Supplies"</f>
        <v>Cleaning Supplies</v>
      </c>
      <c r="G116" s="3">
        <v>112.4</v>
      </c>
      <c r="H116" t="str">
        <f>"Clorox 30966 Concent"</f>
        <v>Clorox 30966 Concent</v>
      </c>
    </row>
    <row r="117" spans="1:8" x14ac:dyDescent="0.25">
      <c r="E117" t="str">
        <f>""</f>
        <v/>
      </c>
      <c r="F117" t="str">
        <f>""</f>
        <v/>
      </c>
      <c r="H117" t="str">
        <f>"Diversey ekcoscreen"</f>
        <v>Diversey ekcoscreen</v>
      </c>
    </row>
    <row r="118" spans="1:8" x14ac:dyDescent="0.25">
      <c r="E118" t="str">
        <f>""</f>
        <v/>
      </c>
      <c r="F118" t="str">
        <f>""</f>
        <v/>
      </c>
      <c r="H118" t="str">
        <f>"GOJO NATURAL ORANGE"</f>
        <v>GOJO NATURAL ORANGE</v>
      </c>
    </row>
    <row r="119" spans="1:8" x14ac:dyDescent="0.25">
      <c r="E119" t="str">
        <f>"201812145823"</f>
        <v>201812145823</v>
      </c>
      <c r="F119" t="str">
        <f>"Desk Chair for Jeff"</f>
        <v>Desk Chair for Jeff</v>
      </c>
      <c r="G119" s="3">
        <v>88</v>
      </c>
      <c r="H119" t="str">
        <f>"Chair"</f>
        <v>Chair</v>
      </c>
    </row>
    <row r="120" spans="1:8" x14ac:dyDescent="0.25">
      <c r="E120" t="str">
        <f>"201812145824"</f>
        <v>201812145824</v>
      </c>
      <c r="F120" t="str">
        <f>"AMAZON CAPITAL SERVICES INC"</f>
        <v>AMAZON CAPITAL SERVICES INC</v>
      </c>
      <c r="G120" s="3">
        <v>34.99</v>
      </c>
      <c r="H120" t="str">
        <f>"Wireless Presenter"</f>
        <v>Wireless Presenter</v>
      </c>
    </row>
    <row r="121" spans="1:8" x14ac:dyDescent="0.25">
      <c r="A121" t="s">
        <v>46</v>
      </c>
      <c r="B121">
        <v>80107</v>
      </c>
      <c r="C121" s="2">
        <v>720.92</v>
      </c>
      <c r="D121" s="1">
        <v>43461</v>
      </c>
      <c r="E121" t="str">
        <f>"100084612-DEC"</f>
        <v>100084612-DEC</v>
      </c>
      <c r="F121" t="str">
        <f>"INV 945730734"</f>
        <v>INV 945730734</v>
      </c>
      <c r="G121" s="3">
        <v>720.92</v>
      </c>
      <c r="H121" t="str">
        <f>"INV 945730734"</f>
        <v>INV 945730734</v>
      </c>
    </row>
    <row r="122" spans="1:8" x14ac:dyDescent="0.25">
      <c r="E122" t="str">
        <f>""</f>
        <v/>
      </c>
      <c r="F122" t="str">
        <f>""</f>
        <v/>
      </c>
      <c r="H122" t="str">
        <f>"INV 945730733"</f>
        <v>INV 945730733</v>
      </c>
    </row>
    <row r="123" spans="1:8" x14ac:dyDescent="0.25">
      <c r="E123" t="str">
        <f>""</f>
        <v/>
      </c>
      <c r="F123" t="str">
        <f>""</f>
        <v/>
      </c>
      <c r="H123" t="str">
        <f>"INV 945921131"</f>
        <v>INV 945921131</v>
      </c>
    </row>
    <row r="124" spans="1:8" x14ac:dyDescent="0.25">
      <c r="A124" t="s">
        <v>47</v>
      </c>
      <c r="B124">
        <v>206</v>
      </c>
      <c r="C124" s="2">
        <v>19120</v>
      </c>
      <c r="D124" s="1">
        <v>43445</v>
      </c>
      <c r="E124" t="str">
        <f>"201811275280"</f>
        <v>201811275280</v>
      </c>
      <c r="F124" t="str">
        <f>"16 324 16 325 409126 401106-IM"</f>
        <v>16 324 16 325 409126 401106-IM</v>
      </c>
      <c r="G124" s="3">
        <v>11540</v>
      </c>
      <c r="H124" t="str">
        <f>"16 324 16 325 409126 401106-IM"</f>
        <v>16 324 16 325 409126 401106-IM</v>
      </c>
    </row>
    <row r="125" spans="1:8" x14ac:dyDescent="0.25">
      <c r="E125" t="str">
        <f>"201811275281"</f>
        <v>201811275281</v>
      </c>
      <c r="F125" t="str">
        <f>"16 325"</f>
        <v>16 325</v>
      </c>
      <c r="G125" s="3">
        <v>5145</v>
      </c>
      <c r="H125" t="str">
        <f>"16 325"</f>
        <v>16 325</v>
      </c>
    </row>
    <row r="126" spans="1:8" x14ac:dyDescent="0.25">
      <c r="E126" t="str">
        <f>"201811285311"</f>
        <v>201811285311</v>
      </c>
      <c r="F126" t="str">
        <f>"16 183"</f>
        <v>16 183</v>
      </c>
      <c r="G126" s="3">
        <v>400</v>
      </c>
      <c r="H126" t="str">
        <f>"16 183"</f>
        <v>16 183</v>
      </c>
    </row>
    <row r="127" spans="1:8" x14ac:dyDescent="0.25">
      <c r="E127" t="str">
        <f>"201812045528"</f>
        <v>201812045528</v>
      </c>
      <c r="F127" t="str">
        <f>"18-19071"</f>
        <v>18-19071</v>
      </c>
      <c r="G127" s="3">
        <v>287.5</v>
      </c>
      <c r="H127" t="str">
        <f>"18-19071"</f>
        <v>18-19071</v>
      </c>
    </row>
    <row r="128" spans="1:8" x14ac:dyDescent="0.25">
      <c r="E128" t="str">
        <f>"201812045529"</f>
        <v>201812045529</v>
      </c>
      <c r="F128" t="str">
        <f>"18-19071"</f>
        <v>18-19071</v>
      </c>
      <c r="G128" s="3">
        <v>287.5</v>
      </c>
      <c r="H128" t="str">
        <f>"18-19071"</f>
        <v>18-19071</v>
      </c>
    </row>
    <row r="129" spans="1:8" x14ac:dyDescent="0.25">
      <c r="E129" t="str">
        <f>"201812045530"</f>
        <v>201812045530</v>
      </c>
      <c r="F129" t="str">
        <f>"55 672"</f>
        <v>55 672</v>
      </c>
      <c r="G129" s="3">
        <v>97.5</v>
      </c>
      <c r="H129" t="str">
        <f>"55 672"</f>
        <v>55 672</v>
      </c>
    </row>
    <row r="130" spans="1:8" x14ac:dyDescent="0.25">
      <c r="E130" t="str">
        <f>"201812045531"</f>
        <v>201812045531</v>
      </c>
      <c r="F130" t="str">
        <f>"55 976"</f>
        <v>55 976</v>
      </c>
      <c r="G130" s="3">
        <v>210</v>
      </c>
      <c r="H130" t="str">
        <f>"55 976"</f>
        <v>55 976</v>
      </c>
    </row>
    <row r="131" spans="1:8" x14ac:dyDescent="0.25">
      <c r="E131" t="str">
        <f>"201812045532"</f>
        <v>201812045532</v>
      </c>
      <c r="F131" t="str">
        <f>"18-19240"</f>
        <v>18-19240</v>
      </c>
      <c r="G131" s="3">
        <v>497.5</v>
      </c>
      <c r="H131" t="str">
        <f>"18-19240"</f>
        <v>18-19240</v>
      </c>
    </row>
    <row r="132" spans="1:8" x14ac:dyDescent="0.25">
      <c r="E132" t="str">
        <f>"201812045533"</f>
        <v>201812045533</v>
      </c>
      <c r="F132" t="str">
        <f>"18-19023"</f>
        <v>18-19023</v>
      </c>
      <c r="G132" s="3">
        <v>655</v>
      </c>
      <c r="H132" t="str">
        <f>"18-19023"</f>
        <v>18-19023</v>
      </c>
    </row>
    <row r="133" spans="1:8" x14ac:dyDescent="0.25">
      <c r="A133" t="s">
        <v>47</v>
      </c>
      <c r="B133">
        <v>271</v>
      </c>
      <c r="C133" s="2">
        <v>1637.5</v>
      </c>
      <c r="D133" s="1">
        <v>43462</v>
      </c>
      <c r="E133" t="str">
        <f>"201812125705"</f>
        <v>201812125705</v>
      </c>
      <c r="F133" t="str">
        <f>"1001-335"</f>
        <v>1001-335</v>
      </c>
      <c r="G133" s="3">
        <v>100</v>
      </c>
      <c r="H133" t="str">
        <f>"1001-335"</f>
        <v>1001-335</v>
      </c>
    </row>
    <row r="134" spans="1:8" x14ac:dyDescent="0.25">
      <c r="E134" t="str">
        <f>"201812135795"</f>
        <v>201812135795</v>
      </c>
      <c r="F134" t="str">
        <f>"55 660  55 661"</f>
        <v>55 660  55 661</v>
      </c>
      <c r="G134" s="3">
        <v>625</v>
      </c>
      <c r="H134" t="str">
        <f>"55 660  55 661"</f>
        <v>55 660  55 661</v>
      </c>
    </row>
    <row r="135" spans="1:8" x14ac:dyDescent="0.25">
      <c r="E135" t="str">
        <f>"201812135814"</f>
        <v>201812135814</v>
      </c>
      <c r="F135" t="str">
        <f>"NO CAUSE # LISTED"</f>
        <v>NO CAUSE # LISTED</v>
      </c>
      <c r="G135" s="3">
        <v>100</v>
      </c>
      <c r="H135" t="str">
        <f>"NO CAUSE # LISTED"</f>
        <v>NO CAUSE # LISTED</v>
      </c>
    </row>
    <row r="136" spans="1:8" x14ac:dyDescent="0.25">
      <c r="E136" t="str">
        <f>"201812135815"</f>
        <v>201812135815</v>
      </c>
      <c r="F136" t="str">
        <f>"NO CAUSE # LISTED"</f>
        <v>NO CAUSE # LISTED</v>
      </c>
      <c r="G136" s="3">
        <v>100</v>
      </c>
      <c r="H136" t="str">
        <f>"NO CAUSE # LISTED"</f>
        <v>NO CAUSE # LISTED</v>
      </c>
    </row>
    <row r="137" spans="1:8" x14ac:dyDescent="0.25">
      <c r="E137" t="str">
        <f>"201812145832"</f>
        <v>201812145832</v>
      </c>
      <c r="F137" t="str">
        <f>"423-6212"</f>
        <v>423-6212</v>
      </c>
      <c r="G137" s="3">
        <v>100</v>
      </c>
      <c r="H137" t="str">
        <f>"423-6212"</f>
        <v>423-6212</v>
      </c>
    </row>
    <row r="138" spans="1:8" x14ac:dyDescent="0.25">
      <c r="E138" t="str">
        <f>"201812185887"</f>
        <v>201812185887</v>
      </c>
      <c r="F138" t="str">
        <f>"18-18941"</f>
        <v>18-18941</v>
      </c>
      <c r="G138" s="3">
        <v>182.5</v>
      </c>
      <c r="H138" t="str">
        <f>"18-18941"</f>
        <v>18-18941</v>
      </c>
    </row>
    <row r="139" spans="1:8" x14ac:dyDescent="0.25">
      <c r="E139" t="str">
        <f>"201812185888"</f>
        <v>201812185888</v>
      </c>
      <c r="F139" t="str">
        <f>"18-18876"</f>
        <v>18-18876</v>
      </c>
      <c r="G139" s="3">
        <v>430</v>
      </c>
      <c r="H139" t="str">
        <f>"18-18876"</f>
        <v>18-18876</v>
      </c>
    </row>
    <row r="140" spans="1:8" x14ac:dyDescent="0.25">
      <c r="A140" t="s">
        <v>48</v>
      </c>
      <c r="B140">
        <v>203</v>
      </c>
      <c r="C140" s="2">
        <v>92</v>
      </c>
      <c r="D140" s="1">
        <v>43445</v>
      </c>
      <c r="E140" t="str">
        <f>"558111"</f>
        <v>558111</v>
      </c>
      <c r="F140" t="str">
        <f>"APCO Full Member"</f>
        <v>APCO Full Member</v>
      </c>
      <c r="G140" s="3">
        <v>92</v>
      </c>
      <c r="H140" t="str">
        <f>"APCO Full Member"</f>
        <v>APCO Full Member</v>
      </c>
    </row>
    <row r="141" spans="1:8" x14ac:dyDescent="0.25">
      <c r="A141" t="s">
        <v>48</v>
      </c>
      <c r="B141">
        <v>267</v>
      </c>
      <c r="C141" s="2">
        <v>253.59</v>
      </c>
      <c r="D141" s="1">
        <v>43462</v>
      </c>
      <c r="E141" t="str">
        <f>"574620"</f>
        <v>574620</v>
      </c>
      <c r="F141" t="str">
        <f>"APCO CTO Class Materials"</f>
        <v>APCO CTO Class Materials</v>
      </c>
      <c r="G141" s="3">
        <v>253.59</v>
      </c>
      <c r="H141" t="str">
        <f>"STUDENT MANUAL"</f>
        <v>STUDENT MANUAL</v>
      </c>
    </row>
    <row r="142" spans="1:8" x14ac:dyDescent="0.25">
      <c r="E142" t="str">
        <f>""</f>
        <v/>
      </c>
      <c r="F142" t="str">
        <f>""</f>
        <v/>
      </c>
      <c r="H142" t="str">
        <f>"SHIPPING"</f>
        <v>SHIPPING</v>
      </c>
    </row>
    <row r="143" spans="1:8" x14ac:dyDescent="0.25">
      <c r="A143" t="s">
        <v>49</v>
      </c>
      <c r="B143">
        <v>79894</v>
      </c>
      <c r="C143" s="2">
        <v>205.33</v>
      </c>
      <c r="D143" s="1">
        <v>43444</v>
      </c>
      <c r="E143" t="str">
        <f>"1811-418833"</f>
        <v>1811-418833</v>
      </c>
      <c r="F143" t="str">
        <f>"ACCT#3-3053/PCT#2"</f>
        <v>ACCT#3-3053/PCT#2</v>
      </c>
      <c r="G143" s="3">
        <v>205.33</v>
      </c>
      <c r="H143" t="str">
        <f>"ACCT#3-3053/PCT#2"</f>
        <v>ACCT#3-3053/PCT#2</v>
      </c>
    </row>
    <row r="144" spans="1:8" x14ac:dyDescent="0.25">
      <c r="A144" t="s">
        <v>50</v>
      </c>
      <c r="B144">
        <v>237</v>
      </c>
      <c r="C144" s="2">
        <v>577.28</v>
      </c>
      <c r="D144" s="1">
        <v>43462</v>
      </c>
      <c r="E144" t="str">
        <f>"201812125757"</f>
        <v>201812125757</v>
      </c>
      <c r="F144" t="str">
        <f>"REIMBURSE MEALS/LODGING"</f>
        <v>REIMBURSE MEALS/LODGING</v>
      </c>
      <c r="G144" s="3">
        <v>287.55</v>
      </c>
      <c r="H144" t="str">
        <f>"REIMBURSE MEALS/LODGING"</f>
        <v>REIMBURSE MEALS/LODGING</v>
      </c>
    </row>
    <row r="145" spans="1:8" x14ac:dyDescent="0.25">
      <c r="E145" t="str">
        <f>"201812125758"</f>
        <v>201812125758</v>
      </c>
      <c r="F145" t="str">
        <f>"REIMBURSE CONFERENCE REGISTRAT"</f>
        <v>REIMBURSE CONFERENCE REGISTRAT</v>
      </c>
      <c r="G145" s="3">
        <v>75</v>
      </c>
      <c r="H145" t="str">
        <f>"REIMBURSE CONFERENCE REGISTRAT"</f>
        <v>REIMBURSE CONFERENCE REGISTRAT</v>
      </c>
    </row>
    <row r="146" spans="1:8" x14ac:dyDescent="0.25">
      <c r="E146" t="str">
        <f>"201812195937"</f>
        <v>201812195937</v>
      </c>
      <c r="F146" t="str">
        <f>"MIELAGE REIMBURSEMENT - DEC"</f>
        <v>MIELAGE REIMBURSEMENT - DEC</v>
      </c>
      <c r="G146" s="3">
        <v>214.73</v>
      </c>
      <c r="H146" t="str">
        <f>"MIELAGE REIMBURSEMENT - DEC"</f>
        <v>MIELAGE REIMBURSEMENT - DEC</v>
      </c>
    </row>
    <row r="147" spans="1:8" x14ac:dyDescent="0.25">
      <c r="A147" t="s">
        <v>51</v>
      </c>
      <c r="B147">
        <v>79895</v>
      </c>
      <c r="C147" s="2">
        <v>641.45000000000005</v>
      </c>
      <c r="D147" s="1">
        <v>43444</v>
      </c>
      <c r="E147" t="str">
        <f>"201812035494"</f>
        <v>201812035494</v>
      </c>
      <c r="F147" t="str">
        <f>"ACCT#012260/DIST ATTNY OFFICE"</f>
        <v>ACCT#012260/DIST ATTNY OFFICE</v>
      </c>
      <c r="G147" s="3">
        <v>28.5</v>
      </c>
      <c r="H147" t="str">
        <f>"ACCT#012260/DIST ATTNY OFFICE"</f>
        <v>ACCT#012260/DIST ATTNY OFFICE</v>
      </c>
    </row>
    <row r="148" spans="1:8" x14ac:dyDescent="0.25">
      <c r="E148" t="str">
        <f>"201812035495"</f>
        <v>201812035495</v>
      </c>
      <c r="F148" t="str">
        <f>"ACCT#015538/EMER COMM"</f>
        <v>ACCT#015538/EMER COMM</v>
      </c>
      <c r="G148" s="3">
        <v>120.74</v>
      </c>
      <c r="H148" t="str">
        <f>"ACCT#015538/EMER COMM"</f>
        <v>ACCT#015538/EMER COMM</v>
      </c>
    </row>
    <row r="149" spans="1:8" x14ac:dyDescent="0.25">
      <c r="E149" t="str">
        <f>"201812035496"</f>
        <v>201812035496</v>
      </c>
      <c r="F149" t="str">
        <f>"ACCT#012231/DIST JUDGE"</f>
        <v>ACCT#012231/DIST JUDGE</v>
      </c>
      <c r="G149" s="3">
        <v>10</v>
      </c>
      <c r="H149" t="str">
        <f>"ACCT#012231/DIST JUDGE"</f>
        <v>ACCT#012231/DIST JUDGE</v>
      </c>
    </row>
    <row r="150" spans="1:8" x14ac:dyDescent="0.25">
      <c r="E150" t="str">
        <f>"201812035497"</f>
        <v>201812035497</v>
      </c>
      <c r="F150" t="str">
        <f>"ACCT#011955/DIST JUDGE"</f>
        <v>ACCT#011955/DIST JUDGE</v>
      </c>
      <c r="G150" s="3">
        <v>6</v>
      </c>
      <c r="H150" t="str">
        <f>"ACCT#011955/DIST JUDGE"</f>
        <v>ACCT#011955/DIST JUDGE</v>
      </c>
    </row>
    <row r="151" spans="1:8" x14ac:dyDescent="0.25">
      <c r="E151" t="str">
        <f>"201812035498"</f>
        <v>201812035498</v>
      </c>
      <c r="F151" t="str">
        <f>"ACCT#015476/PURCHASING"</f>
        <v>ACCT#015476/PURCHASING</v>
      </c>
      <c r="G151" s="3">
        <v>10.49</v>
      </c>
      <c r="H151" t="str">
        <f>"ACCT#015476/PURCHASING"</f>
        <v>ACCT#015476/PURCHASING</v>
      </c>
    </row>
    <row r="152" spans="1:8" x14ac:dyDescent="0.25">
      <c r="E152" t="str">
        <f>"201812035499"</f>
        <v>201812035499</v>
      </c>
      <c r="F152" t="str">
        <f>"ACCT#011474/ELECTIONS"</f>
        <v>ACCT#011474/ELECTIONS</v>
      </c>
      <c r="G152" s="3">
        <v>32.5</v>
      </c>
      <c r="H152" t="str">
        <f>"ACCT#011474/ELECTIONS"</f>
        <v>ACCT#011474/ELECTIONS</v>
      </c>
    </row>
    <row r="153" spans="1:8" x14ac:dyDescent="0.25">
      <c r="E153" t="str">
        <f>"201812035500"</f>
        <v>201812035500</v>
      </c>
      <c r="F153" t="str">
        <f>"ACCT#010057/AUDITOR"</f>
        <v>ACCT#010057/AUDITOR</v>
      </c>
      <c r="G153" s="3">
        <v>39</v>
      </c>
      <c r="H153" t="str">
        <f>"ACCT#010057/AUDITOR"</f>
        <v>ACCT#010057/AUDITOR</v>
      </c>
    </row>
    <row r="154" spans="1:8" x14ac:dyDescent="0.25">
      <c r="E154" t="str">
        <f>"201812035508"</f>
        <v>201812035508</v>
      </c>
      <c r="F154" t="str">
        <f>"ACCT#010602/COMMISSIONER OFFIC"</f>
        <v>ACCT#010602/COMMISSIONER OFFIC</v>
      </c>
      <c r="G154" s="3">
        <v>46.5</v>
      </c>
      <c r="H154" t="str">
        <f>"ACCT#010602/COMMISSIONER OFFIC"</f>
        <v>ACCT#010602/COMMISSIONER OFFIC</v>
      </c>
    </row>
    <row r="155" spans="1:8" x14ac:dyDescent="0.25">
      <c r="E155" t="str">
        <f>"201812035509"</f>
        <v>201812035509</v>
      </c>
      <c r="F155" t="str">
        <f>"ACCT#012571/TREASURER"</f>
        <v>ACCT#012571/TREASURER</v>
      </c>
      <c r="G155" s="3">
        <v>16.5</v>
      </c>
      <c r="H155" t="str">
        <f>"ACCT#012571/TREASURER"</f>
        <v>ACCT#012571/TREASURER</v>
      </c>
    </row>
    <row r="156" spans="1:8" x14ac:dyDescent="0.25">
      <c r="E156" t="str">
        <f>"201812045510"</f>
        <v>201812045510</v>
      </c>
      <c r="F156" t="str">
        <f>"ACCT#012803/JUDGE"</f>
        <v>ACCT#012803/JUDGE</v>
      </c>
      <c r="G156" s="3">
        <v>16.5</v>
      </c>
      <c r="H156" t="str">
        <f>"ACCT#012803/JUDGE"</f>
        <v>ACCT#012803/JUDGE</v>
      </c>
    </row>
    <row r="157" spans="1:8" x14ac:dyDescent="0.25">
      <c r="E157" t="str">
        <f>"201812045511"</f>
        <v>201812045511</v>
      </c>
      <c r="F157" t="str">
        <f>"ACCT#011033/IT DEPT"</f>
        <v>ACCT#011033/IT DEPT</v>
      </c>
      <c r="G157" s="3">
        <v>31.5</v>
      </c>
      <c r="H157" t="str">
        <f>"ACCT#011033/IT DEPT"</f>
        <v>ACCT#011033/IT DEPT</v>
      </c>
    </row>
    <row r="158" spans="1:8" x14ac:dyDescent="0.25">
      <c r="E158" t="str">
        <f>"201812045512"</f>
        <v>201812045512</v>
      </c>
      <c r="F158" t="str">
        <f>"ACCT#010238/GENERAL SVCS"</f>
        <v>ACCT#010238/GENERAL SVCS</v>
      </c>
      <c r="G158" s="3">
        <v>78.25</v>
      </c>
      <c r="H158" t="str">
        <f>"ACCT#010238/GENERAL SVCS"</f>
        <v>ACCT#010238/GENERAL SVCS</v>
      </c>
    </row>
    <row r="159" spans="1:8" x14ac:dyDescent="0.25">
      <c r="E159" t="str">
        <f>"201812045513"</f>
        <v>201812045513</v>
      </c>
      <c r="F159" t="str">
        <f>"ACCT#010835/PCT#1"</f>
        <v>ACCT#010835/PCT#1</v>
      </c>
      <c r="G159" s="3">
        <v>19.489999999999998</v>
      </c>
      <c r="H159" t="str">
        <f>"ACCT#010835/PCT#1"</f>
        <v>ACCT#010835/PCT#1</v>
      </c>
    </row>
    <row r="160" spans="1:8" x14ac:dyDescent="0.25">
      <c r="E160" t="str">
        <f>"201812045516"</f>
        <v>201812045516</v>
      </c>
      <c r="F160" t="str">
        <f>"ACCT#010149/AGRI LIFE EXTENSIO"</f>
        <v>ACCT#010149/AGRI LIFE EXTENSIO</v>
      </c>
      <c r="G160" s="3">
        <v>15</v>
      </c>
      <c r="H160" t="str">
        <f>"ACCT#010149/AGRI LIFE EXTENSIO"</f>
        <v>ACCT#010149/AGRI LIFE EXTENSIO</v>
      </c>
    </row>
    <row r="161" spans="1:8" x14ac:dyDescent="0.25">
      <c r="E161" t="str">
        <f>"201812045517"</f>
        <v>201812045517</v>
      </c>
      <c r="F161" t="str">
        <f>"ACCT#015199/JP#1"</f>
        <v>ACCT#015199/JP#1</v>
      </c>
      <c r="G161" s="3">
        <v>19.489999999999998</v>
      </c>
      <c r="H161" t="str">
        <f>"ACCT#015199/JP#1"</f>
        <v>ACCT#015199/JP#1</v>
      </c>
    </row>
    <row r="162" spans="1:8" x14ac:dyDescent="0.25">
      <c r="E162" t="str">
        <f>"201812045518"</f>
        <v>201812045518</v>
      </c>
      <c r="F162" t="str">
        <f>"ACCT#011280/COUNTY CLERK"</f>
        <v>ACCT#011280/COUNTY CLERK</v>
      </c>
      <c r="G162" s="3">
        <v>46.5</v>
      </c>
      <c r="H162" t="str">
        <f>"ACCT#011280/COUNTY CLERK"</f>
        <v>ACCT#011280/COUNTY CLERK</v>
      </c>
    </row>
    <row r="163" spans="1:8" x14ac:dyDescent="0.25">
      <c r="E163" t="str">
        <f>"201812045565"</f>
        <v>201812045565</v>
      </c>
      <c r="F163" t="str">
        <f>"ACCT#012259/DIST CLERK"</f>
        <v>ACCT#012259/DIST CLERK</v>
      </c>
      <c r="G163" s="3">
        <v>76.5</v>
      </c>
      <c r="H163" t="str">
        <f>"ACCT#012259/DIST CLERK"</f>
        <v>ACCT#012259/DIST CLERK</v>
      </c>
    </row>
    <row r="164" spans="1:8" x14ac:dyDescent="0.25">
      <c r="E164" t="str">
        <f>"201812065582"</f>
        <v>201812065582</v>
      </c>
      <c r="F164" t="str">
        <f>"ACCT#013393/HUMAN RESOURCES"</f>
        <v>ACCT#013393/HUMAN RESOURCES</v>
      </c>
      <c r="G164" s="3">
        <v>25</v>
      </c>
      <c r="H164" t="str">
        <f>"ACCT#013393/HUMAN RESOURCES"</f>
        <v>ACCT#013393/HUMAN RESOURCES</v>
      </c>
    </row>
    <row r="165" spans="1:8" x14ac:dyDescent="0.25">
      <c r="E165" t="str">
        <f>"201812065588"</f>
        <v>201812065588</v>
      </c>
      <c r="F165" t="str">
        <f>"ACCT#014737/ANIMAL SVC"</f>
        <v>ACCT#014737/ANIMAL SVC</v>
      </c>
      <c r="G165" s="3">
        <v>2.99</v>
      </c>
      <c r="H165" t="str">
        <f>"ACCT#014737/ANIMAL SVC"</f>
        <v>ACCT#014737/ANIMAL SVC</v>
      </c>
    </row>
    <row r="166" spans="1:8" x14ac:dyDescent="0.25">
      <c r="A166" t="s">
        <v>51</v>
      </c>
      <c r="B166">
        <v>80108</v>
      </c>
      <c r="C166" s="2">
        <v>71.989999999999995</v>
      </c>
      <c r="D166" s="1">
        <v>43461</v>
      </c>
      <c r="E166" t="str">
        <f>"201812125771"</f>
        <v>201812125771</v>
      </c>
      <c r="F166" t="str">
        <f>"ACCT#014877/EMERG MGMT"</f>
        <v>ACCT#014877/EMERG MGMT</v>
      </c>
      <c r="G166" s="3">
        <v>71.989999999999995</v>
      </c>
      <c r="H166" t="str">
        <f>"ACCT#014877/EMERG MGMT"</f>
        <v>ACCT#014877/EMERG MGMT</v>
      </c>
    </row>
    <row r="167" spans="1:8" x14ac:dyDescent="0.25">
      <c r="A167" t="s">
        <v>52</v>
      </c>
      <c r="B167">
        <v>80285</v>
      </c>
      <c r="C167" s="2">
        <v>1597.61</v>
      </c>
      <c r="D167" s="1">
        <v>43462</v>
      </c>
      <c r="E167" t="str">
        <f>"201812286037"</f>
        <v>201812286037</v>
      </c>
      <c r="F167" t="str">
        <f>"ACCT#0102120801 / 01012019"</f>
        <v>ACCT#0102120801 / 01012019</v>
      </c>
      <c r="G167" s="3">
        <v>108.64</v>
      </c>
      <c r="H167" t="str">
        <f>"ACCT#0102120801 / 01012019"</f>
        <v>ACCT#0102120801 / 01012019</v>
      </c>
    </row>
    <row r="168" spans="1:8" x14ac:dyDescent="0.25">
      <c r="E168" t="str">
        <f>"201812286038"</f>
        <v>201812286038</v>
      </c>
      <c r="F168" t="str">
        <f>"ACCT#0201855301 / 01012019"</f>
        <v>ACCT#0201855301 / 01012019</v>
      </c>
      <c r="G168" s="3">
        <v>30.31</v>
      </c>
      <c r="H168" t="str">
        <f>"ACCT#0201855301 / 01012019"</f>
        <v>ACCT#0201855301 / 01012019</v>
      </c>
    </row>
    <row r="169" spans="1:8" x14ac:dyDescent="0.25">
      <c r="E169" t="str">
        <f>"201812286039"</f>
        <v>201812286039</v>
      </c>
      <c r="F169" t="str">
        <f>"ACCT#0201891401 / 01012019"</f>
        <v>ACCT#0201891401 / 01012019</v>
      </c>
      <c r="G169" s="3">
        <v>27.22</v>
      </c>
      <c r="H169" t="str">
        <f>"ACCT#0201891401 / 01012019"</f>
        <v>ACCT#0201891401 / 01012019</v>
      </c>
    </row>
    <row r="170" spans="1:8" x14ac:dyDescent="0.25">
      <c r="E170" t="str">
        <f>"201812286040"</f>
        <v>201812286040</v>
      </c>
      <c r="F170" t="str">
        <f>"ACCT#0400785803 / 01012019"</f>
        <v>ACCT#0400785803 / 01012019</v>
      </c>
      <c r="G170" s="3">
        <v>713.64</v>
      </c>
      <c r="H170" t="str">
        <f>"ACCT#0400785803 / 01012019"</f>
        <v>ACCT#0400785803 / 01012019</v>
      </c>
    </row>
    <row r="171" spans="1:8" x14ac:dyDescent="0.25">
      <c r="E171" t="str">
        <f>"201812286041"</f>
        <v>201812286041</v>
      </c>
      <c r="F171" t="str">
        <f>"ACCT#0401408501 / 01012019"</f>
        <v>ACCT#0401408501 / 01012019</v>
      </c>
      <c r="G171" s="3">
        <v>682.07</v>
      </c>
      <c r="H171" t="str">
        <f>"ACCT#0401408501 / 01012019"</f>
        <v>ACCT#0401408501 / 01012019</v>
      </c>
    </row>
    <row r="172" spans="1:8" x14ac:dyDescent="0.25">
      <c r="E172" t="str">
        <f>"201812286042"</f>
        <v>201812286042</v>
      </c>
      <c r="F172" t="str">
        <f>"ACCT#0800042801 / 01012019"</f>
        <v>ACCT#0800042801 / 01012019</v>
      </c>
      <c r="G172" s="3">
        <v>35.729999999999997</v>
      </c>
      <c r="H172" t="str">
        <f>"ACCT#0800042801 / 01012019"</f>
        <v>ACCT#0800042801 / 01012019</v>
      </c>
    </row>
    <row r="173" spans="1:8" x14ac:dyDescent="0.25">
      <c r="A173" t="s">
        <v>53</v>
      </c>
      <c r="B173">
        <v>79896</v>
      </c>
      <c r="C173" s="2">
        <v>1593.56</v>
      </c>
      <c r="D173" s="1">
        <v>43444</v>
      </c>
      <c r="E173" t="str">
        <f>"201812065584"</f>
        <v>201812065584</v>
      </c>
      <c r="F173" t="str">
        <f>"REIMBURSE SUPPLIES"</f>
        <v>REIMBURSE SUPPLIES</v>
      </c>
      <c r="G173" s="3">
        <v>1593.56</v>
      </c>
      <c r="H173" t="str">
        <f>"REIMBURSE SUPPLIES"</f>
        <v>REIMBURSE SUPPLIES</v>
      </c>
    </row>
    <row r="174" spans="1:8" x14ac:dyDescent="0.25">
      <c r="A174" t="s">
        <v>54</v>
      </c>
      <c r="B174">
        <v>79897</v>
      </c>
      <c r="C174" s="2">
        <v>5212.4399999999996</v>
      </c>
      <c r="D174" s="1">
        <v>43444</v>
      </c>
      <c r="E174" t="str">
        <f>"201812035487"</f>
        <v>201812035487</v>
      </c>
      <c r="F174" t="str">
        <f>"ACCT#512A49-0048 193 3"</f>
        <v>ACCT#512A49-0048 193 3</v>
      </c>
      <c r="G174" s="3">
        <v>5212.4399999999996</v>
      </c>
      <c r="H174" t="str">
        <f>"ACCT#512A49-0048 193 3"</f>
        <v>ACCT#512A49-0048 193 3</v>
      </c>
    </row>
    <row r="175" spans="1:8" x14ac:dyDescent="0.25">
      <c r="E175" t="str">
        <f>""</f>
        <v/>
      </c>
      <c r="F175" t="str">
        <f>""</f>
        <v/>
      </c>
      <c r="H175" t="str">
        <f>"ACCT#512A49-0048 193 3"</f>
        <v>ACCT#512A49-0048 193 3</v>
      </c>
    </row>
    <row r="176" spans="1:8" x14ac:dyDescent="0.25">
      <c r="E176" t="str">
        <f>""</f>
        <v/>
      </c>
      <c r="F176" t="str">
        <f>""</f>
        <v/>
      </c>
      <c r="H176" t="str">
        <f>"ACCT#512A49-0048 193 3"</f>
        <v>ACCT#512A49-0048 193 3</v>
      </c>
    </row>
    <row r="177" spans="1:8" x14ac:dyDescent="0.25">
      <c r="E177" t="str">
        <f>""</f>
        <v/>
      </c>
      <c r="F177" t="str">
        <f>""</f>
        <v/>
      </c>
      <c r="H177" t="str">
        <f>"ACCT#512A49-0048 193 3"</f>
        <v>ACCT#512A49-0048 193 3</v>
      </c>
    </row>
    <row r="178" spans="1:8" x14ac:dyDescent="0.25">
      <c r="A178" t="s">
        <v>55</v>
      </c>
      <c r="B178">
        <v>80109</v>
      </c>
      <c r="C178" s="2">
        <v>1802.67</v>
      </c>
      <c r="D178" s="1">
        <v>43461</v>
      </c>
      <c r="E178" t="str">
        <f>"201812205982"</f>
        <v>201812205982</v>
      </c>
      <c r="F178" t="str">
        <f>"STATEMENT 512 303-1080"</f>
        <v>STATEMENT 512 303-1080</v>
      </c>
      <c r="G178" s="3">
        <v>1802.67</v>
      </c>
      <c r="H178" t="str">
        <f>"STATEMENT 512 303-1080"</f>
        <v>STATEMENT 512 303-1080</v>
      </c>
    </row>
    <row r="179" spans="1:8" x14ac:dyDescent="0.25">
      <c r="E179" t="str">
        <f>""</f>
        <v/>
      </c>
      <c r="F179" t="str">
        <f>""</f>
        <v/>
      </c>
      <c r="H179" t="str">
        <f>"STATEMENT 512 303-1080"</f>
        <v>STATEMENT 512 303-1080</v>
      </c>
    </row>
    <row r="180" spans="1:8" x14ac:dyDescent="0.25">
      <c r="A180" t="s">
        <v>56</v>
      </c>
      <c r="B180">
        <v>79898</v>
      </c>
      <c r="C180" s="2">
        <v>1320.02</v>
      </c>
      <c r="D180" s="1">
        <v>43444</v>
      </c>
      <c r="E180" t="str">
        <f>"287263291654X11202"</f>
        <v>287263291654X11202</v>
      </c>
      <c r="F180" t="str">
        <f>"ACCT#287263291654"</f>
        <v>ACCT#287263291654</v>
      </c>
      <c r="G180" s="3">
        <v>1320.02</v>
      </c>
      <c r="H180" t="str">
        <f t="shared" ref="H180:H195" si="5">"ACCT#287263291654"</f>
        <v>ACCT#287263291654</v>
      </c>
    </row>
    <row r="181" spans="1:8" x14ac:dyDescent="0.25">
      <c r="E181" t="str">
        <f>""</f>
        <v/>
      </c>
      <c r="F181" t="str">
        <f>""</f>
        <v/>
      </c>
      <c r="H181" t="str">
        <f t="shared" si="5"/>
        <v>ACCT#287263291654</v>
      </c>
    </row>
    <row r="182" spans="1:8" x14ac:dyDescent="0.25">
      <c r="E182" t="str">
        <f>""</f>
        <v/>
      </c>
      <c r="F182" t="str">
        <f>""</f>
        <v/>
      </c>
      <c r="H182" t="str">
        <f t="shared" si="5"/>
        <v>ACCT#287263291654</v>
      </c>
    </row>
    <row r="183" spans="1:8" x14ac:dyDescent="0.25">
      <c r="E183" t="str">
        <f>""</f>
        <v/>
      </c>
      <c r="F183" t="str">
        <f>""</f>
        <v/>
      </c>
      <c r="H183" t="str">
        <f t="shared" si="5"/>
        <v>ACCT#287263291654</v>
      </c>
    </row>
    <row r="184" spans="1:8" x14ac:dyDescent="0.25">
      <c r="E184" t="str">
        <f>""</f>
        <v/>
      </c>
      <c r="F184" t="str">
        <f>""</f>
        <v/>
      </c>
      <c r="H184" t="str">
        <f t="shared" si="5"/>
        <v>ACCT#287263291654</v>
      </c>
    </row>
    <row r="185" spans="1:8" x14ac:dyDescent="0.25">
      <c r="E185" t="str">
        <f>""</f>
        <v/>
      </c>
      <c r="F185" t="str">
        <f>""</f>
        <v/>
      </c>
      <c r="H185" t="str">
        <f t="shared" si="5"/>
        <v>ACCT#287263291654</v>
      </c>
    </row>
    <row r="186" spans="1:8" x14ac:dyDescent="0.25">
      <c r="E186" t="str">
        <f>""</f>
        <v/>
      </c>
      <c r="F186" t="str">
        <f>""</f>
        <v/>
      </c>
      <c r="H186" t="str">
        <f t="shared" si="5"/>
        <v>ACCT#287263291654</v>
      </c>
    </row>
    <row r="187" spans="1:8" x14ac:dyDescent="0.25">
      <c r="E187" t="str">
        <f>""</f>
        <v/>
      </c>
      <c r="F187" t="str">
        <f>""</f>
        <v/>
      </c>
      <c r="H187" t="str">
        <f t="shared" si="5"/>
        <v>ACCT#287263291654</v>
      </c>
    </row>
    <row r="188" spans="1:8" x14ac:dyDescent="0.25">
      <c r="E188" t="str">
        <f>""</f>
        <v/>
      </c>
      <c r="F188" t="str">
        <f>""</f>
        <v/>
      </c>
      <c r="H188" t="str">
        <f t="shared" si="5"/>
        <v>ACCT#287263291654</v>
      </c>
    </row>
    <row r="189" spans="1:8" x14ac:dyDescent="0.25">
      <c r="E189" t="str">
        <f>""</f>
        <v/>
      </c>
      <c r="F189" t="str">
        <f>""</f>
        <v/>
      </c>
      <c r="H189" t="str">
        <f t="shared" si="5"/>
        <v>ACCT#287263291654</v>
      </c>
    </row>
    <row r="190" spans="1:8" x14ac:dyDescent="0.25">
      <c r="E190" t="str">
        <f>""</f>
        <v/>
      </c>
      <c r="F190" t="str">
        <f>""</f>
        <v/>
      </c>
      <c r="H190" t="str">
        <f t="shared" si="5"/>
        <v>ACCT#287263291654</v>
      </c>
    </row>
    <row r="191" spans="1:8" x14ac:dyDescent="0.25">
      <c r="E191" t="str">
        <f>""</f>
        <v/>
      </c>
      <c r="F191" t="str">
        <f>""</f>
        <v/>
      </c>
      <c r="H191" t="str">
        <f t="shared" si="5"/>
        <v>ACCT#287263291654</v>
      </c>
    </row>
    <row r="192" spans="1:8" x14ac:dyDescent="0.25">
      <c r="E192" t="str">
        <f>""</f>
        <v/>
      </c>
      <c r="F192" t="str">
        <f>""</f>
        <v/>
      </c>
      <c r="H192" t="str">
        <f t="shared" si="5"/>
        <v>ACCT#287263291654</v>
      </c>
    </row>
    <row r="193" spans="1:8" x14ac:dyDescent="0.25">
      <c r="E193" t="str">
        <f>""</f>
        <v/>
      </c>
      <c r="F193" t="str">
        <f>""</f>
        <v/>
      </c>
      <c r="H193" t="str">
        <f t="shared" si="5"/>
        <v>ACCT#287263291654</v>
      </c>
    </row>
    <row r="194" spans="1:8" x14ac:dyDescent="0.25">
      <c r="E194" t="str">
        <f>""</f>
        <v/>
      </c>
      <c r="F194" t="str">
        <f>""</f>
        <v/>
      </c>
      <c r="H194" t="str">
        <f t="shared" si="5"/>
        <v>ACCT#287263291654</v>
      </c>
    </row>
    <row r="195" spans="1:8" x14ac:dyDescent="0.25">
      <c r="E195" t="str">
        <f>""</f>
        <v/>
      </c>
      <c r="F195" t="str">
        <f>""</f>
        <v/>
      </c>
      <c r="H195" t="str">
        <f t="shared" si="5"/>
        <v>ACCT#287263291654</v>
      </c>
    </row>
    <row r="196" spans="1:8" x14ac:dyDescent="0.25">
      <c r="A196" t="s">
        <v>57</v>
      </c>
      <c r="B196">
        <v>79899</v>
      </c>
      <c r="C196" s="2">
        <v>217.58</v>
      </c>
      <c r="D196" s="1">
        <v>43444</v>
      </c>
      <c r="E196" t="str">
        <f>"287280903541X11202"</f>
        <v>287280903541X11202</v>
      </c>
      <c r="F196" t="str">
        <f>"IN 287280903541X11202018"</f>
        <v>IN 287280903541X11202018</v>
      </c>
      <c r="G196" s="3">
        <v>217.58</v>
      </c>
      <c r="H196" t="str">
        <f>"IN 287280903541X11202018"</f>
        <v>IN 287280903541X11202018</v>
      </c>
    </row>
    <row r="197" spans="1:8" x14ac:dyDescent="0.25">
      <c r="A197" t="s">
        <v>58</v>
      </c>
      <c r="B197">
        <v>79900</v>
      </c>
      <c r="C197" s="2">
        <v>64.650000000000006</v>
      </c>
      <c r="D197" s="1">
        <v>43444</v>
      </c>
      <c r="E197" t="str">
        <f>"424727"</f>
        <v>424727</v>
      </c>
      <c r="F197" t="str">
        <f>"ad# 424727"</f>
        <v>ad# 424727</v>
      </c>
      <c r="G197" s="3">
        <v>64.650000000000006</v>
      </c>
      <c r="H197" t="str">
        <f>"ad# 424727"</f>
        <v>ad# 424727</v>
      </c>
    </row>
    <row r="198" spans="1:8" x14ac:dyDescent="0.25">
      <c r="A198" t="s">
        <v>58</v>
      </c>
      <c r="B198">
        <v>80110</v>
      </c>
      <c r="C198" s="2">
        <v>263.04000000000002</v>
      </c>
      <c r="D198" s="1">
        <v>43461</v>
      </c>
      <c r="E198" t="str">
        <f>"438000"</f>
        <v>438000</v>
      </c>
      <c r="F198" t="str">
        <f>"Ad# 438000"</f>
        <v>Ad# 438000</v>
      </c>
      <c r="G198" s="3">
        <v>56.16</v>
      </c>
      <c r="H198" t="str">
        <f>"Ad# 438000"</f>
        <v>Ad# 438000</v>
      </c>
    </row>
    <row r="199" spans="1:8" x14ac:dyDescent="0.25">
      <c r="E199" t="str">
        <f>"438800"</f>
        <v>438800</v>
      </c>
      <c r="F199" t="str">
        <f>"Ad# 438800"</f>
        <v>Ad# 438800</v>
      </c>
      <c r="G199" s="3">
        <v>150.85</v>
      </c>
      <c r="H199" t="str">
        <f>"Ad# 438800"</f>
        <v>Ad# 438800</v>
      </c>
    </row>
    <row r="200" spans="1:8" x14ac:dyDescent="0.25">
      <c r="E200" t="str">
        <f>"440103"</f>
        <v>440103</v>
      </c>
      <c r="F200" t="str">
        <f>"Ad# 440103"</f>
        <v>Ad# 440103</v>
      </c>
      <c r="G200" s="3">
        <v>56.03</v>
      </c>
      <c r="H200" t="str">
        <f>"Ad# 440103"</f>
        <v>Ad# 440103</v>
      </c>
    </row>
    <row r="201" spans="1:8" x14ac:dyDescent="0.25">
      <c r="A201" t="s">
        <v>59</v>
      </c>
      <c r="B201">
        <v>79901</v>
      </c>
      <c r="C201" s="2">
        <v>660</v>
      </c>
      <c r="D201" s="1">
        <v>43444</v>
      </c>
      <c r="E201" t="str">
        <f>"811051"</f>
        <v>811051</v>
      </c>
      <c r="F201" t="str">
        <f>"COURT INTERPRETATION/MILEAGE"</f>
        <v>COURT INTERPRETATION/MILEAGE</v>
      </c>
      <c r="G201" s="3">
        <v>330</v>
      </c>
      <c r="H201" t="str">
        <f>"COURT INTERPRETATION/MILEAGE"</f>
        <v>COURT INTERPRETATION/MILEAGE</v>
      </c>
    </row>
    <row r="202" spans="1:8" x14ac:dyDescent="0.25">
      <c r="E202" t="str">
        <f>"811079"</f>
        <v>811079</v>
      </c>
      <c r="F202" t="str">
        <f>"INTERPRETATION SVCS"</f>
        <v>INTERPRETATION SVCS</v>
      </c>
      <c r="G202" s="3">
        <v>330</v>
      </c>
      <c r="H202" t="str">
        <f>"INTERPRETATION SVCS"</f>
        <v>INTERPRETATION SVCS</v>
      </c>
    </row>
    <row r="203" spans="1:8" x14ac:dyDescent="0.25">
      <c r="A203" t="s">
        <v>59</v>
      </c>
      <c r="B203">
        <v>80111</v>
      </c>
      <c r="C203" s="2">
        <v>460</v>
      </c>
      <c r="D203" s="1">
        <v>43461</v>
      </c>
      <c r="E203" t="str">
        <f>"812042"</f>
        <v>812042</v>
      </c>
      <c r="F203" t="str">
        <f>"INTERPRETER/MILEAGE"</f>
        <v>INTERPRETER/MILEAGE</v>
      </c>
      <c r="G203" s="3">
        <v>460</v>
      </c>
      <c r="H203" t="str">
        <f>"INTERPRETER/MILEAGE"</f>
        <v>INTERPRETER/MILEAGE</v>
      </c>
    </row>
    <row r="204" spans="1:8" x14ac:dyDescent="0.25">
      <c r="A204" t="s">
        <v>60</v>
      </c>
      <c r="B204">
        <v>80112</v>
      </c>
      <c r="C204" s="2">
        <v>300</v>
      </c>
      <c r="D204" s="1">
        <v>43461</v>
      </c>
      <c r="E204" t="str">
        <f>"50601"</f>
        <v>50601</v>
      </c>
      <c r="F204" t="str">
        <f>"INV 50601"</f>
        <v>INV 50601</v>
      </c>
      <c r="G204" s="3">
        <v>300</v>
      </c>
      <c r="H204" t="str">
        <f>"INV 50601"</f>
        <v>INV 50601</v>
      </c>
    </row>
    <row r="205" spans="1:8" x14ac:dyDescent="0.25">
      <c r="A205" t="s">
        <v>61</v>
      </c>
      <c r="B205">
        <v>270</v>
      </c>
      <c r="C205" s="2">
        <v>201.99</v>
      </c>
      <c r="D205" s="1">
        <v>43462</v>
      </c>
      <c r="E205" t="str">
        <f>"201812195958"</f>
        <v>201812195958</v>
      </c>
      <c r="F205" t="str">
        <f>"INDIGENT HEALTH"</f>
        <v>INDIGENT HEALTH</v>
      </c>
      <c r="G205" s="3">
        <v>201.99</v>
      </c>
      <c r="H205" t="str">
        <f>"INDIGENT HEALTH"</f>
        <v>INDIGENT HEALTH</v>
      </c>
    </row>
    <row r="206" spans="1:8" x14ac:dyDescent="0.25">
      <c r="A206" t="s">
        <v>62</v>
      </c>
      <c r="B206">
        <v>80113</v>
      </c>
      <c r="C206" s="2">
        <v>46.73</v>
      </c>
      <c r="D206" s="1">
        <v>43461</v>
      </c>
      <c r="E206" t="str">
        <f>"201812195959"</f>
        <v>201812195959</v>
      </c>
      <c r="F206" t="str">
        <f>"INDIGENT HEALTH"</f>
        <v>INDIGENT HEALTH</v>
      </c>
      <c r="G206" s="3">
        <v>46.73</v>
      </c>
      <c r="H206" t="str">
        <f>"INDIGENT HEALTH"</f>
        <v>INDIGENT HEALTH</v>
      </c>
    </row>
    <row r="207" spans="1:8" x14ac:dyDescent="0.25">
      <c r="A207" t="s">
        <v>63</v>
      </c>
      <c r="B207">
        <v>80114</v>
      </c>
      <c r="C207" s="2">
        <v>553.08000000000004</v>
      </c>
      <c r="D207" s="1">
        <v>43461</v>
      </c>
      <c r="E207" t="str">
        <f>"260317"</f>
        <v>260317</v>
      </c>
      <c r="F207" t="str">
        <f>"REF#291354/PCT#4"</f>
        <v>REF#291354/PCT#4</v>
      </c>
      <c r="G207" s="3">
        <v>553.08000000000004</v>
      </c>
      <c r="H207" t="str">
        <f>"REF#291354/PCT#4"</f>
        <v>REF#291354/PCT#4</v>
      </c>
    </row>
    <row r="208" spans="1:8" x14ac:dyDescent="0.25">
      <c r="A208" t="s">
        <v>64</v>
      </c>
      <c r="B208">
        <v>80115</v>
      </c>
      <c r="C208" s="2">
        <v>473.12</v>
      </c>
      <c r="D208" s="1">
        <v>43461</v>
      </c>
      <c r="E208" t="str">
        <f>"201812195960"</f>
        <v>201812195960</v>
      </c>
      <c r="F208" t="str">
        <f>"INDIGENT HEALTH"</f>
        <v>INDIGENT HEALTH</v>
      </c>
      <c r="G208" s="3">
        <v>473.12</v>
      </c>
      <c r="H208" t="str">
        <f>"INDIGENT HEALTH"</f>
        <v>INDIGENT HEALTH</v>
      </c>
    </row>
    <row r="209" spans="1:8" x14ac:dyDescent="0.25">
      <c r="A209" t="s">
        <v>65</v>
      </c>
      <c r="B209">
        <v>79902</v>
      </c>
      <c r="C209" s="2">
        <v>1480.15</v>
      </c>
      <c r="D209" s="1">
        <v>43444</v>
      </c>
      <c r="E209" t="str">
        <f>"4457*03111*1/2/3"</f>
        <v>4457*03111*1/2/3</v>
      </c>
      <c r="F209" t="str">
        <f>"JAIL MEDICAL"</f>
        <v>JAIL MEDICAL</v>
      </c>
      <c r="G209" s="3">
        <v>1480.15</v>
      </c>
      <c r="H209" t="str">
        <f>"JAIL MEDICAL"</f>
        <v>JAIL MEDICAL</v>
      </c>
    </row>
    <row r="210" spans="1:8" x14ac:dyDescent="0.25">
      <c r="A210" t="s">
        <v>66</v>
      </c>
      <c r="B210">
        <v>79903</v>
      </c>
      <c r="C210" s="2">
        <v>350</v>
      </c>
      <c r="D210" s="1">
        <v>43444</v>
      </c>
      <c r="E210" t="str">
        <f>"2093"</f>
        <v>2093</v>
      </c>
      <c r="F210" t="str">
        <f>"2018-MCF-03/HUNTER'S CROSSING"</f>
        <v>2018-MCF-03/HUNTER'S CROSSING</v>
      </c>
      <c r="G210" s="3">
        <v>350</v>
      </c>
      <c r="H210" t="str">
        <f>"2018-MCF-03/HUNTER'S CROSSING"</f>
        <v>2018-MCF-03/HUNTER'S CROSSING</v>
      </c>
    </row>
    <row r="211" spans="1:8" x14ac:dyDescent="0.25">
      <c r="A211" t="s">
        <v>66</v>
      </c>
      <c r="B211">
        <v>80116</v>
      </c>
      <c r="C211" s="2">
        <v>1050</v>
      </c>
      <c r="D211" s="1">
        <v>43461</v>
      </c>
      <c r="E211" t="str">
        <f>"2095"</f>
        <v>2095</v>
      </c>
      <c r="F211" t="str">
        <f>"COURT REPORTING SVCS"</f>
        <v>COURT REPORTING SVCS</v>
      </c>
      <c r="G211" s="3">
        <v>350</v>
      </c>
      <c r="H211" t="str">
        <f>"COURT REPORTING SVCS"</f>
        <v>COURT REPORTING SVCS</v>
      </c>
    </row>
    <row r="212" spans="1:8" x14ac:dyDescent="0.25">
      <c r="E212" t="str">
        <f>"2096"</f>
        <v>2096</v>
      </c>
      <c r="F212" t="str">
        <f>"MOTIONS HEARING MEUTH/ROBERTS"</f>
        <v>MOTIONS HEARING MEUTH/ROBERTS</v>
      </c>
      <c r="G212" s="3">
        <v>350</v>
      </c>
      <c r="H212" t="str">
        <f>"MOTIONS HEARING MEUTH/ROBERTS"</f>
        <v>MOTIONS HEARING MEUTH/ROBERTS</v>
      </c>
    </row>
    <row r="213" spans="1:8" x14ac:dyDescent="0.25">
      <c r="E213" t="str">
        <f>"2098"</f>
        <v>2098</v>
      </c>
      <c r="F213" t="str">
        <f>"MOTIONS HEARING"</f>
        <v>MOTIONS HEARING</v>
      </c>
      <c r="G213" s="3">
        <v>350</v>
      </c>
      <c r="H213" t="str">
        <f>"MOTIONS HEARING"</f>
        <v>MOTIONS HEARING</v>
      </c>
    </row>
    <row r="214" spans="1:8" x14ac:dyDescent="0.25">
      <c r="A214" t="s">
        <v>67</v>
      </c>
      <c r="B214">
        <v>80117</v>
      </c>
      <c r="C214" s="2">
        <v>209.34</v>
      </c>
      <c r="D214" s="1">
        <v>43461</v>
      </c>
      <c r="E214" t="str">
        <f>"035318-035330"</f>
        <v>035318-035330</v>
      </c>
      <c r="F214" t="str">
        <f>"INV 035318"</f>
        <v>INV 035318</v>
      </c>
      <c r="G214" s="3">
        <v>209.34</v>
      </c>
      <c r="H214" t="str">
        <f>"INV 035318"</f>
        <v>INV 035318</v>
      </c>
    </row>
    <row r="215" spans="1:8" x14ac:dyDescent="0.25">
      <c r="E215" t="str">
        <f>""</f>
        <v/>
      </c>
      <c r="F215" t="str">
        <f>""</f>
        <v/>
      </c>
      <c r="H215" t="str">
        <f>"INV 035330"</f>
        <v>INV 035330</v>
      </c>
    </row>
    <row r="216" spans="1:8" x14ac:dyDescent="0.25">
      <c r="A216" t="s">
        <v>68</v>
      </c>
      <c r="B216">
        <v>80118</v>
      </c>
      <c r="C216" s="2">
        <v>120</v>
      </c>
      <c r="D216" s="1">
        <v>43461</v>
      </c>
      <c r="E216" t="str">
        <f>"201812195942"</f>
        <v>201812195942</v>
      </c>
      <c r="F216" t="str">
        <f>"PER DIEM"</f>
        <v>PER DIEM</v>
      </c>
      <c r="G216" s="3">
        <v>120</v>
      </c>
      <c r="H216" t="str">
        <f>"PER DIEM"</f>
        <v>PER DIEM</v>
      </c>
    </row>
    <row r="217" spans="1:8" x14ac:dyDescent="0.25">
      <c r="A217" t="s">
        <v>69</v>
      </c>
      <c r="B217">
        <v>185</v>
      </c>
      <c r="C217" s="2">
        <v>1636.96</v>
      </c>
      <c r="D217" s="1">
        <v>43445</v>
      </c>
      <c r="E217" t="str">
        <f>"201812035501"</f>
        <v>201812035501</v>
      </c>
      <c r="F217" t="str">
        <f>"CUST ID:0010/PCT#2"</f>
        <v>CUST ID:0010/PCT#2</v>
      </c>
      <c r="G217" s="3">
        <v>1153</v>
      </c>
      <c r="H217" t="str">
        <f>"CUST ID:0010/PCT#2"</f>
        <v>CUST ID:0010/PCT#2</v>
      </c>
    </row>
    <row r="218" spans="1:8" x14ac:dyDescent="0.25">
      <c r="E218" t="str">
        <f>"355627 &amp; 356222"</f>
        <v>355627 &amp; 356222</v>
      </c>
      <c r="F218" t="str">
        <f>"CUST ID:0011/PCT#3"</f>
        <v>CUST ID:0011/PCT#3</v>
      </c>
      <c r="G218" s="3">
        <v>483.96</v>
      </c>
      <c r="H218" t="str">
        <f>"CUST ID:0011/PCT#3"</f>
        <v>CUST ID:0011/PCT#3</v>
      </c>
    </row>
    <row r="219" spans="1:8" x14ac:dyDescent="0.25">
      <c r="A219" t="s">
        <v>69</v>
      </c>
      <c r="B219">
        <v>245</v>
      </c>
      <c r="C219" s="2">
        <v>100</v>
      </c>
      <c r="D219" s="1">
        <v>43462</v>
      </c>
      <c r="E219" t="str">
        <f>"201812125760"</f>
        <v>201812125760</v>
      </c>
      <c r="F219" t="str">
        <f>"CUST ID:0009/PCT#1"</f>
        <v>CUST ID:0009/PCT#1</v>
      </c>
      <c r="G219" s="3">
        <v>100</v>
      </c>
      <c r="H219" t="str">
        <f>"CUST ID:0009/PCT#1"</f>
        <v>CUST ID:0009/PCT#1</v>
      </c>
    </row>
    <row r="220" spans="1:8" x14ac:dyDescent="0.25">
      <c r="A220" t="s">
        <v>70</v>
      </c>
      <c r="B220">
        <v>217</v>
      </c>
      <c r="C220" s="2">
        <v>6000</v>
      </c>
      <c r="D220" s="1">
        <v>43462</v>
      </c>
      <c r="E220" t="str">
        <f>"1535 - P1"</f>
        <v>1535 - P1</v>
      </c>
      <c r="F220" t="str">
        <f>"COVERT/SMITH RD/SAYER RD/SHILO"</f>
        <v>COVERT/SMITH RD/SAYER RD/SHILO</v>
      </c>
      <c r="G220" s="3">
        <v>6000</v>
      </c>
      <c r="H220" t="str">
        <f>"COVERT/SMITH RD/SAYER RD/SHILO"</f>
        <v>COVERT/SMITH RD/SAYER RD/SHILO</v>
      </c>
    </row>
    <row r="221" spans="1:8" x14ac:dyDescent="0.25">
      <c r="A221" t="s">
        <v>71</v>
      </c>
      <c r="B221">
        <v>80119</v>
      </c>
      <c r="C221" s="2">
        <v>8500</v>
      </c>
      <c r="D221" s="1">
        <v>43461</v>
      </c>
      <c r="E221" t="str">
        <f>"19-1370-45"</f>
        <v>19-1370-45</v>
      </c>
      <c r="F221" t="str">
        <f>"Inv# 19-1370-45"</f>
        <v>Inv# 19-1370-45</v>
      </c>
      <c r="G221" s="3">
        <v>8500</v>
      </c>
      <c r="H221" t="str">
        <f>"payment"</f>
        <v>payment</v>
      </c>
    </row>
    <row r="222" spans="1:8" x14ac:dyDescent="0.25">
      <c r="A222" t="s">
        <v>72</v>
      </c>
      <c r="B222">
        <v>79904</v>
      </c>
      <c r="C222" s="2">
        <v>770</v>
      </c>
      <c r="D222" s="1">
        <v>43444</v>
      </c>
      <c r="E222" t="str">
        <f>"12105  10/16/18"</f>
        <v>12105  10/16/18</v>
      </c>
      <c r="F222" t="str">
        <f>"SERVICE"</f>
        <v>SERVICE</v>
      </c>
      <c r="G222" s="3">
        <v>20</v>
      </c>
      <c r="H222" t="str">
        <f>"SERVICE"</f>
        <v>SERVICE</v>
      </c>
    </row>
    <row r="223" spans="1:8" x14ac:dyDescent="0.25">
      <c r="E223" t="str">
        <f>"12149"</f>
        <v>12149</v>
      </c>
      <c r="F223" t="str">
        <f>"SERVICE"</f>
        <v>SERVICE</v>
      </c>
      <c r="G223" s="3">
        <v>225</v>
      </c>
      <c r="H223" t="str">
        <f>"SERVICE"</f>
        <v>SERVICE</v>
      </c>
    </row>
    <row r="224" spans="1:8" x14ac:dyDescent="0.25">
      <c r="E224" t="str">
        <f>"12726"</f>
        <v>12726</v>
      </c>
      <c r="F224" t="str">
        <f>"SERVICE"</f>
        <v>SERVICE</v>
      </c>
      <c r="G224" s="3">
        <v>225</v>
      </c>
      <c r="H224" t="str">
        <f>"SERVICE"</f>
        <v>SERVICE</v>
      </c>
    </row>
    <row r="225" spans="1:8" x14ac:dyDescent="0.25">
      <c r="E225" t="str">
        <f>"12899"</f>
        <v>12899</v>
      </c>
      <c r="F225" t="str">
        <f>"12899"</f>
        <v>12899</v>
      </c>
      <c r="G225" s="3">
        <v>150</v>
      </c>
      <c r="H225" t="str">
        <f>"12899"</f>
        <v>12899</v>
      </c>
    </row>
    <row r="226" spans="1:8" x14ac:dyDescent="0.25">
      <c r="E226" t="str">
        <f>"12936"</f>
        <v>12936</v>
      </c>
      <c r="F226" t="str">
        <f>"SERVICE"</f>
        <v>SERVICE</v>
      </c>
      <c r="G226" s="3">
        <v>75</v>
      </c>
      <c r="H226" t="str">
        <f>"SERVICE"</f>
        <v>SERVICE</v>
      </c>
    </row>
    <row r="227" spans="1:8" x14ac:dyDescent="0.25">
      <c r="E227" t="str">
        <f>"13083"</f>
        <v>13083</v>
      </c>
      <c r="F227" t="str">
        <f>"SERVICE"</f>
        <v>SERVICE</v>
      </c>
      <c r="G227" s="3">
        <v>75</v>
      </c>
      <c r="H227" t="str">
        <f>"SERVICE"</f>
        <v>SERVICE</v>
      </c>
    </row>
    <row r="228" spans="1:8" x14ac:dyDescent="0.25">
      <c r="A228" t="s">
        <v>73</v>
      </c>
      <c r="B228">
        <v>80120</v>
      </c>
      <c r="C228" s="2">
        <v>584.41</v>
      </c>
      <c r="D228" s="1">
        <v>43461</v>
      </c>
      <c r="E228" t="str">
        <f>"12859"</f>
        <v>12859</v>
      </c>
      <c r="F228" t="str">
        <f>"ACCT#BC01/RUBBERBANDS/ENVELOPE"</f>
        <v>ACCT#BC01/RUBBERBANDS/ENVELOPE</v>
      </c>
      <c r="G228" s="3">
        <v>196.13</v>
      </c>
      <c r="H228" t="str">
        <f>"ACCT#BC01/RUBBERBANDS/ENVELOPE"</f>
        <v>ACCT#BC01/RUBBERBANDS/ENVELOPE</v>
      </c>
    </row>
    <row r="229" spans="1:8" x14ac:dyDescent="0.25">
      <c r="E229" t="str">
        <f>"201812125724"</f>
        <v>201812125724</v>
      </c>
      <c r="F229" t="str">
        <f>"ACCT#BC01"</f>
        <v>ACCT#BC01</v>
      </c>
      <c r="G229" s="3">
        <v>388.28</v>
      </c>
      <c r="H229" t="str">
        <f>"ACCT#BC01"</f>
        <v>ACCT#BC01</v>
      </c>
    </row>
    <row r="230" spans="1:8" x14ac:dyDescent="0.25">
      <c r="A230" t="s">
        <v>74</v>
      </c>
      <c r="B230">
        <v>180</v>
      </c>
      <c r="C230" s="2">
        <v>10730.87</v>
      </c>
      <c r="D230" s="1">
        <v>43445</v>
      </c>
      <c r="E230" t="str">
        <f>"201811285307"</f>
        <v>201811285307</v>
      </c>
      <c r="F230" t="str">
        <f>"GRANT REIMBURSEMENT"</f>
        <v>GRANT REIMBURSEMENT</v>
      </c>
      <c r="G230" s="3">
        <v>10730.87</v>
      </c>
      <c r="H230" t="str">
        <f>"GRANT REIMBURSEMENT"</f>
        <v>GRANT REIMBURSEMENT</v>
      </c>
    </row>
    <row r="231" spans="1:8" x14ac:dyDescent="0.25">
      <c r="A231" t="s">
        <v>74</v>
      </c>
      <c r="B231">
        <v>240</v>
      </c>
      <c r="C231" s="2">
        <v>9350.42</v>
      </c>
      <c r="D231" s="1">
        <v>43462</v>
      </c>
      <c r="E231" t="str">
        <f>"201812115697"</f>
        <v>201812115697</v>
      </c>
      <c r="F231" t="str">
        <f>"GRANT REIMBURSEMENT"</f>
        <v>GRANT REIMBURSEMENT</v>
      </c>
      <c r="G231" s="3">
        <v>9350.42</v>
      </c>
      <c r="H231" t="str">
        <f>"GRANT REIMBURSEMENT"</f>
        <v>GRANT REIMBURSEMENT</v>
      </c>
    </row>
    <row r="232" spans="1:8" x14ac:dyDescent="0.25">
      <c r="A232" t="s">
        <v>75</v>
      </c>
      <c r="B232">
        <v>79905</v>
      </c>
      <c r="C232" s="2">
        <v>11045.75</v>
      </c>
      <c r="D232" s="1">
        <v>43444</v>
      </c>
      <c r="E232" t="str">
        <f>"MEDICAL 2018"</f>
        <v>MEDICAL 2018</v>
      </c>
      <c r="F232" t="str">
        <f>"PSYCHOLOGICAL EVALUATION"</f>
        <v>PSYCHOLOGICAL EVALUATION</v>
      </c>
      <c r="G232" s="3">
        <v>11045.75</v>
      </c>
      <c r="H232" t="str">
        <f>"PSYCHOLOGICAL EVALUATION"</f>
        <v>PSYCHOLOGICAL EVALUATION</v>
      </c>
    </row>
    <row r="233" spans="1:8" x14ac:dyDescent="0.25">
      <c r="A233" t="s">
        <v>76</v>
      </c>
      <c r="B233">
        <v>263</v>
      </c>
      <c r="C233" s="2">
        <v>124.58</v>
      </c>
      <c r="D233" s="1">
        <v>43462</v>
      </c>
      <c r="E233" t="str">
        <f>"201812195961"</f>
        <v>201812195961</v>
      </c>
      <c r="F233" t="str">
        <f>"INDIGENT HEALTH"</f>
        <v>INDIGENT HEALTH</v>
      </c>
      <c r="G233" s="3">
        <v>124.58</v>
      </c>
      <c r="H233" t="str">
        <f>"INDIGENT HEALTH"</f>
        <v>INDIGENT HEALTH</v>
      </c>
    </row>
    <row r="234" spans="1:8" x14ac:dyDescent="0.25">
      <c r="E234" t="str">
        <f>""</f>
        <v/>
      </c>
      <c r="F234" t="str">
        <f>""</f>
        <v/>
      </c>
      <c r="H234" t="str">
        <f>"INDIGENT HEALTH"</f>
        <v>INDIGENT HEALTH</v>
      </c>
    </row>
    <row r="235" spans="1:8" x14ac:dyDescent="0.25">
      <c r="A235" t="s">
        <v>77</v>
      </c>
      <c r="B235">
        <v>165</v>
      </c>
      <c r="C235" s="2">
        <v>990</v>
      </c>
      <c r="D235" s="1">
        <v>43445</v>
      </c>
      <c r="E235" t="str">
        <f>"2018163"</f>
        <v>2018163</v>
      </c>
      <c r="F235" t="str">
        <f>"TRANSPORT-H.D. KENNEDY"</f>
        <v>TRANSPORT-H.D. KENNEDY</v>
      </c>
      <c r="G235" s="3">
        <v>990</v>
      </c>
      <c r="H235" t="str">
        <f>"TRANSPORT-H.D. KENNEDY"</f>
        <v>TRANSPORT-H.D. KENNEDY</v>
      </c>
    </row>
    <row r="236" spans="1:8" x14ac:dyDescent="0.25">
      <c r="A236" t="s">
        <v>77</v>
      </c>
      <c r="B236">
        <v>216</v>
      </c>
      <c r="C236" s="2">
        <v>1970</v>
      </c>
      <c r="D236" s="1">
        <v>43462</v>
      </c>
      <c r="E236" t="str">
        <f>"2018150"</f>
        <v>2018150</v>
      </c>
      <c r="F236" t="str">
        <f>"TRANSPORT-E. MOLINA"</f>
        <v>TRANSPORT-E. MOLINA</v>
      </c>
      <c r="G236" s="3">
        <v>495</v>
      </c>
      <c r="H236" t="str">
        <f>"TRANSPORT-E. MOLINA"</f>
        <v>TRANSPORT-E. MOLINA</v>
      </c>
    </row>
    <row r="237" spans="1:8" x14ac:dyDescent="0.25">
      <c r="E237" t="str">
        <f>"2018155"</f>
        <v>2018155</v>
      </c>
      <c r="F237" t="str">
        <f>"TRANPORT-T.W. BABBIT"</f>
        <v>TRANPORT-T.W. BABBIT</v>
      </c>
      <c r="G237" s="3">
        <v>390</v>
      </c>
      <c r="H237" t="str">
        <f>"TRANPORT-T.W. BABBIT"</f>
        <v>TRANPORT-T.W. BABBIT</v>
      </c>
    </row>
    <row r="238" spans="1:8" x14ac:dyDescent="0.25">
      <c r="E238" t="str">
        <f>"2018158"</f>
        <v>2018158</v>
      </c>
      <c r="F238" t="str">
        <f>"TRANSPORT-R.SLUDER"</f>
        <v>TRANSPORT-R.SLUDER</v>
      </c>
      <c r="G238" s="3">
        <v>390</v>
      </c>
      <c r="H238" t="str">
        <f>"TRANSPORT-R.SLUDER"</f>
        <v>TRANSPORT-R.SLUDER</v>
      </c>
    </row>
    <row r="239" spans="1:8" x14ac:dyDescent="0.25">
      <c r="E239" t="str">
        <f>"2018166"</f>
        <v>2018166</v>
      </c>
      <c r="F239" t="str">
        <f>"TRANSPORT-B. TURNER"</f>
        <v>TRANSPORT-B. TURNER</v>
      </c>
      <c r="G239" s="3">
        <v>695</v>
      </c>
      <c r="H239" t="str">
        <f>"TRANSPORT-B. TURNER"</f>
        <v>TRANSPORT-B. TURNER</v>
      </c>
    </row>
    <row r="240" spans="1:8" x14ac:dyDescent="0.25">
      <c r="A240" t="s">
        <v>78</v>
      </c>
      <c r="B240">
        <v>80121</v>
      </c>
      <c r="C240" s="2">
        <v>542</v>
      </c>
      <c r="D240" s="1">
        <v>43461</v>
      </c>
      <c r="E240" t="str">
        <f>"6087"</f>
        <v>6087</v>
      </c>
      <c r="F240" t="str">
        <f>"WALL LETTERING"</f>
        <v>WALL LETTERING</v>
      </c>
      <c r="G240" s="3">
        <v>542</v>
      </c>
      <c r="H240" t="str">
        <f>"WALL LETTERING"</f>
        <v>WALL LETTERING</v>
      </c>
    </row>
    <row r="241" spans="1:8" x14ac:dyDescent="0.25">
      <c r="A241" t="s">
        <v>79</v>
      </c>
      <c r="B241">
        <v>160</v>
      </c>
      <c r="C241" s="2">
        <v>2205</v>
      </c>
      <c r="D241" s="1">
        <v>43445</v>
      </c>
      <c r="E241" t="str">
        <f>"201812035493"</f>
        <v>201812035493</v>
      </c>
      <c r="F241" t="str">
        <f>"SVCS IN NOVEMBER 2018"</f>
        <v>SVCS IN NOVEMBER 2018</v>
      </c>
      <c r="G241" s="3">
        <v>507.5</v>
      </c>
      <c r="H241" t="str">
        <f>"SVCS IN NOVEMBER 2018"</f>
        <v>SVCS IN NOVEMBER 2018</v>
      </c>
    </row>
    <row r="242" spans="1:8" x14ac:dyDescent="0.25">
      <c r="E242" t="str">
        <f>"201812065575"</f>
        <v>201812065575</v>
      </c>
      <c r="F242" t="str">
        <f>"NOVEMBER SERVICES"</f>
        <v>NOVEMBER SERVICES</v>
      </c>
      <c r="G242" s="3">
        <v>1697.5</v>
      </c>
      <c r="H242" t="str">
        <f>"NOVEMBER - JAIL"</f>
        <v>NOVEMBER - JAIL</v>
      </c>
    </row>
    <row r="243" spans="1:8" x14ac:dyDescent="0.25">
      <c r="E243" t="str">
        <f>""</f>
        <v/>
      </c>
      <c r="F243" t="str">
        <f>""</f>
        <v/>
      </c>
      <c r="H243" t="str">
        <f>"NOVEMBER - LE"</f>
        <v>NOVEMBER - LE</v>
      </c>
    </row>
    <row r="244" spans="1:8" x14ac:dyDescent="0.25">
      <c r="A244" t="s">
        <v>80</v>
      </c>
      <c r="B244">
        <v>79906</v>
      </c>
      <c r="C244" s="2">
        <v>2091.6999999999998</v>
      </c>
      <c r="D244" s="1">
        <v>43444</v>
      </c>
      <c r="E244" t="str">
        <f>"74885458/99996/921"</f>
        <v>74885458/99996/921</v>
      </c>
      <c r="F244" t="str">
        <f>"INV 74885458"</f>
        <v>INV 74885458</v>
      </c>
      <c r="G244" s="3">
        <v>2091.6999999999998</v>
      </c>
      <c r="H244" t="str">
        <f>"INV 74885458"</f>
        <v>INV 74885458</v>
      </c>
    </row>
    <row r="245" spans="1:8" x14ac:dyDescent="0.25">
      <c r="E245" t="str">
        <f>""</f>
        <v/>
      </c>
      <c r="F245" t="str">
        <f>""</f>
        <v/>
      </c>
      <c r="H245" t="str">
        <f>"INV 74892172"</f>
        <v>INV 74892172</v>
      </c>
    </row>
    <row r="246" spans="1:8" x14ac:dyDescent="0.25">
      <c r="E246" t="str">
        <f>""</f>
        <v/>
      </c>
      <c r="F246" t="str">
        <f>""</f>
        <v/>
      </c>
      <c r="H246" t="str">
        <f>"INV 74899996"</f>
        <v>INV 74899996</v>
      </c>
    </row>
    <row r="247" spans="1:8" x14ac:dyDescent="0.25">
      <c r="A247" t="s">
        <v>80</v>
      </c>
      <c r="B247">
        <v>80122</v>
      </c>
      <c r="C247" s="2">
        <v>2144.5500000000002</v>
      </c>
      <c r="D247" s="1">
        <v>43461</v>
      </c>
      <c r="E247" t="str">
        <f>"02363-8132-15704"</f>
        <v>02363-8132-15704</v>
      </c>
      <c r="F247" t="str">
        <f>"INV 74902363"</f>
        <v>INV 74902363</v>
      </c>
      <c r="G247" s="3">
        <v>2144.5500000000002</v>
      </c>
      <c r="H247" t="str">
        <f>"INV 74902363"</f>
        <v>INV 74902363</v>
      </c>
    </row>
    <row r="248" spans="1:8" x14ac:dyDescent="0.25">
      <c r="E248" t="str">
        <f>""</f>
        <v/>
      </c>
      <c r="F248" t="str">
        <f>""</f>
        <v/>
      </c>
      <c r="H248" t="str">
        <f>"INV 74908132"</f>
        <v>INV 74908132</v>
      </c>
    </row>
    <row r="249" spans="1:8" x14ac:dyDescent="0.25">
      <c r="E249" t="str">
        <f>""</f>
        <v/>
      </c>
      <c r="F249" t="str">
        <f>""</f>
        <v/>
      </c>
      <c r="H249" t="str">
        <f>"INV 74915704"</f>
        <v>INV 74915704</v>
      </c>
    </row>
    <row r="250" spans="1:8" x14ac:dyDescent="0.25">
      <c r="A250" t="s">
        <v>81</v>
      </c>
      <c r="B250">
        <v>230</v>
      </c>
      <c r="C250" s="2">
        <v>2972.73</v>
      </c>
      <c r="D250" s="1">
        <v>43462</v>
      </c>
      <c r="E250" t="str">
        <f>"254311-00/2543110A"</f>
        <v>254311-00/2543110A</v>
      </c>
      <c r="F250" t="str">
        <f>"INV 254311-00"</f>
        <v>INV 254311-00</v>
      </c>
      <c r="G250" s="3">
        <v>2972.73</v>
      </c>
      <c r="H250" t="str">
        <f>"INV 254311-00"</f>
        <v>INV 254311-00</v>
      </c>
    </row>
    <row r="251" spans="1:8" x14ac:dyDescent="0.25">
      <c r="E251" t="str">
        <f>""</f>
        <v/>
      </c>
      <c r="F251" t="str">
        <f>""</f>
        <v/>
      </c>
      <c r="H251" t="str">
        <f>"CM 254311-0A"</f>
        <v>CM 254311-0A</v>
      </c>
    </row>
    <row r="252" spans="1:8" x14ac:dyDescent="0.25">
      <c r="A252" t="s">
        <v>82</v>
      </c>
      <c r="B252">
        <v>80123</v>
      </c>
      <c r="C252" s="2">
        <v>564.98</v>
      </c>
      <c r="D252" s="1">
        <v>43461</v>
      </c>
      <c r="E252" t="str">
        <f>"3549573"</f>
        <v>3549573</v>
      </c>
      <c r="F252" t="str">
        <f>"Inv# 3549573"</f>
        <v>Inv# 3549573</v>
      </c>
      <c r="G252" s="3">
        <v>564.98</v>
      </c>
      <c r="H252" t="str">
        <f>"Inv# 3549573"</f>
        <v>Inv# 3549573</v>
      </c>
    </row>
    <row r="253" spans="1:8" x14ac:dyDescent="0.25">
      <c r="E253" t="str">
        <f>""</f>
        <v/>
      </c>
      <c r="F253" t="str">
        <f>""</f>
        <v/>
      </c>
      <c r="H253" t="str">
        <f>"Mouse COmbo"</f>
        <v>Mouse COmbo</v>
      </c>
    </row>
    <row r="254" spans="1:8" x14ac:dyDescent="0.25">
      <c r="A254" t="s">
        <v>83</v>
      </c>
      <c r="B254">
        <v>79907</v>
      </c>
      <c r="C254" s="2">
        <v>1733.23</v>
      </c>
      <c r="D254" s="1">
        <v>43444</v>
      </c>
      <c r="E254" t="str">
        <f>"23959"</f>
        <v>23959</v>
      </c>
      <c r="F254" t="str">
        <f>"INV 23959"</f>
        <v>INV 23959</v>
      </c>
      <c r="G254" s="3">
        <v>1733.23</v>
      </c>
      <c r="H254" t="str">
        <f>"INV 23959"</f>
        <v>INV 23959</v>
      </c>
    </row>
    <row r="255" spans="1:8" x14ac:dyDescent="0.25">
      <c r="A255" t="s">
        <v>84</v>
      </c>
      <c r="B255">
        <v>79908</v>
      </c>
      <c r="C255" s="2">
        <v>155</v>
      </c>
      <c r="D255" s="1">
        <v>43444</v>
      </c>
      <c r="E255" t="str">
        <f>"12205"</f>
        <v>12205</v>
      </c>
      <c r="F255" t="str">
        <f>"SERVICE"</f>
        <v>SERVICE</v>
      </c>
      <c r="G255" s="3">
        <v>80</v>
      </c>
      <c r="H255" t="str">
        <f>"SERVICE"</f>
        <v>SERVICE</v>
      </c>
    </row>
    <row r="256" spans="1:8" x14ac:dyDescent="0.25">
      <c r="E256" t="str">
        <f>"12936"</f>
        <v>12936</v>
      </c>
      <c r="F256" t="str">
        <f>"SERVICE"</f>
        <v>SERVICE</v>
      </c>
      <c r="G256" s="3">
        <v>75</v>
      </c>
      <c r="H256" t="str">
        <f>"SERVICE"</f>
        <v>SERVICE</v>
      </c>
    </row>
    <row r="257" spans="1:8" x14ac:dyDescent="0.25">
      <c r="A257" t="s">
        <v>85</v>
      </c>
      <c r="B257">
        <v>79909</v>
      </c>
      <c r="C257" s="2">
        <v>2195</v>
      </c>
      <c r="D257" s="1">
        <v>43444</v>
      </c>
      <c r="E257" t="str">
        <f>"59138"</f>
        <v>59138</v>
      </c>
      <c r="F257" t="str">
        <f>"CritiCall License Renewal"</f>
        <v>CritiCall License Renewal</v>
      </c>
      <c r="G257" s="3">
        <v>2195</v>
      </c>
      <c r="H257" t="str">
        <f>"CCAL-2"</f>
        <v>CCAL-2</v>
      </c>
    </row>
    <row r="258" spans="1:8" x14ac:dyDescent="0.25">
      <c r="A258" t="s">
        <v>86</v>
      </c>
      <c r="B258">
        <v>161</v>
      </c>
      <c r="C258" s="2">
        <v>362.14</v>
      </c>
      <c r="D258" s="1">
        <v>43445</v>
      </c>
      <c r="E258" t="str">
        <f>"18129"</f>
        <v>18129</v>
      </c>
      <c r="F258" t="str">
        <f>"SPANISH INTERPRETATION"</f>
        <v>SPANISH INTERPRETATION</v>
      </c>
      <c r="G258" s="3">
        <v>181.07</v>
      </c>
      <c r="H258" t="str">
        <f>"SPANISH INTERPRETATION"</f>
        <v>SPANISH INTERPRETATION</v>
      </c>
    </row>
    <row r="259" spans="1:8" x14ac:dyDescent="0.25">
      <c r="E259" t="str">
        <f>"18130"</f>
        <v>18130</v>
      </c>
      <c r="F259" t="str">
        <f>"SPANISH INTERPRETATION"</f>
        <v>SPANISH INTERPRETATION</v>
      </c>
      <c r="G259" s="3">
        <v>181.07</v>
      </c>
      <c r="H259" t="str">
        <f>"SPANISH INTERPRETATION"</f>
        <v>SPANISH INTERPRETATION</v>
      </c>
    </row>
    <row r="260" spans="1:8" x14ac:dyDescent="0.25">
      <c r="A260" t="s">
        <v>87</v>
      </c>
      <c r="B260">
        <v>79910</v>
      </c>
      <c r="C260" s="2">
        <v>512.58000000000004</v>
      </c>
      <c r="D260" s="1">
        <v>43444</v>
      </c>
      <c r="E260" t="str">
        <f>"84078935332/5424"</f>
        <v>84078935332/5424</v>
      </c>
      <c r="F260" t="str">
        <f>"INV 84078935332"</f>
        <v>INV 84078935332</v>
      </c>
      <c r="G260" s="3">
        <v>512.58000000000004</v>
      </c>
      <c r="H260" t="str">
        <f>"INV 84078935332"</f>
        <v>INV 84078935332</v>
      </c>
    </row>
    <row r="261" spans="1:8" x14ac:dyDescent="0.25">
      <c r="E261" t="str">
        <f>""</f>
        <v/>
      </c>
      <c r="F261" t="str">
        <f>""</f>
        <v/>
      </c>
      <c r="H261" t="str">
        <f>"INV 84078935424"</f>
        <v>INV 84078935424</v>
      </c>
    </row>
    <row r="262" spans="1:8" x14ac:dyDescent="0.25">
      <c r="A262" t="s">
        <v>87</v>
      </c>
      <c r="B262">
        <v>80124</v>
      </c>
      <c r="C262" s="2">
        <v>614.12</v>
      </c>
      <c r="D262" s="1">
        <v>43461</v>
      </c>
      <c r="E262" t="str">
        <f>"84078935514-5601"</f>
        <v>84078935514-5601</v>
      </c>
      <c r="F262" t="str">
        <f>"INV 84078935514"</f>
        <v>INV 84078935514</v>
      </c>
      <c r="G262" s="3">
        <v>614.12</v>
      </c>
      <c r="H262" t="str">
        <f>"INV 84078935514"</f>
        <v>INV 84078935514</v>
      </c>
    </row>
    <row r="263" spans="1:8" x14ac:dyDescent="0.25">
      <c r="E263" t="str">
        <f>""</f>
        <v/>
      </c>
      <c r="F263" t="str">
        <f>""</f>
        <v/>
      </c>
      <c r="H263" t="str">
        <f>"INV 84078935601"</f>
        <v>INV 84078935601</v>
      </c>
    </row>
    <row r="264" spans="1:8" x14ac:dyDescent="0.25">
      <c r="A264" t="s">
        <v>88</v>
      </c>
      <c r="B264">
        <v>228</v>
      </c>
      <c r="C264" s="2">
        <v>1826.73</v>
      </c>
      <c r="D264" s="1">
        <v>43462</v>
      </c>
      <c r="E264" t="str">
        <f>"201812115693"</f>
        <v>201812115693</v>
      </c>
      <c r="F264" t="str">
        <f>"02-1019-1 925-390-9120-A001 18"</f>
        <v>02-1019-1 925-390-9120-A001 18</v>
      </c>
      <c r="G264" s="3">
        <v>250</v>
      </c>
      <c r="H264" t="str">
        <f>"02-1019-1 925-390-9120-A001 18"</f>
        <v>02-1019-1 925-390-9120-A001 18</v>
      </c>
    </row>
    <row r="265" spans="1:8" x14ac:dyDescent="0.25">
      <c r="E265" t="str">
        <f>"201812115694"</f>
        <v>201812115694</v>
      </c>
      <c r="F265" t="str">
        <f>"55 913"</f>
        <v>55 913</v>
      </c>
      <c r="G265" s="3">
        <v>250</v>
      </c>
      <c r="H265" t="str">
        <f>"55 913"</f>
        <v>55 913</v>
      </c>
    </row>
    <row r="266" spans="1:8" x14ac:dyDescent="0.25">
      <c r="E266" t="str">
        <f>"201812115695"</f>
        <v>201812115695</v>
      </c>
      <c r="F266" t="str">
        <f>"55 658"</f>
        <v>55 658</v>
      </c>
      <c r="G266" s="3">
        <v>250</v>
      </c>
      <c r="H266" t="str">
        <f>"55 658"</f>
        <v>55 658</v>
      </c>
    </row>
    <row r="267" spans="1:8" x14ac:dyDescent="0.25">
      <c r="E267" t="str">
        <f>"201812135810"</f>
        <v>201812135810</v>
      </c>
      <c r="F267" t="str">
        <f>"18-18997"</f>
        <v>18-18997</v>
      </c>
      <c r="G267" s="3">
        <v>326.79000000000002</v>
      </c>
      <c r="H267" t="str">
        <f>"18-18997"</f>
        <v>18-18997</v>
      </c>
    </row>
    <row r="268" spans="1:8" x14ac:dyDescent="0.25">
      <c r="E268" t="str">
        <f>"201812135811"</f>
        <v>201812135811</v>
      </c>
      <c r="F268" t="str">
        <f>"18-19155"</f>
        <v>18-19155</v>
      </c>
      <c r="G268" s="3">
        <v>299.94</v>
      </c>
      <c r="H268" t="str">
        <f>"18-19155"</f>
        <v>18-19155</v>
      </c>
    </row>
    <row r="269" spans="1:8" x14ac:dyDescent="0.25">
      <c r="E269" t="str">
        <f>"201812135812"</f>
        <v>201812135812</v>
      </c>
      <c r="F269" t="str">
        <f>"JUVENILE DETENTION HEARING"</f>
        <v>JUVENILE DETENTION HEARING</v>
      </c>
      <c r="G269" s="3">
        <v>100</v>
      </c>
      <c r="H269" t="str">
        <f>"JUVENILE DETENTION HEARING"</f>
        <v>JUVENILE DETENTION HEARING</v>
      </c>
    </row>
    <row r="270" spans="1:8" x14ac:dyDescent="0.25">
      <c r="E270" t="str">
        <f>"201812135813"</f>
        <v>201812135813</v>
      </c>
      <c r="F270" t="str">
        <f>"JUVENILE DETENTION HEARING"</f>
        <v>JUVENILE DETENTION HEARING</v>
      </c>
      <c r="G270" s="3">
        <v>100</v>
      </c>
      <c r="H270" t="str">
        <f>"JUVENILE DETENTION HEARING"</f>
        <v>JUVENILE DETENTION HEARING</v>
      </c>
    </row>
    <row r="271" spans="1:8" x14ac:dyDescent="0.25">
      <c r="E271" t="str">
        <f>"201812195930"</f>
        <v>201812195930</v>
      </c>
      <c r="F271" t="str">
        <f>"56 502 / 100617-121318"</f>
        <v>56 502 / 100617-121318</v>
      </c>
      <c r="G271" s="3">
        <v>250</v>
      </c>
      <c r="H271" t="str">
        <f>"56 502 / 100617-121318"</f>
        <v>56 502 / 100617-121318</v>
      </c>
    </row>
    <row r="272" spans="1:8" x14ac:dyDescent="0.25">
      <c r="A272" t="s">
        <v>89</v>
      </c>
      <c r="B272">
        <v>80125</v>
      </c>
      <c r="C272" s="2">
        <v>377.32</v>
      </c>
      <c r="D272" s="1">
        <v>43461</v>
      </c>
      <c r="E272" t="str">
        <f>"201812185859"</f>
        <v>201812185859</v>
      </c>
      <c r="F272" t="str">
        <f>"CRIME STOPPERS FEES NOV 2018"</f>
        <v>CRIME STOPPERS FEES NOV 2018</v>
      </c>
      <c r="G272" s="3">
        <v>377.32</v>
      </c>
      <c r="H272" t="str">
        <f>"CRIME STOPPERS FEES NOV 2018"</f>
        <v>CRIME STOPPERS FEES NOV 2018</v>
      </c>
    </row>
    <row r="273" spans="1:9" x14ac:dyDescent="0.25">
      <c r="A273" t="s">
        <v>90</v>
      </c>
      <c r="B273">
        <v>79881</v>
      </c>
      <c r="C273" s="2">
        <v>3431.3</v>
      </c>
      <c r="D273" s="1">
        <v>43441</v>
      </c>
      <c r="E273" t="str">
        <f>"201812075599"</f>
        <v>201812075599</v>
      </c>
      <c r="F273" t="str">
        <f>"ACCT#5000057374 / 12032018"</f>
        <v>ACCT#5000057374 / 12032018</v>
      </c>
      <c r="G273" s="3">
        <v>3431.3</v>
      </c>
      <c r="H273" t="str">
        <f>"ACCT#5000057374 / 12032018"</f>
        <v>ACCT#5000057374 / 12032018</v>
      </c>
    </row>
    <row r="274" spans="1:9" x14ac:dyDescent="0.25">
      <c r="E274" t="str">
        <f>""</f>
        <v/>
      </c>
      <c r="F274" t="str">
        <f>""</f>
        <v/>
      </c>
      <c r="H274" t="str">
        <f>"ACCT#5000057374 / 12032018"</f>
        <v>ACCT#5000057374 / 12032018</v>
      </c>
    </row>
    <row r="275" spans="1:9" x14ac:dyDescent="0.25">
      <c r="E275" t="str">
        <f>""</f>
        <v/>
      </c>
      <c r="F275" t="str">
        <f>""</f>
        <v/>
      </c>
      <c r="H275" t="str">
        <f>"ACCT#5000057374 / 12032018"</f>
        <v>ACCT#5000057374 / 12032018</v>
      </c>
    </row>
    <row r="276" spans="1:9" x14ac:dyDescent="0.25">
      <c r="E276" t="str">
        <f>""</f>
        <v/>
      </c>
      <c r="F276" t="str">
        <f>""</f>
        <v/>
      </c>
      <c r="H276" t="str">
        <f>"ACCT#5000057374 / 12032018"</f>
        <v>ACCT#5000057374 / 12032018</v>
      </c>
    </row>
    <row r="277" spans="1:9" x14ac:dyDescent="0.25">
      <c r="A277" t="s">
        <v>91</v>
      </c>
      <c r="B277">
        <v>80126</v>
      </c>
      <c r="C277" s="2">
        <v>20</v>
      </c>
      <c r="D277" s="1">
        <v>43461</v>
      </c>
      <c r="E277" t="s">
        <v>92</v>
      </c>
      <c r="F277" t="s">
        <v>93</v>
      </c>
      <c r="G277" s="3" t="str">
        <f>"RESTITUTION-PAULA BOATMAN"</f>
        <v>RESTITUTION-PAULA BOATMAN</v>
      </c>
      <c r="H277" t="str">
        <f>"210-0000"</f>
        <v>210-0000</v>
      </c>
      <c r="I277" t="str">
        <f>""</f>
        <v/>
      </c>
    </row>
    <row r="278" spans="1:9" x14ac:dyDescent="0.25">
      <c r="A278" t="s">
        <v>94</v>
      </c>
      <c r="B278">
        <v>204</v>
      </c>
      <c r="C278" s="2">
        <v>21785.279999999999</v>
      </c>
      <c r="D278" s="1">
        <v>43445</v>
      </c>
      <c r="E278" t="str">
        <f>"201811285308"</f>
        <v>201811285308</v>
      </c>
      <c r="F278" t="str">
        <f>"GRANT REIMBURSEMENT"</f>
        <v>GRANT REIMBURSEMENT</v>
      </c>
      <c r="G278" s="3">
        <v>10749.18</v>
      </c>
      <c r="H278" t="str">
        <f>"GRANT REIMBURSEMENT"</f>
        <v>GRANT REIMBURSEMENT</v>
      </c>
    </row>
    <row r="279" spans="1:9" x14ac:dyDescent="0.25">
      <c r="E279" t="str">
        <f>"201812065595"</f>
        <v>201812065595</v>
      </c>
      <c r="F279" t="str">
        <f>"GRANT REIMBURSEMENT FY17/18"</f>
        <v>GRANT REIMBURSEMENT FY17/18</v>
      </c>
      <c r="G279" s="3">
        <v>11036.1</v>
      </c>
      <c r="H279" t="str">
        <f>"GRANT REIMBURSEMENT FY17/18"</f>
        <v>GRANT REIMBURSEMENT FY17/18</v>
      </c>
    </row>
    <row r="280" spans="1:9" x14ac:dyDescent="0.25">
      <c r="A280" t="s">
        <v>94</v>
      </c>
      <c r="B280">
        <v>269</v>
      </c>
      <c r="C280" s="2">
        <v>1175</v>
      </c>
      <c r="D280" s="1">
        <v>43462</v>
      </c>
      <c r="E280" t="str">
        <f>"25-11-2018"</f>
        <v>25-11-2018</v>
      </c>
      <c r="F280" t="str">
        <f>"INV 25-11-2018"</f>
        <v>INV 25-11-2018</v>
      </c>
      <c r="G280" s="3">
        <v>1175</v>
      </c>
      <c r="H280" t="str">
        <f>"INV 25-11-2018"</f>
        <v>INV 25-11-2018</v>
      </c>
    </row>
    <row r="281" spans="1:9" x14ac:dyDescent="0.25">
      <c r="A281" t="s">
        <v>95</v>
      </c>
      <c r="B281">
        <v>79911</v>
      </c>
      <c r="C281" s="2">
        <v>1452</v>
      </c>
      <c r="D281" s="1">
        <v>43444</v>
      </c>
      <c r="E281" t="str">
        <f>"UT1000479376"</f>
        <v>UT1000479376</v>
      </c>
      <c r="F281" t="str">
        <f>"INV UT1000479376"</f>
        <v>INV UT1000479376</v>
      </c>
      <c r="G281" s="3">
        <v>1452</v>
      </c>
      <c r="H281" t="str">
        <f>"INV UT1000479376"</f>
        <v>INV UT1000479376</v>
      </c>
    </row>
    <row r="282" spans="1:9" x14ac:dyDescent="0.25">
      <c r="A282" t="s">
        <v>95</v>
      </c>
      <c r="B282">
        <v>80127</v>
      </c>
      <c r="C282" s="2">
        <v>726</v>
      </c>
      <c r="D282" s="1">
        <v>43461</v>
      </c>
      <c r="E282" t="str">
        <f>"UT1000479824"</f>
        <v>UT1000479824</v>
      </c>
      <c r="F282" t="str">
        <f>"INV UT1000479824"</f>
        <v>INV UT1000479824</v>
      </c>
      <c r="G282" s="3">
        <v>726</v>
      </c>
      <c r="H282" t="str">
        <f>"INV UT1000479824"</f>
        <v>INV UT1000479824</v>
      </c>
    </row>
    <row r="283" spans="1:9" x14ac:dyDescent="0.25">
      <c r="A283" t="s">
        <v>96</v>
      </c>
      <c r="B283">
        <v>79912</v>
      </c>
      <c r="C283" s="2">
        <v>55</v>
      </c>
      <c r="D283" s="1">
        <v>43444</v>
      </c>
      <c r="E283" t="str">
        <f>"201811305464"</f>
        <v>201811305464</v>
      </c>
      <c r="F283" t="str">
        <f>"FERAL HOGS"</f>
        <v>FERAL HOGS</v>
      </c>
      <c r="G283" s="3">
        <v>55</v>
      </c>
      <c r="H283" t="str">
        <f>"FERAL HOGS"</f>
        <v>FERAL HOGS</v>
      </c>
    </row>
    <row r="284" spans="1:9" x14ac:dyDescent="0.25">
      <c r="A284" t="s">
        <v>97</v>
      </c>
      <c r="B284">
        <v>79913</v>
      </c>
      <c r="C284" s="2">
        <v>409.54</v>
      </c>
      <c r="D284" s="1">
        <v>43444</v>
      </c>
      <c r="E284" t="str">
        <f>"9250"</f>
        <v>9250</v>
      </c>
      <c r="F284" t="str">
        <f>"2006 FORD REPAIRS/PCT#1"</f>
        <v>2006 FORD REPAIRS/PCT#1</v>
      </c>
      <c r="G284" s="3">
        <v>120.63</v>
      </c>
      <c r="H284" t="str">
        <f>"2006 FORD REPAIRS/PCT#1"</f>
        <v>2006 FORD REPAIRS/PCT#1</v>
      </c>
    </row>
    <row r="285" spans="1:9" x14ac:dyDescent="0.25">
      <c r="E285" t="str">
        <f>"9267"</f>
        <v>9267</v>
      </c>
      <c r="F285" t="str">
        <f>"2016 FLAT BED TRAILER REPAIRS"</f>
        <v>2016 FLAT BED TRAILER REPAIRS</v>
      </c>
      <c r="G285" s="3">
        <v>288.91000000000003</v>
      </c>
      <c r="H285" t="str">
        <f>"2016 FLAT BED TRAILER REPAIRS"</f>
        <v>2016 FLAT BED TRAILER REPAIRS</v>
      </c>
    </row>
    <row r="286" spans="1:9" x14ac:dyDescent="0.25">
      <c r="A286" t="s">
        <v>98</v>
      </c>
      <c r="B286">
        <v>79914</v>
      </c>
      <c r="C286" s="2">
        <v>581.91</v>
      </c>
      <c r="D286" s="1">
        <v>43444</v>
      </c>
      <c r="E286" t="str">
        <f>"97546"</f>
        <v>97546</v>
      </c>
      <c r="F286" t="str">
        <f>"ACCT#1268/PCT#3"</f>
        <v>ACCT#1268/PCT#3</v>
      </c>
      <c r="G286" s="3">
        <v>581.91</v>
      </c>
      <c r="H286" t="str">
        <f>"ACCT#1268/PCT#3"</f>
        <v>ACCT#1268/PCT#3</v>
      </c>
    </row>
    <row r="287" spans="1:9" x14ac:dyDescent="0.25">
      <c r="A287" t="s">
        <v>98</v>
      </c>
      <c r="B287">
        <v>80128</v>
      </c>
      <c r="C287" s="2">
        <v>1251.01</v>
      </c>
      <c r="D287" s="1">
        <v>43461</v>
      </c>
      <c r="E287" t="str">
        <f>"98008"</f>
        <v>98008</v>
      </c>
      <c r="F287" t="str">
        <f>"ACCT#1268/PCT#3"</f>
        <v>ACCT#1268/PCT#3</v>
      </c>
      <c r="G287" s="3">
        <v>95.84</v>
      </c>
      <c r="H287" t="str">
        <f>"ACCT#1268/PCT#3"</f>
        <v>ACCT#1268/PCT#3</v>
      </c>
    </row>
    <row r="288" spans="1:9" x14ac:dyDescent="0.25">
      <c r="E288" t="str">
        <f>"98009"</f>
        <v>98009</v>
      </c>
      <c r="F288" t="str">
        <f>"ACCT#1268/PCT#3"</f>
        <v>ACCT#1268/PCT#3</v>
      </c>
      <c r="G288" s="3">
        <v>1155.17</v>
      </c>
      <c r="H288" t="str">
        <f>"ACCT#1268/PCT#3"</f>
        <v>ACCT#1268/PCT#3</v>
      </c>
    </row>
    <row r="289" spans="1:8" x14ac:dyDescent="0.25">
      <c r="A289" t="s">
        <v>99</v>
      </c>
      <c r="B289">
        <v>79915</v>
      </c>
      <c r="C289" s="2">
        <v>15</v>
      </c>
      <c r="D289" s="1">
        <v>43444</v>
      </c>
      <c r="E289" t="str">
        <f>"423-6181"</f>
        <v>423-6181</v>
      </c>
      <c r="F289" t="str">
        <f>"CAR FUND"</f>
        <v>CAR FUND</v>
      </c>
      <c r="G289" s="3">
        <v>15</v>
      </c>
      <c r="H289" t="str">
        <f>"CAR FUND"</f>
        <v>CAR FUND</v>
      </c>
    </row>
    <row r="290" spans="1:8" x14ac:dyDescent="0.25">
      <c r="A290" t="s">
        <v>99</v>
      </c>
      <c r="B290">
        <v>80129</v>
      </c>
      <c r="C290" s="2">
        <v>45</v>
      </c>
      <c r="D290" s="1">
        <v>43461</v>
      </c>
      <c r="E290" t="str">
        <f>"18-19387"</f>
        <v>18-19387</v>
      </c>
      <c r="F290" t="str">
        <f>"CENTRAL ADOPTION REGISTRY FUND"</f>
        <v>CENTRAL ADOPTION REGISTRY FUND</v>
      </c>
      <c r="G290" s="3">
        <v>15</v>
      </c>
      <c r="H290" t="str">
        <f>"CENTRAL ADOPTION REGISTRY FUND"</f>
        <v>CENTRAL ADOPTION REGISTRY FUND</v>
      </c>
    </row>
    <row r="291" spans="1:8" x14ac:dyDescent="0.25">
      <c r="E291" t="str">
        <f>"18-19393"</f>
        <v>18-19393</v>
      </c>
      <c r="F291" t="str">
        <f>"CENTRAL ADOPTION REGISTRY FUND"</f>
        <v>CENTRAL ADOPTION REGISTRY FUND</v>
      </c>
      <c r="G291" s="3">
        <v>15</v>
      </c>
      <c r="H291" t="str">
        <f>"CENTRAL ADOPTION REGISTRY FUND"</f>
        <v>CENTRAL ADOPTION REGISTRY FUND</v>
      </c>
    </row>
    <row r="292" spans="1:8" x14ac:dyDescent="0.25">
      <c r="E292" t="str">
        <f>"423-6203"</f>
        <v>423-6203</v>
      </c>
      <c r="F292" t="str">
        <f>"CENTRAL ADOPTION REGISTRY FUND"</f>
        <v>CENTRAL ADOPTION REGISTRY FUND</v>
      </c>
      <c r="G292" s="3">
        <v>15</v>
      </c>
      <c r="H292" t="str">
        <f>"CENTRAL ADOPTION REGISTRY FUND"</f>
        <v>CENTRAL ADOPTION REGISTRY FUND</v>
      </c>
    </row>
    <row r="293" spans="1:8" x14ac:dyDescent="0.25">
      <c r="A293" t="s">
        <v>100</v>
      </c>
      <c r="B293">
        <v>80130</v>
      </c>
      <c r="C293" s="2">
        <v>1618.75</v>
      </c>
      <c r="D293" s="1">
        <v>43461</v>
      </c>
      <c r="E293" t="str">
        <f>"1379 - 1"</f>
        <v>1379 - 1</v>
      </c>
      <c r="F293" t="str">
        <f>"SURGICAL CENTER/ANIMAL CONTROL"</f>
        <v>SURGICAL CENTER/ANIMAL CONTROL</v>
      </c>
      <c r="G293" s="3">
        <v>1618.75</v>
      </c>
      <c r="H293" t="str">
        <f>"SURGICAL CENTER/ANIMAL CONTROL"</f>
        <v>SURGICAL CENTER/ANIMAL CONTROL</v>
      </c>
    </row>
    <row r="294" spans="1:8" x14ac:dyDescent="0.25">
      <c r="A294" t="s">
        <v>101</v>
      </c>
      <c r="B294">
        <v>79916</v>
      </c>
      <c r="C294" s="2">
        <v>23.76</v>
      </c>
      <c r="D294" s="1">
        <v>43444</v>
      </c>
      <c r="E294" t="str">
        <f>"2018PS 277"</f>
        <v>2018PS 277</v>
      </c>
      <c r="F294" t="str">
        <f>"DATA/SR/ALI SYSTEM MONITORING"</f>
        <v>DATA/SR/ALI SYSTEM MONITORING</v>
      </c>
      <c r="G294" s="3">
        <v>23.76</v>
      </c>
      <c r="H294" t="str">
        <f>"DATA/SR/ALI SYSTEM MONITORING"</f>
        <v>DATA/SR/ALI SYSTEM MONITORING</v>
      </c>
    </row>
    <row r="295" spans="1:8" x14ac:dyDescent="0.25">
      <c r="A295" t="s">
        <v>102</v>
      </c>
      <c r="B295">
        <v>1</v>
      </c>
      <c r="C295" s="2">
        <v>9561.86</v>
      </c>
      <c r="D295" s="1">
        <v>43444</v>
      </c>
      <c r="E295" t="str">
        <f>"201812045560"</f>
        <v>201812045560</v>
      </c>
      <c r="F295" t="str">
        <f>"MASTERCARD STATEMENT"</f>
        <v>MASTERCARD STATEMENT</v>
      </c>
      <c r="G295" s="3">
        <v>9392.48</v>
      </c>
      <c r="H295" t="str">
        <f>"AUSTIN HR"</f>
        <v>AUSTIN HR</v>
      </c>
    </row>
    <row r="296" spans="1:8" x14ac:dyDescent="0.25">
      <c r="E296" t="str">
        <f>""</f>
        <v/>
      </c>
      <c r="F296" t="str">
        <f>""</f>
        <v/>
      </c>
      <c r="H296" t="str">
        <f>"AUSTIN HR"</f>
        <v>AUSTIN HR</v>
      </c>
    </row>
    <row r="297" spans="1:8" x14ac:dyDescent="0.25">
      <c r="E297" t="str">
        <f>""</f>
        <v/>
      </c>
      <c r="F297" t="str">
        <f>""</f>
        <v/>
      </c>
      <c r="H297" t="str">
        <f>"SHRM MEMBER"</f>
        <v>SHRM MEMBER</v>
      </c>
    </row>
    <row r="298" spans="1:8" x14ac:dyDescent="0.25">
      <c r="E298" t="str">
        <f>""</f>
        <v/>
      </c>
      <c r="F298" t="str">
        <f>""</f>
        <v/>
      </c>
      <c r="H298" t="str">
        <f>"CUSTOMINK LLC"</f>
        <v>CUSTOMINK LLC</v>
      </c>
    </row>
    <row r="299" spans="1:8" x14ac:dyDescent="0.25">
      <c r="E299" t="str">
        <f>""</f>
        <v/>
      </c>
      <c r="F299" t="str">
        <f>""</f>
        <v/>
      </c>
      <c r="H299" t="str">
        <f>"TXPPA.ORG"</f>
        <v>TXPPA.ORG</v>
      </c>
    </row>
    <row r="300" spans="1:8" x14ac:dyDescent="0.25">
      <c r="E300" t="str">
        <f>""</f>
        <v/>
      </c>
      <c r="F300" t="str">
        <f>""</f>
        <v/>
      </c>
      <c r="H300" t="str">
        <f>"UNC CH SOG CHAPEL HI"</f>
        <v>UNC CH SOG CHAPEL HI</v>
      </c>
    </row>
    <row r="301" spans="1:8" x14ac:dyDescent="0.25">
      <c r="E301" t="str">
        <f>""</f>
        <v/>
      </c>
      <c r="F301" t="str">
        <f>""</f>
        <v/>
      </c>
      <c r="H301" t="str">
        <f>"DROPBOX CREDIT"</f>
        <v>DROPBOX CREDIT</v>
      </c>
    </row>
    <row r="302" spans="1:8" x14ac:dyDescent="0.25">
      <c r="E302" t="str">
        <f>""</f>
        <v/>
      </c>
      <c r="F302" t="str">
        <f>""</f>
        <v/>
      </c>
      <c r="H302" t="str">
        <f>"GODADDY"</f>
        <v>GODADDY</v>
      </c>
    </row>
    <row r="303" spans="1:8" x14ac:dyDescent="0.25">
      <c r="E303" t="str">
        <f>""</f>
        <v/>
      </c>
      <c r="F303" t="str">
        <f>""</f>
        <v/>
      </c>
      <c r="H303" t="str">
        <f>"GOOGLE GSUITE"</f>
        <v>GOOGLE GSUITE</v>
      </c>
    </row>
    <row r="304" spans="1:8" x14ac:dyDescent="0.25">
      <c r="E304" t="str">
        <f>""</f>
        <v/>
      </c>
      <c r="F304" t="str">
        <f>""</f>
        <v/>
      </c>
      <c r="H304" t="str">
        <f>"VSN DOT GOV"</f>
        <v>VSN DOT GOV</v>
      </c>
    </row>
    <row r="305" spans="5:8" x14ac:dyDescent="0.25">
      <c r="E305" t="str">
        <f>""</f>
        <v/>
      </c>
      <c r="F305" t="str">
        <f>""</f>
        <v/>
      </c>
      <c r="H305" t="str">
        <f>"WEBEX"</f>
        <v>WEBEX</v>
      </c>
    </row>
    <row r="306" spans="5:8" x14ac:dyDescent="0.25">
      <c r="E306" t="str">
        <f>""</f>
        <v/>
      </c>
      <c r="F306" t="str">
        <f>""</f>
        <v/>
      </c>
      <c r="H306" t="str">
        <f>"TXTAG"</f>
        <v>TXTAG</v>
      </c>
    </row>
    <row r="307" spans="5:8" x14ac:dyDescent="0.25">
      <c r="E307" t="str">
        <f>""</f>
        <v/>
      </c>
      <c r="F307" t="str">
        <f>""</f>
        <v/>
      </c>
      <c r="H307" t="str">
        <f>"HORIZON DIST"</f>
        <v>HORIZON DIST</v>
      </c>
    </row>
    <row r="308" spans="5:8" x14ac:dyDescent="0.25">
      <c r="E308" t="str">
        <f>""</f>
        <v/>
      </c>
      <c r="F308" t="str">
        <f>""</f>
        <v/>
      </c>
      <c r="H308" t="str">
        <f>"TXTAG"</f>
        <v>TXTAG</v>
      </c>
    </row>
    <row r="309" spans="5:8" x14ac:dyDescent="0.25">
      <c r="E309" t="str">
        <f>""</f>
        <v/>
      </c>
      <c r="F309" t="str">
        <f>""</f>
        <v/>
      </c>
      <c r="H309" t="str">
        <f>"SUPER 8 CREDIT"</f>
        <v>SUPER 8 CREDIT</v>
      </c>
    </row>
    <row r="310" spans="5:8" x14ac:dyDescent="0.25">
      <c r="E310" t="str">
        <f>""</f>
        <v/>
      </c>
      <c r="F310" t="str">
        <f>""</f>
        <v/>
      </c>
      <c r="H310" t="str">
        <f>"SUPER 8"</f>
        <v>SUPER 8</v>
      </c>
    </row>
    <row r="311" spans="5:8" x14ac:dyDescent="0.25">
      <c r="E311" t="str">
        <f>""</f>
        <v/>
      </c>
      <c r="F311" t="str">
        <f>""</f>
        <v/>
      </c>
      <c r="H311" t="str">
        <f>"ERIKA DEJESUS"</f>
        <v>ERIKA DEJESUS</v>
      </c>
    </row>
    <row r="312" spans="5:8" x14ac:dyDescent="0.25">
      <c r="E312" t="str">
        <f>""</f>
        <v/>
      </c>
      <c r="F312" t="str">
        <f>""</f>
        <v/>
      </c>
      <c r="H312" t="str">
        <f>"ROSANNA GARZA"</f>
        <v>ROSANNA GARZA</v>
      </c>
    </row>
    <row r="313" spans="5:8" x14ac:dyDescent="0.25">
      <c r="E313" t="str">
        <f>""</f>
        <v/>
      </c>
      <c r="F313" t="str">
        <f>""</f>
        <v/>
      </c>
      <c r="H313" t="str">
        <f>"ROBERT BENNETT"</f>
        <v>ROBERT BENNETT</v>
      </c>
    </row>
    <row r="314" spans="5:8" x14ac:dyDescent="0.25">
      <c r="E314" t="str">
        <f>""</f>
        <v/>
      </c>
      <c r="F314" t="str">
        <f>""</f>
        <v/>
      </c>
      <c r="H314" t="str">
        <f>"KENNETH LEATHERWOOD"</f>
        <v>KENNETH LEATHERWOOD</v>
      </c>
    </row>
    <row r="315" spans="5:8" x14ac:dyDescent="0.25">
      <c r="E315" t="str">
        <f>""</f>
        <v/>
      </c>
      <c r="F315" t="str">
        <f>""</f>
        <v/>
      </c>
      <c r="H315" t="str">
        <f>"TVMDL"</f>
        <v>TVMDL</v>
      </c>
    </row>
    <row r="316" spans="5:8" x14ac:dyDescent="0.25">
      <c r="E316" t="str">
        <f>""</f>
        <v/>
      </c>
      <c r="F316" t="str">
        <f>""</f>
        <v/>
      </c>
      <c r="H316" t="str">
        <f>"TXTAG"</f>
        <v>TXTAG</v>
      </c>
    </row>
    <row r="317" spans="5:8" x14ac:dyDescent="0.25">
      <c r="E317" t="str">
        <f>""</f>
        <v/>
      </c>
      <c r="F317" t="str">
        <f>""</f>
        <v/>
      </c>
      <c r="H317" t="str">
        <f>"TXTAG"</f>
        <v>TXTAG</v>
      </c>
    </row>
    <row r="318" spans="5:8" x14ac:dyDescent="0.25">
      <c r="E318" t="str">
        <f>""</f>
        <v/>
      </c>
      <c r="F318" t="str">
        <f>""</f>
        <v/>
      </c>
      <c r="H318" t="str">
        <f>"TXTAG"</f>
        <v>TXTAG</v>
      </c>
    </row>
    <row r="319" spans="5:8" x14ac:dyDescent="0.25">
      <c r="E319" t="str">
        <f>""</f>
        <v/>
      </c>
      <c r="F319" t="str">
        <f>""</f>
        <v/>
      </c>
      <c r="H319" t="str">
        <f>"USPS"</f>
        <v>USPS</v>
      </c>
    </row>
    <row r="320" spans="5:8" x14ac:dyDescent="0.25">
      <c r="E320" t="str">
        <f>""</f>
        <v/>
      </c>
      <c r="F320" t="str">
        <f>""</f>
        <v/>
      </c>
      <c r="H320" t="str">
        <f>"TXTAG"</f>
        <v>TXTAG</v>
      </c>
    </row>
    <row r="321" spans="1:8" x14ac:dyDescent="0.25">
      <c r="E321" t="str">
        <f>""</f>
        <v/>
      </c>
      <c r="F321" t="str">
        <f>""</f>
        <v/>
      </c>
      <c r="H321" t="str">
        <f>"CHEAPTIX"</f>
        <v>CHEAPTIX</v>
      </c>
    </row>
    <row r="322" spans="1:8" x14ac:dyDescent="0.25">
      <c r="E322" t="str">
        <f>""</f>
        <v/>
      </c>
      <c r="F322" t="str">
        <f>""</f>
        <v/>
      </c>
      <c r="H322" t="str">
        <f>"CHEAPTIX"</f>
        <v>CHEAPTIX</v>
      </c>
    </row>
    <row r="323" spans="1:8" x14ac:dyDescent="0.25">
      <c r="E323" t="str">
        <f>""</f>
        <v/>
      </c>
      <c r="F323" t="str">
        <f>""</f>
        <v/>
      </c>
      <c r="H323" t="str">
        <f>"CHEAPTIX"</f>
        <v>CHEAPTIX</v>
      </c>
    </row>
    <row r="324" spans="1:8" x14ac:dyDescent="0.25">
      <c r="E324" t="str">
        <f>""</f>
        <v/>
      </c>
      <c r="F324" t="str">
        <f>""</f>
        <v/>
      </c>
      <c r="H324" t="str">
        <f>"AMERICAN QUACKENBUSH"</f>
        <v>AMERICAN QUACKENBUSH</v>
      </c>
    </row>
    <row r="325" spans="1:8" x14ac:dyDescent="0.25">
      <c r="E325" t="str">
        <f>""</f>
        <v/>
      </c>
      <c r="F325" t="str">
        <f>""</f>
        <v/>
      </c>
      <c r="H325" t="str">
        <f>"TXTAG"</f>
        <v>TXTAG</v>
      </c>
    </row>
    <row r="326" spans="1:8" x14ac:dyDescent="0.25">
      <c r="E326" t="str">
        <f>""</f>
        <v/>
      </c>
      <c r="F326" t="str">
        <f>""</f>
        <v/>
      </c>
      <c r="H326" t="str">
        <f>"HOLIDAY INN"</f>
        <v>HOLIDAY INN</v>
      </c>
    </row>
    <row r="327" spans="1:8" x14ac:dyDescent="0.25">
      <c r="E327" t="str">
        <f>"201812075596"</f>
        <v>201812075596</v>
      </c>
      <c r="F327" t="str">
        <f>"Interest for PO 18-21583"</f>
        <v>Interest for PO 18-21583</v>
      </c>
      <c r="G327" s="3">
        <v>169.38</v>
      </c>
      <c r="H327" t="str">
        <f>"Interest for PO 18-21583"</f>
        <v>Interest for PO 18-21583</v>
      </c>
    </row>
    <row r="328" spans="1:8" x14ac:dyDescent="0.25">
      <c r="A328" t="s">
        <v>102</v>
      </c>
      <c r="B328">
        <v>2</v>
      </c>
      <c r="C328" s="2">
        <v>1223.17</v>
      </c>
      <c r="D328" s="1">
        <v>43444</v>
      </c>
      <c r="E328" t="str">
        <f>"201812065574"</f>
        <v>201812065574</v>
      </c>
      <c r="F328" t="str">
        <f>"STATEMENT 0574"</f>
        <v>STATEMENT 0574</v>
      </c>
      <c r="G328" s="3">
        <v>1223.17</v>
      </c>
      <c r="H328" t="str">
        <f>"COMFORT SUITES"</f>
        <v>COMFORT SUITES</v>
      </c>
    </row>
    <row r="329" spans="1:8" x14ac:dyDescent="0.25">
      <c r="E329" t="str">
        <f>""</f>
        <v/>
      </c>
      <c r="F329" t="str">
        <f>""</f>
        <v/>
      </c>
      <c r="H329" t="str">
        <f>"BANNERS ON THE CHEAP"</f>
        <v>BANNERS ON THE CHEAP</v>
      </c>
    </row>
    <row r="330" spans="1:8" x14ac:dyDescent="0.25">
      <c r="E330" t="str">
        <f>""</f>
        <v/>
      </c>
      <c r="F330" t="str">
        <f>""</f>
        <v/>
      </c>
      <c r="H330" t="str">
        <f>"ACADEMY"</f>
        <v>ACADEMY</v>
      </c>
    </row>
    <row r="331" spans="1:8" x14ac:dyDescent="0.25">
      <c r="E331" t="str">
        <f>""</f>
        <v/>
      </c>
      <c r="F331" t="str">
        <f>""</f>
        <v/>
      </c>
      <c r="H331" t="str">
        <f>"PARIS HOTEL"</f>
        <v>PARIS HOTEL</v>
      </c>
    </row>
    <row r="332" spans="1:8" x14ac:dyDescent="0.25">
      <c r="E332" t="str">
        <f>""</f>
        <v/>
      </c>
      <c r="F332" t="str">
        <f>""</f>
        <v/>
      </c>
      <c r="H332" t="str">
        <f>"GAYLORD TEXAN"</f>
        <v>GAYLORD TEXAN</v>
      </c>
    </row>
    <row r="333" spans="1:8" x14ac:dyDescent="0.25">
      <c r="A333" t="s">
        <v>103</v>
      </c>
      <c r="B333">
        <v>80286</v>
      </c>
      <c r="C333" s="2">
        <v>2105.56</v>
      </c>
      <c r="D333" s="1">
        <v>43462</v>
      </c>
      <c r="E333" t="str">
        <f>"201812286043"</f>
        <v>201812286043</v>
      </c>
      <c r="F333" t="str">
        <f>"ACCT#8000081165-5 / 12192018"</f>
        <v>ACCT#8000081165-5 / 12192018</v>
      </c>
      <c r="G333" s="3">
        <v>2105.56</v>
      </c>
      <c r="H333" t="str">
        <f>"ACCT#8000081165-5 / 12192018"</f>
        <v>ACCT#8000081165-5 / 12192018</v>
      </c>
    </row>
    <row r="334" spans="1:8" x14ac:dyDescent="0.25">
      <c r="E334" t="str">
        <f>""</f>
        <v/>
      </c>
      <c r="F334" t="str">
        <f>""</f>
        <v/>
      </c>
      <c r="H334" t="str">
        <f>"ACCT#8000081165-5 / 12192018"</f>
        <v>ACCT#8000081165-5 / 12192018</v>
      </c>
    </row>
    <row r="335" spans="1:8" x14ac:dyDescent="0.25">
      <c r="A335" t="s">
        <v>104</v>
      </c>
      <c r="B335">
        <v>79917</v>
      </c>
      <c r="C335" s="2">
        <v>5621.7</v>
      </c>
      <c r="D335" s="1">
        <v>43444</v>
      </c>
      <c r="E335" t="str">
        <f>"30129182"</f>
        <v>30129182</v>
      </c>
      <c r="F335" t="str">
        <f>"CUST#BASPCT2/ORD#37-18894/P2"</f>
        <v>CUST#BASPCT2/ORD#37-18894/P2</v>
      </c>
      <c r="G335" s="3">
        <v>2811.9</v>
      </c>
      <c r="H335" t="str">
        <f>"CUST#BASPCT2/ORD#37-18894/P2"</f>
        <v>CUST#BASPCT2/ORD#37-18894/P2</v>
      </c>
    </row>
    <row r="336" spans="1:8" x14ac:dyDescent="0.25">
      <c r="E336" t="str">
        <f>"30129204"</f>
        <v>30129204</v>
      </c>
      <c r="F336" t="str">
        <f>"CUST#BASPCT2/ORD#37-18894/P2"</f>
        <v>CUST#BASPCT2/ORD#37-18894/P2</v>
      </c>
      <c r="G336" s="3">
        <v>2809.8</v>
      </c>
      <c r="H336" t="str">
        <f>"CUST#BASPCT2/ORD#37-18894/P2"</f>
        <v>CUST#BASPCT2/ORD#37-18894/P2</v>
      </c>
    </row>
    <row r="337" spans="1:8" x14ac:dyDescent="0.25">
      <c r="A337" t="s">
        <v>105</v>
      </c>
      <c r="B337">
        <v>174</v>
      </c>
      <c r="C337" s="2">
        <v>110</v>
      </c>
      <c r="D337" s="1">
        <v>43445</v>
      </c>
      <c r="E337" t="str">
        <f>"0000050754"</f>
        <v>0000050754</v>
      </c>
      <c r="F337" t="str">
        <f>"DIAGNOSTICS/SERVICE CALL"</f>
        <v>DIAGNOSTICS/SERVICE CALL</v>
      </c>
      <c r="G337" s="3">
        <v>110</v>
      </c>
      <c r="H337" t="str">
        <f>"DIAGNOSTICS/SERVICE CALL"</f>
        <v>DIAGNOSTICS/SERVICE CALL</v>
      </c>
    </row>
    <row r="338" spans="1:8" x14ac:dyDescent="0.25">
      <c r="A338" t="s">
        <v>106</v>
      </c>
      <c r="B338">
        <v>79918</v>
      </c>
      <c r="C338" s="2">
        <v>195</v>
      </c>
      <c r="D338" s="1">
        <v>43444</v>
      </c>
      <c r="E338" t="str">
        <f>"BC2#017"</f>
        <v>BC2#017</v>
      </c>
      <c r="F338" t="str">
        <f>"RENTAL DATES NOV28-DEC28"</f>
        <v>RENTAL DATES NOV28-DEC28</v>
      </c>
      <c r="G338" s="3">
        <v>195</v>
      </c>
      <c r="H338" t="str">
        <f>"RENTAL DATES NOV28-DEC28"</f>
        <v>RENTAL DATES NOV28-DEC28</v>
      </c>
    </row>
    <row r="339" spans="1:8" x14ac:dyDescent="0.25">
      <c r="A339" t="s">
        <v>107</v>
      </c>
      <c r="B339">
        <v>80096</v>
      </c>
      <c r="C339" s="2">
        <v>635.4</v>
      </c>
      <c r="D339" s="1">
        <v>43454</v>
      </c>
      <c r="E339" t="str">
        <f>"67515"</f>
        <v>67515</v>
      </c>
      <c r="F339" t="str">
        <f>"ANNUAL INTERNET / P3"</f>
        <v>ANNUAL INTERNET / P3</v>
      </c>
      <c r="G339" s="3">
        <v>635.4</v>
      </c>
      <c r="H339" t="str">
        <f>"ANNUAL INTERNET / P3"</f>
        <v>ANNUAL INTERNET / P3</v>
      </c>
    </row>
    <row r="340" spans="1:8" x14ac:dyDescent="0.25">
      <c r="A340" t="s">
        <v>108</v>
      </c>
      <c r="B340">
        <v>79919</v>
      </c>
      <c r="C340" s="2">
        <v>254.5</v>
      </c>
      <c r="D340" s="1">
        <v>43444</v>
      </c>
      <c r="E340" t="str">
        <f>"201812045556"</f>
        <v>201812045556</v>
      </c>
      <c r="F340" t="str">
        <f>"18-19321"</f>
        <v>18-19321</v>
      </c>
      <c r="G340" s="3">
        <v>254.5</v>
      </c>
      <c r="H340" t="str">
        <f>"18-19321"</f>
        <v>18-19321</v>
      </c>
    </row>
    <row r="341" spans="1:8" x14ac:dyDescent="0.25">
      <c r="A341" t="s">
        <v>108</v>
      </c>
      <c r="B341">
        <v>80131</v>
      </c>
      <c r="C341" s="2">
        <v>700</v>
      </c>
      <c r="D341" s="1">
        <v>43461</v>
      </c>
      <c r="E341" t="str">
        <f>"201812135796"</f>
        <v>201812135796</v>
      </c>
      <c r="F341" t="str">
        <f>"18-18997"</f>
        <v>18-18997</v>
      </c>
      <c r="G341" s="3">
        <v>100</v>
      </c>
      <c r="H341" t="str">
        <f>"18-18997"</f>
        <v>18-18997</v>
      </c>
    </row>
    <row r="342" spans="1:8" x14ac:dyDescent="0.25">
      <c r="E342" t="str">
        <f>"201812135797"</f>
        <v>201812135797</v>
      </c>
      <c r="F342" t="str">
        <f>"18-18885"</f>
        <v>18-18885</v>
      </c>
      <c r="G342" s="3">
        <v>100</v>
      </c>
      <c r="H342" t="str">
        <f>"18-18885"</f>
        <v>18-18885</v>
      </c>
    </row>
    <row r="343" spans="1:8" x14ac:dyDescent="0.25">
      <c r="E343" t="str">
        <f>"201812195921"</f>
        <v>201812195921</v>
      </c>
      <c r="F343" t="str">
        <f>"02-1029-3 / 111518-121218"</f>
        <v>02-1029-3 / 111518-121218</v>
      </c>
      <c r="G343" s="3">
        <v>250</v>
      </c>
      <c r="H343" t="str">
        <f>"02-1029-3 / 111518-121218"</f>
        <v>02-1029-3 / 111518-121218</v>
      </c>
    </row>
    <row r="344" spans="1:8" x14ac:dyDescent="0.25">
      <c r="E344" t="str">
        <f>"201812195922"</f>
        <v>201812195922</v>
      </c>
      <c r="F344" t="str">
        <f>"56 195 / 092718-121318"</f>
        <v>56 195 / 092718-121318</v>
      </c>
      <c r="G344" s="3">
        <v>250</v>
      </c>
      <c r="H344" t="str">
        <f>"56 195 / 092718-121318"</f>
        <v>56 195 / 092718-121318</v>
      </c>
    </row>
    <row r="345" spans="1:8" x14ac:dyDescent="0.25">
      <c r="A345" t="s">
        <v>109</v>
      </c>
      <c r="B345">
        <v>261</v>
      </c>
      <c r="C345" s="2">
        <v>365.57</v>
      </c>
      <c r="D345" s="1">
        <v>43462</v>
      </c>
      <c r="E345" t="str">
        <f>"0178571-IN"</f>
        <v>0178571-IN</v>
      </c>
      <c r="F345" t="str">
        <f>"INV 0178571-IN"</f>
        <v>INV 0178571-IN</v>
      </c>
      <c r="G345" s="3">
        <v>207.62</v>
      </c>
      <c r="H345" t="str">
        <f>"INV 0178571-IN"</f>
        <v>INV 0178571-IN</v>
      </c>
    </row>
    <row r="346" spans="1:8" x14ac:dyDescent="0.25">
      <c r="E346" t="str">
        <f>"0178610-IN"</f>
        <v>0178610-IN</v>
      </c>
      <c r="F346" t="str">
        <f>"INV 0178610-IN"</f>
        <v>INV 0178610-IN</v>
      </c>
      <c r="G346" s="3">
        <v>157.94999999999999</v>
      </c>
      <c r="H346" t="str">
        <f>"INV 0178610-IN"</f>
        <v>INV 0178610-IN</v>
      </c>
    </row>
    <row r="347" spans="1:8" x14ac:dyDescent="0.25">
      <c r="A347" t="s">
        <v>110</v>
      </c>
      <c r="B347">
        <v>79920</v>
      </c>
      <c r="C347" s="2">
        <v>170</v>
      </c>
      <c r="D347" s="1">
        <v>43444</v>
      </c>
      <c r="E347" t="str">
        <f>"201812035479"</f>
        <v>201812035479</v>
      </c>
      <c r="F347" t="str">
        <f>"FERAL HOGS"</f>
        <v>FERAL HOGS</v>
      </c>
      <c r="G347" s="3">
        <v>170</v>
      </c>
      <c r="H347" t="str">
        <f>"FERAL HOGS"</f>
        <v>FERAL HOGS</v>
      </c>
    </row>
    <row r="348" spans="1:8" x14ac:dyDescent="0.25">
      <c r="A348" t="s">
        <v>111</v>
      </c>
      <c r="B348">
        <v>209</v>
      </c>
      <c r="C348" s="2">
        <v>1625</v>
      </c>
      <c r="D348" s="1">
        <v>43445</v>
      </c>
      <c r="E348" t="str">
        <f>"201811275288"</f>
        <v>201811275288</v>
      </c>
      <c r="F348" t="str">
        <f>"BC20180404C"</f>
        <v>BC20180404C</v>
      </c>
      <c r="G348" s="3">
        <v>400</v>
      </c>
      <c r="H348" t="str">
        <f>"BC20180404C"</f>
        <v>BC20180404C</v>
      </c>
    </row>
    <row r="349" spans="1:8" x14ac:dyDescent="0.25">
      <c r="E349" t="str">
        <f>"201811305425"</f>
        <v>201811305425</v>
      </c>
      <c r="F349" t="str">
        <f>"18-19367"</f>
        <v>18-19367</v>
      </c>
      <c r="G349" s="3">
        <v>100</v>
      </c>
      <c r="H349" t="str">
        <f>"18-19367"</f>
        <v>18-19367</v>
      </c>
    </row>
    <row r="350" spans="1:8" x14ac:dyDescent="0.25">
      <c r="E350" t="str">
        <f>"201811305426"</f>
        <v>201811305426</v>
      </c>
      <c r="F350" t="str">
        <f>"17-18646"</f>
        <v>17-18646</v>
      </c>
      <c r="G350" s="3">
        <v>100</v>
      </c>
      <c r="H350" t="str">
        <f>"17-18646"</f>
        <v>17-18646</v>
      </c>
    </row>
    <row r="351" spans="1:8" x14ac:dyDescent="0.25">
      <c r="E351" t="str">
        <f>"201811305427"</f>
        <v>201811305427</v>
      </c>
      <c r="F351" t="str">
        <f>"18-19039"</f>
        <v>18-19039</v>
      </c>
      <c r="G351" s="3">
        <v>100</v>
      </c>
      <c r="H351" t="str">
        <f>"18-19039"</f>
        <v>18-19039</v>
      </c>
    </row>
    <row r="352" spans="1:8" x14ac:dyDescent="0.25">
      <c r="E352" t="str">
        <f>"201811305428"</f>
        <v>201811305428</v>
      </c>
      <c r="F352" t="str">
        <f>"18-19054"</f>
        <v>18-19054</v>
      </c>
      <c r="G352" s="3">
        <v>100</v>
      </c>
      <c r="H352" t="str">
        <f>"18-19054"</f>
        <v>18-19054</v>
      </c>
    </row>
    <row r="353" spans="1:8" x14ac:dyDescent="0.25">
      <c r="E353" t="str">
        <f>"201811305429"</f>
        <v>201811305429</v>
      </c>
      <c r="F353" t="str">
        <f>"18-18824"</f>
        <v>18-18824</v>
      </c>
      <c r="G353" s="3">
        <v>100</v>
      </c>
      <c r="H353" t="str">
        <f>"18-18824"</f>
        <v>18-18824</v>
      </c>
    </row>
    <row r="354" spans="1:8" x14ac:dyDescent="0.25">
      <c r="E354" t="str">
        <f>"201811305430"</f>
        <v>201811305430</v>
      </c>
      <c r="F354" t="str">
        <f>"18-19368"</f>
        <v>18-19368</v>
      </c>
      <c r="G354" s="3">
        <v>100</v>
      </c>
      <c r="H354" t="str">
        <f>"18-19368"</f>
        <v>18-19368</v>
      </c>
    </row>
    <row r="355" spans="1:8" x14ac:dyDescent="0.25">
      <c r="E355" t="str">
        <f>"201812045546"</f>
        <v>201812045546</v>
      </c>
      <c r="F355" t="str">
        <f>"56 223"</f>
        <v>56 223</v>
      </c>
      <c r="G355" s="3">
        <v>250</v>
      </c>
      <c r="H355" t="str">
        <f>"56 223"</f>
        <v>56 223</v>
      </c>
    </row>
    <row r="356" spans="1:8" x14ac:dyDescent="0.25">
      <c r="E356" t="str">
        <f>"201812045547"</f>
        <v>201812045547</v>
      </c>
      <c r="F356" t="str">
        <f>"56 311  56 312"</f>
        <v>56 311  56 312</v>
      </c>
      <c r="G356" s="3">
        <v>375</v>
      </c>
      <c r="H356" t="str">
        <f>"56 311  56 312"</f>
        <v>56 311  56 312</v>
      </c>
    </row>
    <row r="357" spans="1:8" x14ac:dyDescent="0.25">
      <c r="A357" t="s">
        <v>111</v>
      </c>
      <c r="B357">
        <v>274</v>
      </c>
      <c r="C357" s="2">
        <v>2950</v>
      </c>
      <c r="D357" s="1">
        <v>43462</v>
      </c>
      <c r="E357" t="str">
        <f>"201812115696"</f>
        <v>201812115696</v>
      </c>
      <c r="F357" t="str">
        <f>"55 528 55 029 56 528"</f>
        <v>55 528 55 029 56 528</v>
      </c>
      <c r="G357" s="3">
        <v>500</v>
      </c>
      <c r="H357" t="str">
        <f>"55 528 55 029 56 528"</f>
        <v>55 528 55 029 56 528</v>
      </c>
    </row>
    <row r="358" spans="1:8" x14ac:dyDescent="0.25">
      <c r="E358" t="str">
        <f>"201812125708"</f>
        <v>201812125708</v>
      </c>
      <c r="F358" t="str">
        <f>"14 551"</f>
        <v>14 551</v>
      </c>
      <c r="G358" s="3">
        <v>400</v>
      </c>
      <c r="H358" t="str">
        <f>"14 551"</f>
        <v>14 551</v>
      </c>
    </row>
    <row r="359" spans="1:8" x14ac:dyDescent="0.25">
      <c r="E359" t="str">
        <f>"201812125709"</f>
        <v>201812125709</v>
      </c>
      <c r="F359" t="str">
        <f>"16 470  16 158"</f>
        <v>16 470  16 158</v>
      </c>
      <c r="G359" s="3">
        <v>600</v>
      </c>
      <c r="H359" t="str">
        <f>"16 470  16 158"</f>
        <v>16 470  16 158</v>
      </c>
    </row>
    <row r="360" spans="1:8" x14ac:dyDescent="0.25">
      <c r="E360" t="str">
        <f>"201812125710"</f>
        <v>201812125710</v>
      </c>
      <c r="F360" t="str">
        <f>"423-6194  1005-335"</f>
        <v>423-6194  1005-335</v>
      </c>
      <c r="G360" s="3">
        <v>200</v>
      </c>
      <c r="H360" t="str">
        <f>"423-6194  1005-335"</f>
        <v>423-6194  1005-335</v>
      </c>
    </row>
    <row r="361" spans="1:8" x14ac:dyDescent="0.25">
      <c r="E361" t="str">
        <f>"201812135792"</f>
        <v>201812135792</v>
      </c>
      <c r="F361" t="str">
        <f>"18-18854"</f>
        <v>18-18854</v>
      </c>
      <c r="G361" s="3">
        <v>100</v>
      </c>
      <c r="H361" t="str">
        <f>"18-18854"</f>
        <v>18-18854</v>
      </c>
    </row>
    <row r="362" spans="1:8" x14ac:dyDescent="0.25">
      <c r="E362" t="str">
        <f>"201812135793"</f>
        <v>201812135793</v>
      </c>
      <c r="F362" t="str">
        <f>"18-19365"</f>
        <v>18-19365</v>
      </c>
      <c r="G362" s="3">
        <v>100</v>
      </c>
      <c r="H362" t="str">
        <f>"18-19365"</f>
        <v>18-19365</v>
      </c>
    </row>
    <row r="363" spans="1:8" x14ac:dyDescent="0.25">
      <c r="E363" t="str">
        <f>"201812135794"</f>
        <v>201812135794</v>
      </c>
      <c r="F363" t="str">
        <f>"17-18672"</f>
        <v>17-18672</v>
      </c>
      <c r="G363" s="3">
        <v>100</v>
      </c>
      <c r="H363" t="str">
        <f>"17-18672"</f>
        <v>17-18672</v>
      </c>
    </row>
    <row r="364" spans="1:8" x14ac:dyDescent="0.25">
      <c r="E364" t="str">
        <f>"201812145834"</f>
        <v>201812145834</v>
      </c>
      <c r="F364" t="str">
        <f>"16 616"</f>
        <v>16 616</v>
      </c>
      <c r="G364" s="3">
        <v>400</v>
      </c>
      <c r="H364" t="str">
        <f>"16 616"</f>
        <v>16 616</v>
      </c>
    </row>
    <row r="365" spans="1:8" x14ac:dyDescent="0.25">
      <c r="E365" t="str">
        <f>"201812145835"</f>
        <v>201812145835</v>
      </c>
      <c r="F365" t="str">
        <f>"994-21/423-6168"</f>
        <v>994-21/423-6168</v>
      </c>
      <c r="G365" s="3">
        <v>200</v>
      </c>
      <c r="H365" t="str">
        <f>"994-21/423-6168"</f>
        <v>994-21/423-6168</v>
      </c>
    </row>
    <row r="366" spans="1:8" x14ac:dyDescent="0.25">
      <c r="E366" t="str">
        <f>"201812185882"</f>
        <v>201812185882</v>
      </c>
      <c r="F366" t="str">
        <f>"18-19130"</f>
        <v>18-19130</v>
      </c>
      <c r="G366" s="3">
        <v>100</v>
      </c>
      <c r="H366" t="str">
        <f>"18-19130"</f>
        <v>18-19130</v>
      </c>
    </row>
    <row r="367" spans="1:8" x14ac:dyDescent="0.25">
      <c r="E367" t="str">
        <f>"201812185896"</f>
        <v>201812185896</v>
      </c>
      <c r="F367" t="str">
        <f>"J-3120"</f>
        <v>J-3120</v>
      </c>
      <c r="G367" s="3">
        <v>250</v>
      </c>
      <c r="H367" t="str">
        <f>"J-3120"</f>
        <v>J-3120</v>
      </c>
    </row>
    <row r="368" spans="1:8" x14ac:dyDescent="0.25">
      <c r="A368" t="s">
        <v>112</v>
      </c>
      <c r="B368">
        <v>79921</v>
      </c>
      <c r="C368" s="2">
        <v>55.03</v>
      </c>
      <c r="D368" s="1">
        <v>43444</v>
      </c>
      <c r="E368" t="str">
        <f>"5012315205"</f>
        <v>5012315205</v>
      </c>
      <c r="F368" t="str">
        <f>"CUST#0011167190/PCT#1"</f>
        <v>CUST#0011167190/PCT#1</v>
      </c>
      <c r="G368" s="3">
        <v>55.03</v>
      </c>
      <c r="H368" t="str">
        <f>"CUST#0011167190/PCT#1"</f>
        <v>CUST#0011167190/PCT#1</v>
      </c>
    </row>
    <row r="369" spans="1:8" x14ac:dyDescent="0.25">
      <c r="A369" t="s">
        <v>112</v>
      </c>
      <c r="B369">
        <v>80132</v>
      </c>
      <c r="C369" s="2">
        <v>82.31</v>
      </c>
      <c r="D369" s="1">
        <v>43461</v>
      </c>
      <c r="E369" t="str">
        <f>"5012522847"</f>
        <v>5012522847</v>
      </c>
      <c r="F369" t="str">
        <f>"CUST#0011167190 / PCT #1"</f>
        <v>CUST#0011167190 / PCT #1</v>
      </c>
      <c r="G369" s="3">
        <v>82.31</v>
      </c>
      <c r="H369" t="str">
        <f>"CUST#0011167190 / PCT #1"</f>
        <v>CUST#0011167190 / PCT #1</v>
      </c>
    </row>
    <row r="370" spans="1:8" x14ac:dyDescent="0.25">
      <c r="A370" t="s">
        <v>113</v>
      </c>
      <c r="B370">
        <v>79922</v>
      </c>
      <c r="C370" s="2">
        <v>53.95</v>
      </c>
      <c r="D370" s="1">
        <v>43444</v>
      </c>
      <c r="E370" t="str">
        <f>"8403913868"</f>
        <v>8403913868</v>
      </c>
      <c r="F370" t="str">
        <f>"CUST#10377368/PCT#2"</f>
        <v>CUST#10377368/PCT#2</v>
      </c>
      <c r="G370" s="3">
        <v>53.95</v>
      </c>
      <c r="H370" t="str">
        <f>"CUST#10377368/PCT#2"</f>
        <v>CUST#10377368/PCT#2</v>
      </c>
    </row>
    <row r="371" spans="1:8" x14ac:dyDescent="0.25">
      <c r="A371" t="s">
        <v>114</v>
      </c>
      <c r="B371">
        <v>80133</v>
      </c>
      <c r="C371" s="2">
        <v>5981.45</v>
      </c>
      <c r="D371" s="1">
        <v>43461</v>
      </c>
      <c r="E371" t="str">
        <f>"201812125773"</f>
        <v>201812125773</v>
      </c>
      <c r="F371" t="str">
        <f>"PAYER#13242108/SIGN SHOP"</f>
        <v>PAYER#13242108/SIGN SHOP</v>
      </c>
      <c r="G371" s="3">
        <v>48.68</v>
      </c>
      <c r="H371" t="str">
        <f>"PAYER#13242108/ANIMAL SHELTER"</f>
        <v>PAYER#13242108/ANIMAL SHELTER</v>
      </c>
    </row>
    <row r="372" spans="1:8" x14ac:dyDescent="0.25">
      <c r="E372" t="str">
        <f>"201812125774"</f>
        <v>201812125774</v>
      </c>
      <c r="F372" t="str">
        <f>"PAYER#13242108/ANIMAL SHELTER"</f>
        <v>PAYER#13242108/ANIMAL SHELTER</v>
      </c>
      <c r="G372" s="3">
        <v>163.30000000000001</v>
      </c>
      <c r="H372" t="str">
        <f>"PAYER#13242108/ANIMAL SHELTER"</f>
        <v>PAYER#13242108/ANIMAL SHELTER</v>
      </c>
    </row>
    <row r="373" spans="1:8" x14ac:dyDescent="0.25">
      <c r="E373" t="str">
        <f>"201812125775"</f>
        <v>201812125775</v>
      </c>
      <c r="F373" t="str">
        <f>"PAYER#13242108/GEN SVCS"</f>
        <v>PAYER#13242108/GEN SVCS</v>
      </c>
      <c r="G373" s="3">
        <v>821.25</v>
      </c>
      <c r="H373" t="str">
        <f>"PAYER#13242108/GEN SVCS"</f>
        <v>PAYER#13242108/GEN SVCS</v>
      </c>
    </row>
    <row r="374" spans="1:8" x14ac:dyDescent="0.25">
      <c r="E374" t="str">
        <f>"201812125776"</f>
        <v>201812125776</v>
      </c>
      <c r="F374" t="str">
        <f>"PAYER#13242108/PCT#1"</f>
        <v>PAYER#13242108/PCT#1</v>
      </c>
      <c r="G374" s="3">
        <v>631</v>
      </c>
      <c r="H374" t="str">
        <f>"PAYER#13242108/PCT#1"</f>
        <v>PAYER#13242108/PCT#1</v>
      </c>
    </row>
    <row r="375" spans="1:8" x14ac:dyDescent="0.25">
      <c r="E375" t="str">
        <f>"201812125777"</f>
        <v>201812125777</v>
      </c>
      <c r="F375" t="str">
        <f>"PAYER#13242108/PCT#2"</f>
        <v>PAYER#13242108/PCT#2</v>
      </c>
      <c r="G375" s="3">
        <v>2376.2600000000002</v>
      </c>
      <c r="H375" t="str">
        <f>"PAYER#13242108/PCT#2"</f>
        <v>PAYER#13242108/PCT#2</v>
      </c>
    </row>
    <row r="376" spans="1:8" x14ac:dyDescent="0.25">
      <c r="E376" t="str">
        <f>"201812125778"</f>
        <v>201812125778</v>
      </c>
      <c r="F376" t="str">
        <f>"PAYER#13242108/PCT#4"</f>
        <v>PAYER#13242108/PCT#4</v>
      </c>
      <c r="G376" s="3">
        <v>1318.19</v>
      </c>
      <c r="H376" t="str">
        <f>"PAYER#13242108/PCT#4"</f>
        <v>PAYER#13242108/PCT#4</v>
      </c>
    </row>
    <row r="377" spans="1:8" x14ac:dyDescent="0.25">
      <c r="E377" t="str">
        <f>"201812135788"</f>
        <v>201812135788</v>
      </c>
      <c r="F377" t="str">
        <f>"PAYER#13242108/SIGN SHOP"</f>
        <v>PAYER#13242108/SIGN SHOP</v>
      </c>
      <c r="G377" s="3">
        <v>12.17</v>
      </c>
      <c r="H377" t="str">
        <f>"PAYER#13242108/SIGN SHOP"</f>
        <v>PAYER#13242108/SIGN SHOP</v>
      </c>
    </row>
    <row r="378" spans="1:8" x14ac:dyDescent="0.25">
      <c r="E378" t="str">
        <f>"201812135789"</f>
        <v>201812135789</v>
      </c>
      <c r="F378" t="str">
        <f>"PAYER#13242108/PCT#1"</f>
        <v>PAYER#13242108/PCT#1</v>
      </c>
      <c r="G378" s="3">
        <v>135.88</v>
      </c>
      <c r="H378" t="str">
        <f>"PAYER#13242108/PCT#1"</f>
        <v>PAYER#13242108/PCT#1</v>
      </c>
    </row>
    <row r="379" spans="1:8" x14ac:dyDescent="0.25">
      <c r="E379" t="str">
        <f>"201812135790"</f>
        <v>201812135790</v>
      </c>
      <c r="F379" t="str">
        <f>"PAYER#13242108/PCT#2"</f>
        <v>PAYER#13242108/PCT#2</v>
      </c>
      <c r="G379" s="3">
        <v>170.65</v>
      </c>
      <c r="H379" t="str">
        <f>"PAYER#13242108/PCT#2"</f>
        <v>PAYER#13242108/PCT#2</v>
      </c>
    </row>
    <row r="380" spans="1:8" x14ac:dyDescent="0.25">
      <c r="E380" t="str">
        <f>"201812135791"</f>
        <v>201812135791</v>
      </c>
      <c r="F380" t="str">
        <f>"PAYER#13242108/PCT#4"</f>
        <v>PAYER#13242108/PCT#4</v>
      </c>
      <c r="G380" s="3">
        <v>304.07</v>
      </c>
      <c r="H380" t="str">
        <f>"PAYER#13242108/PCT#4"</f>
        <v>PAYER#13242108/PCT#4</v>
      </c>
    </row>
    <row r="381" spans="1:8" x14ac:dyDescent="0.25">
      <c r="A381" t="s">
        <v>115</v>
      </c>
      <c r="B381">
        <v>79882</v>
      </c>
      <c r="C381" s="2">
        <v>37342.6</v>
      </c>
      <c r="D381" s="1">
        <v>43441</v>
      </c>
      <c r="E381" t="str">
        <f>"201812075601"</f>
        <v>201812075601</v>
      </c>
      <c r="F381" t="str">
        <f>"ACCT#02-2083-04 / 11292018"</f>
        <v>ACCT#02-2083-04 / 11292018</v>
      </c>
      <c r="G381" s="3">
        <v>728.67</v>
      </c>
      <c r="H381" t="str">
        <f>"ACCT#02-2083-04 / 11292018"</f>
        <v>ACCT#02-2083-04 / 11292018</v>
      </c>
    </row>
    <row r="382" spans="1:8" x14ac:dyDescent="0.25">
      <c r="E382" t="str">
        <f>"201812075602"</f>
        <v>201812075602</v>
      </c>
      <c r="F382" t="str">
        <f>"BASTROP COUNTY COURTHOUSE"</f>
        <v>BASTROP COUNTY COURTHOUSE</v>
      </c>
      <c r="G382" s="3">
        <v>13505.38</v>
      </c>
      <c r="H382" t="str">
        <f>"BASTROP COUNTY COURTHOUSE"</f>
        <v>BASTROP COUNTY COURTHOUSE</v>
      </c>
    </row>
    <row r="383" spans="1:8" x14ac:dyDescent="0.25">
      <c r="E383" t="str">
        <f>"201812075603"</f>
        <v>201812075603</v>
      </c>
      <c r="F383" t="str">
        <f>"LAW ENFORCEMENT CENTER"</f>
        <v>LAW ENFORCEMENT CENTER</v>
      </c>
      <c r="G383" s="3">
        <v>21368.43</v>
      </c>
      <c r="H383" t="str">
        <f>"LAW ENFORCEMENT CENTER"</f>
        <v>LAW ENFORCEMENT CENTER</v>
      </c>
    </row>
    <row r="384" spans="1:8" x14ac:dyDescent="0.25">
      <c r="E384" t="str">
        <f>"201812075604"</f>
        <v>201812075604</v>
      </c>
      <c r="F384" t="str">
        <f>"COUNTY DEVELOPMENT CENTER"</f>
        <v>COUNTY DEVELOPMENT CENTER</v>
      </c>
      <c r="G384" s="3">
        <v>1740.12</v>
      </c>
      <c r="H384" t="str">
        <f>"COUNTY DEVELOPMENT CENTER"</f>
        <v>COUNTY DEVELOPMENT CENTER</v>
      </c>
    </row>
    <row r="385" spans="1:8" x14ac:dyDescent="0.25">
      <c r="A385" t="s">
        <v>115</v>
      </c>
      <c r="B385">
        <v>80134</v>
      </c>
      <c r="C385" s="2">
        <v>750</v>
      </c>
      <c r="D385" s="1">
        <v>43461</v>
      </c>
      <c r="E385" t="str">
        <f>"201812125726"</f>
        <v>201812125726</v>
      </c>
      <c r="F385" t="str">
        <f>"RENTAL-PARKING LOT"</f>
        <v>RENTAL-PARKING LOT</v>
      </c>
      <c r="G385" s="3">
        <v>750</v>
      </c>
      <c r="H385" t="str">
        <f>"RENTAL-PARKING LOT"</f>
        <v>RENTAL-PARKING LOT</v>
      </c>
    </row>
    <row r="386" spans="1:8" x14ac:dyDescent="0.25">
      <c r="A386" t="s">
        <v>116</v>
      </c>
      <c r="B386">
        <v>80287</v>
      </c>
      <c r="C386" s="2">
        <v>1427.66</v>
      </c>
      <c r="D386" s="1">
        <v>43462</v>
      </c>
      <c r="E386" t="str">
        <f>"201812286044"</f>
        <v>201812286044</v>
      </c>
      <c r="F386" t="str">
        <f>"ACCT#007-0000388-000/12202018"</f>
        <v>ACCT#007-0000388-000/12202018</v>
      </c>
      <c r="G386" s="3">
        <v>459.26</v>
      </c>
      <c r="H386" t="str">
        <f>"ACCT#007-0000388-000/12202018"</f>
        <v>ACCT#007-0000388-000/12202018</v>
      </c>
    </row>
    <row r="387" spans="1:8" x14ac:dyDescent="0.25">
      <c r="E387" t="str">
        <f>"201812286045"</f>
        <v>201812286045</v>
      </c>
      <c r="F387" t="str">
        <f>"ACCT#007-0000389-000/12202018"</f>
        <v>ACCT#007-0000389-000/12202018</v>
      </c>
      <c r="G387" s="3">
        <v>17.11</v>
      </c>
      <c r="H387" t="str">
        <f>"ACCT#007-0000389-000/12202018"</f>
        <v>ACCT#007-0000389-000/12202018</v>
      </c>
    </row>
    <row r="388" spans="1:8" x14ac:dyDescent="0.25">
      <c r="E388" t="str">
        <f>"201812286046"</f>
        <v>201812286046</v>
      </c>
      <c r="F388" t="str">
        <f>"ACCT#044-0001240-000/12202018"</f>
        <v>ACCT#044-0001240-000/12202018</v>
      </c>
      <c r="G388" s="3">
        <v>281.29000000000002</v>
      </c>
      <c r="H388" t="str">
        <f>"ACCT#044-0001240-000/12202018"</f>
        <v>ACCT#044-0001240-000/12202018</v>
      </c>
    </row>
    <row r="389" spans="1:8" x14ac:dyDescent="0.25">
      <c r="E389" t="str">
        <f>"201812286047"</f>
        <v>201812286047</v>
      </c>
      <c r="F389" t="str">
        <f>"ACCT#044-0001250-000/12202018"</f>
        <v>ACCT#044-0001250-000/12202018</v>
      </c>
      <c r="G389" s="3">
        <v>89.71</v>
      </c>
      <c r="H389" t="str">
        <f>"ACCT#044-0001250-000/12202018"</f>
        <v>ACCT#044-0001250-000/12202018</v>
      </c>
    </row>
    <row r="390" spans="1:8" x14ac:dyDescent="0.25">
      <c r="E390" t="str">
        <f>"201812286048"</f>
        <v>201812286048</v>
      </c>
      <c r="F390" t="str">
        <f>"ACCT#044-0001252-000/12202018"</f>
        <v>ACCT#044-0001252-000/12202018</v>
      </c>
      <c r="G390" s="3">
        <v>393.62</v>
      </c>
      <c r="H390" t="str">
        <f>"ACCT#044-0001252-000/12202018"</f>
        <v>ACCT#044-0001252-000/12202018</v>
      </c>
    </row>
    <row r="391" spans="1:8" x14ac:dyDescent="0.25">
      <c r="E391" t="str">
        <f>"201812286049"</f>
        <v>201812286049</v>
      </c>
      <c r="F391" t="str">
        <f>"ACCT#044-0001253-000/12202018"</f>
        <v>ACCT#044-0001253-000/12202018</v>
      </c>
      <c r="G391" s="3">
        <v>186.67</v>
      </c>
      <c r="H391" t="str">
        <f>"ACCT#044-0001253-000/12202018"</f>
        <v>ACCT#044-0001253-000/12202018</v>
      </c>
    </row>
    <row r="392" spans="1:8" x14ac:dyDescent="0.25">
      <c r="A392" t="s">
        <v>117</v>
      </c>
      <c r="B392">
        <v>79923</v>
      </c>
      <c r="C392" s="2">
        <v>175</v>
      </c>
      <c r="D392" s="1">
        <v>43444</v>
      </c>
      <c r="E392" t="str">
        <f>"201811305441"</f>
        <v>201811305441</v>
      </c>
      <c r="F392" t="str">
        <f>"FERAL HOGS"</f>
        <v>FERAL HOGS</v>
      </c>
      <c r="G392" s="3">
        <v>175</v>
      </c>
      <c r="H392" t="str">
        <f>"FERAL HOGS"</f>
        <v>FERAL HOGS</v>
      </c>
    </row>
    <row r="393" spans="1:8" x14ac:dyDescent="0.25">
      <c r="A393" t="s">
        <v>118</v>
      </c>
      <c r="B393">
        <v>80097</v>
      </c>
      <c r="C393" s="2">
        <v>12740</v>
      </c>
      <c r="D393" s="1">
        <v>43454</v>
      </c>
      <c r="E393" t="str">
        <f>"121918"</f>
        <v>121918</v>
      </c>
      <c r="F393" t="str">
        <f>"4900' FENCE / P3"</f>
        <v>4900' FENCE / P3</v>
      </c>
      <c r="G393" s="3">
        <v>12740</v>
      </c>
      <c r="H393" t="str">
        <f>"4900' FENCE / P3"</f>
        <v>4900' FENCE / P3</v>
      </c>
    </row>
    <row r="394" spans="1:8" x14ac:dyDescent="0.25">
      <c r="A394" t="s">
        <v>118</v>
      </c>
      <c r="B394">
        <v>80135</v>
      </c>
      <c r="C394" s="2">
        <v>1200</v>
      </c>
      <c r="D394" s="1">
        <v>43461</v>
      </c>
      <c r="E394" t="str">
        <f>"201812125761"</f>
        <v>201812125761</v>
      </c>
      <c r="F394" t="str">
        <f>"400' OF FENCE-ROBIN CMTRY/P2"</f>
        <v>400' OF FENCE-ROBIN CMTRY/P2</v>
      </c>
      <c r="G394" s="3">
        <v>1200</v>
      </c>
      <c r="H394" t="str">
        <f>"400' OF FENCE-ROBIN CMTRY/P2"</f>
        <v>400' OF FENCE-ROBIN CMTRY/P2</v>
      </c>
    </row>
    <row r="395" spans="1:8" x14ac:dyDescent="0.25">
      <c r="A395" t="s">
        <v>119</v>
      </c>
      <c r="B395">
        <v>79924</v>
      </c>
      <c r="C395" s="2">
        <v>25</v>
      </c>
      <c r="D395" s="1">
        <v>43444</v>
      </c>
      <c r="E395" t="str">
        <f>"201812035488"</f>
        <v>201812035488</v>
      </c>
      <c r="F395" t="str">
        <f>"REFUND DRIVEWAY PERMIT"</f>
        <v>REFUND DRIVEWAY PERMIT</v>
      </c>
      <c r="G395" s="3">
        <v>25</v>
      </c>
      <c r="H395" t="str">
        <f>"REFUND DRIVEWAY PERMIT"</f>
        <v>REFUND DRIVEWAY PERMIT</v>
      </c>
    </row>
    <row r="396" spans="1:8" x14ac:dyDescent="0.25">
      <c r="A396" t="s">
        <v>120</v>
      </c>
      <c r="B396">
        <v>168</v>
      </c>
      <c r="C396" s="2">
        <v>934.38</v>
      </c>
      <c r="D396" s="1">
        <v>43445</v>
      </c>
      <c r="E396" t="str">
        <f>"SVC-0078879"</f>
        <v>SVC-0078879</v>
      </c>
      <c r="F396" t="str">
        <f>"SERVICE CALL-DEAD BATTERY"</f>
        <v>SERVICE CALL-DEAD BATTERY</v>
      </c>
      <c r="G396" s="3">
        <v>481.48</v>
      </c>
      <c r="H396" t="str">
        <f>"SERVICE CALL-DEAD BATTERY"</f>
        <v>SERVICE CALL-DEAD BATTERY</v>
      </c>
    </row>
    <row r="397" spans="1:8" x14ac:dyDescent="0.25">
      <c r="E397" t="str">
        <f>"SVC-0078990"</f>
        <v>SVC-0078990</v>
      </c>
      <c r="F397" t="str">
        <f>"SERVICE CALL-LOW COOLANT LIGHT"</f>
        <v>SERVICE CALL-LOW COOLANT LIGHT</v>
      </c>
      <c r="G397" s="3">
        <v>452.9</v>
      </c>
      <c r="H397" t="str">
        <f>"SERVICE CALL-LOW COOLANT LIGHT"</f>
        <v>SERVICE CALL-LOW COOLANT LIGHT</v>
      </c>
    </row>
    <row r="398" spans="1:8" x14ac:dyDescent="0.25">
      <c r="A398" t="s">
        <v>120</v>
      </c>
      <c r="B398">
        <v>219</v>
      </c>
      <c r="C398" s="2">
        <v>749</v>
      </c>
      <c r="D398" s="1">
        <v>43462</v>
      </c>
      <c r="E398" t="str">
        <f>"PMA-0045361"</f>
        <v>PMA-0045361</v>
      </c>
      <c r="F398" t="str">
        <f>"INV PMA-0045361"</f>
        <v>INV PMA-0045361</v>
      </c>
      <c r="G398" s="3">
        <v>749</v>
      </c>
      <c r="H398" t="str">
        <f>"INV PMA-0045361"</f>
        <v>INV PMA-0045361</v>
      </c>
    </row>
    <row r="399" spans="1:8" x14ac:dyDescent="0.25">
      <c r="A399" t="s">
        <v>121</v>
      </c>
      <c r="B399">
        <v>246</v>
      </c>
      <c r="C399" s="2">
        <v>1162.75</v>
      </c>
      <c r="D399" s="1">
        <v>43462</v>
      </c>
      <c r="E399" t="str">
        <f>"201811-0"</f>
        <v>201811-0</v>
      </c>
      <c r="F399" t="str">
        <f>"INV 201811-0"</f>
        <v>INV 201811-0</v>
      </c>
      <c r="G399" s="3">
        <v>124.15</v>
      </c>
      <c r="H399" t="str">
        <f>"INV 201811-0"</f>
        <v>INV 201811-0</v>
      </c>
    </row>
    <row r="400" spans="1:8" x14ac:dyDescent="0.25">
      <c r="E400" t="str">
        <f>"201812195964"</f>
        <v>201812195964</v>
      </c>
      <c r="F400" t="str">
        <f>"INDIGENT HEALTH"</f>
        <v>INDIGENT HEALTH</v>
      </c>
      <c r="G400" s="3">
        <v>1038.5999999999999</v>
      </c>
      <c r="H400" t="str">
        <f>"INDIGENT HEALTH"</f>
        <v>INDIGENT HEALTH</v>
      </c>
    </row>
    <row r="401" spans="1:9" x14ac:dyDescent="0.25">
      <c r="E401" t="str">
        <f>""</f>
        <v/>
      </c>
      <c r="F401" t="str">
        <f>""</f>
        <v/>
      </c>
      <c r="H401" t="str">
        <f>"INDIGENT HEALTH"</f>
        <v>INDIGENT HEALTH</v>
      </c>
    </row>
    <row r="402" spans="1:9" x14ac:dyDescent="0.25">
      <c r="A402" t="s">
        <v>122</v>
      </c>
      <c r="B402">
        <v>80136</v>
      </c>
      <c r="C402" s="2">
        <v>89.01</v>
      </c>
      <c r="D402" s="1">
        <v>43461</v>
      </c>
      <c r="E402" t="str">
        <f>"201812195963"</f>
        <v>201812195963</v>
      </c>
      <c r="F402" t="str">
        <f>"INDIGENT HEALTH"</f>
        <v>INDIGENT HEALTH</v>
      </c>
      <c r="G402" s="3">
        <v>89.01</v>
      </c>
      <c r="H402" t="str">
        <f>"INDIGENT HEALTH"</f>
        <v>INDIGENT HEALTH</v>
      </c>
    </row>
    <row r="403" spans="1:9" x14ac:dyDescent="0.25">
      <c r="A403" t="s">
        <v>123</v>
      </c>
      <c r="B403">
        <v>80137</v>
      </c>
      <c r="C403" s="2">
        <v>882.5</v>
      </c>
      <c r="D403" s="1">
        <v>43461</v>
      </c>
      <c r="E403" t="str">
        <f>"221345-002"</f>
        <v>221345-002</v>
      </c>
      <c r="F403" t="str">
        <f>"INV 221345-002"</f>
        <v>INV 221345-002</v>
      </c>
      <c r="G403" s="3">
        <v>882.5</v>
      </c>
      <c r="H403" t="str">
        <f>"INV 221345-002"</f>
        <v>INV 221345-002</v>
      </c>
    </row>
    <row r="404" spans="1:9" x14ac:dyDescent="0.25">
      <c r="A404" t="s">
        <v>124</v>
      </c>
      <c r="B404">
        <v>170</v>
      </c>
      <c r="C404" s="2">
        <v>188</v>
      </c>
      <c r="D404" s="1">
        <v>43445</v>
      </c>
      <c r="E404" t="str">
        <f>"12457832495"</f>
        <v>12457832495</v>
      </c>
      <c r="F404" t="str">
        <f>"INV 12457832495"</f>
        <v>INV 12457832495</v>
      </c>
      <c r="G404" s="3">
        <v>188</v>
      </c>
      <c r="H404" t="str">
        <f>"INV 12457832495"</f>
        <v>INV 12457832495</v>
      </c>
    </row>
    <row r="405" spans="1:9" x14ac:dyDescent="0.25">
      <c r="A405" t="s">
        <v>125</v>
      </c>
      <c r="B405">
        <v>80138</v>
      </c>
      <c r="C405" s="2">
        <v>12.5</v>
      </c>
      <c r="D405" s="1">
        <v>43461</v>
      </c>
      <c r="E405" t="s">
        <v>126</v>
      </c>
      <c r="F405" t="s">
        <v>127</v>
      </c>
      <c r="G405" s="3" t="str">
        <f>"RESTITUTION-KATHY PURCELL"</f>
        <v>RESTITUTION-KATHY PURCELL</v>
      </c>
      <c r="H405" t="str">
        <f>"210-0000"</f>
        <v>210-0000</v>
      </c>
      <c r="I405" t="str">
        <f>""</f>
        <v/>
      </c>
    </row>
    <row r="406" spans="1:9" x14ac:dyDescent="0.25">
      <c r="A406" t="s">
        <v>128</v>
      </c>
      <c r="B406">
        <v>80139</v>
      </c>
      <c r="C406" s="2">
        <v>630</v>
      </c>
      <c r="D406" s="1">
        <v>43461</v>
      </c>
      <c r="E406" t="str">
        <f>"0234-741217"</f>
        <v>0234-741217</v>
      </c>
      <c r="F406" t="str">
        <f>"INV 0234-741217"</f>
        <v>INV 0234-741217</v>
      </c>
      <c r="G406" s="3">
        <v>630</v>
      </c>
      <c r="H406" t="str">
        <f>"INV 0234-741217"</f>
        <v>INV 0234-741217</v>
      </c>
    </row>
    <row r="407" spans="1:9" x14ac:dyDescent="0.25">
      <c r="A407" t="s">
        <v>129</v>
      </c>
      <c r="B407">
        <v>80140</v>
      </c>
      <c r="C407" s="2">
        <v>408.48</v>
      </c>
      <c r="D407" s="1">
        <v>43461</v>
      </c>
      <c r="E407" t="str">
        <f>"17700514"</f>
        <v>17700514</v>
      </c>
      <c r="F407" t="str">
        <f>"ACCT#434304/PCT#4"</f>
        <v>ACCT#434304/PCT#4</v>
      </c>
      <c r="G407" s="3">
        <v>408.48</v>
      </c>
      <c r="H407" t="str">
        <f>"ACCT#434304/PCT#4"</f>
        <v>ACCT#434304/PCT#4</v>
      </c>
    </row>
    <row r="408" spans="1:9" x14ac:dyDescent="0.25">
      <c r="A408" t="s">
        <v>130</v>
      </c>
      <c r="B408">
        <v>79925</v>
      </c>
      <c r="C408" s="2">
        <v>120</v>
      </c>
      <c r="D408" s="1">
        <v>43444</v>
      </c>
      <c r="E408" t="str">
        <f>"303"</f>
        <v>303</v>
      </c>
      <c r="F408" t="str">
        <f>"INV 303"</f>
        <v>INV 303</v>
      </c>
      <c r="G408" s="3">
        <v>120</v>
      </c>
      <c r="H408" t="str">
        <f>"INV 303"</f>
        <v>INV 303</v>
      </c>
    </row>
    <row r="409" spans="1:9" x14ac:dyDescent="0.25">
      <c r="A409" t="s">
        <v>131</v>
      </c>
      <c r="B409">
        <v>186</v>
      </c>
      <c r="C409" s="2">
        <v>1259.02</v>
      </c>
      <c r="D409" s="1">
        <v>43445</v>
      </c>
      <c r="E409" t="str">
        <f>"IN47795"</f>
        <v>IN47795</v>
      </c>
      <c r="F409" t="str">
        <f>"ACCT#353/PCT#1"</f>
        <v>ACCT#353/PCT#1</v>
      </c>
      <c r="G409" s="3">
        <v>244.26</v>
      </c>
      <c r="H409" t="str">
        <f>"ACCT#353/PCT#1"</f>
        <v>ACCT#353/PCT#1</v>
      </c>
    </row>
    <row r="410" spans="1:9" x14ac:dyDescent="0.25">
      <c r="E410" t="str">
        <f>"IN47927"</f>
        <v>IN47927</v>
      </c>
      <c r="F410" t="str">
        <f>"ACCT#353/PARTS/PCT#1"</f>
        <v>ACCT#353/PARTS/PCT#1</v>
      </c>
      <c r="G410" s="3">
        <v>1014.76</v>
      </c>
      <c r="H410" t="str">
        <f>"ACCT#353/PARTS/PCT#1"</f>
        <v>ACCT#353/PARTS/PCT#1</v>
      </c>
    </row>
    <row r="411" spans="1:9" x14ac:dyDescent="0.25">
      <c r="A411" t="s">
        <v>132</v>
      </c>
      <c r="B411">
        <v>79926</v>
      </c>
      <c r="C411" s="2">
        <v>5</v>
      </c>
      <c r="D411" s="1">
        <v>43444</v>
      </c>
      <c r="E411" t="str">
        <f>"201812035471"</f>
        <v>201812035471</v>
      </c>
      <c r="F411" t="str">
        <f>"FERAL HOGS"</f>
        <v>FERAL HOGS</v>
      </c>
      <c r="G411" s="3">
        <v>5</v>
      </c>
      <c r="H411" t="str">
        <f>"FERAL HOGS"</f>
        <v>FERAL HOGS</v>
      </c>
    </row>
    <row r="412" spans="1:9" x14ac:dyDescent="0.25">
      <c r="A412" t="s">
        <v>133</v>
      </c>
      <c r="B412">
        <v>80141</v>
      </c>
      <c r="C412" s="2">
        <v>540</v>
      </c>
      <c r="D412" s="1">
        <v>43461</v>
      </c>
      <c r="E412" t="str">
        <f>"377-378"</f>
        <v>377-378</v>
      </c>
      <c r="F412" t="str">
        <f>"TRAINING"</f>
        <v>TRAINING</v>
      </c>
      <c r="G412" s="3">
        <v>540</v>
      </c>
      <c r="H412" t="str">
        <f>"TRAINING- B. GOMEZ"</f>
        <v>TRAINING- B. GOMEZ</v>
      </c>
    </row>
    <row r="413" spans="1:9" x14ac:dyDescent="0.25">
      <c r="E413" t="str">
        <f>""</f>
        <v/>
      </c>
      <c r="F413" t="str">
        <f>""</f>
        <v/>
      </c>
      <c r="H413" t="str">
        <f>"TRAINING-V. HORSLEY"</f>
        <v>TRAINING-V. HORSLEY</v>
      </c>
    </row>
    <row r="414" spans="1:9" x14ac:dyDescent="0.25">
      <c r="A414" t="s">
        <v>134</v>
      </c>
      <c r="B414">
        <v>79927</v>
      </c>
      <c r="C414" s="2">
        <v>1000</v>
      </c>
      <c r="D414" s="1">
        <v>43444</v>
      </c>
      <c r="E414" t="str">
        <f>"201812065576"</f>
        <v>201812065576</v>
      </c>
      <c r="F414" t="str">
        <f>"NOVEMBER EVALS"</f>
        <v>NOVEMBER EVALS</v>
      </c>
      <c r="G414" s="3">
        <v>1000</v>
      </c>
      <c r="H414" t="str">
        <f>"NOVEMBER EVALS"</f>
        <v>NOVEMBER EVALS</v>
      </c>
    </row>
    <row r="415" spans="1:9" x14ac:dyDescent="0.25">
      <c r="A415" t="s">
        <v>134</v>
      </c>
      <c r="B415">
        <v>80142</v>
      </c>
      <c r="C415" s="2">
        <v>1250</v>
      </c>
      <c r="D415" s="1">
        <v>43461</v>
      </c>
      <c r="E415" t="str">
        <f>"201812195947"</f>
        <v>201812195947</v>
      </c>
      <c r="F415" t="str">
        <f>"DECEMBER EVALS"</f>
        <v>DECEMBER EVALS</v>
      </c>
      <c r="G415" s="3">
        <v>750</v>
      </c>
      <c r="H415" t="str">
        <f>"DECEMBER EVALS"</f>
        <v>DECEMBER EVALS</v>
      </c>
    </row>
    <row r="416" spans="1:9" x14ac:dyDescent="0.25">
      <c r="E416" t="str">
        <f>"DECEMBER 2018"</f>
        <v>DECEMBER 2018</v>
      </c>
      <c r="F416" t="str">
        <f>"PSYCHOLOGICAL EVALUATION"</f>
        <v>PSYCHOLOGICAL EVALUATION</v>
      </c>
      <c r="G416" s="3">
        <v>500</v>
      </c>
      <c r="H416" t="str">
        <f>"PSYCHOLOGICAL EVALUATION"</f>
        <v>PSYCHOLOGICAL EVALUATION</v>
      </c>
    </row>
    <row r="417" spans="1:8" x14ac:dyDescent="0.25">
      <c r="A417" t="s">
        <v>135</v>
      </c>
      <c r="B417">
        <v>80143</v>
      </c>
      <c r="C417" s="2">
        <v>55.89</v>
      </c>
      <c r="D417" s="1">
        <v>43461</v>
      </c>
      <c r="E417" t="str">
        <f>"27620"</f>
        <v>27620</v>
      </c>
      <c r="F417" t="str">
        <f>"ACCT#6795/AMMO"</f>
        <v>ACCT#6795/AMMO</v>
      </c>
      <c r="G417" s="3">
        <v>55.89</v>
      </c>
      <c r="H417" t="str">
        <f>"ACCT#6795/AMMO"</f>
        <v>ACCT#6795/AMMO</v>
      </c>
    </row>
    <row r="418" spans="1:8" x14ac:dyDescent="0.25">
      <c r="A418" t="s">
        <v>136</v>
      </c>
      <c r="B418">
        <v>79928</v>
      </c>
      <c r="C418" s="2">
        <v>427.17</v>
      </c>
      <c r="D418" s="1">
        <v>43444</v>
      </c>
      <c r="E418" t="str">
        <f>"161000127-1"</f>
        <v>161000127-1</v>
      </c>
      <c r="F418" t="str">
        <f>"CUST#1610000100/PCT#2"</f>
        <v>CUST#1610000100/PCT#2</v>
      </c>
      <c r="G418" s="3">
        <v>427.17</v>
      </c>
      <c r="H418" t="str">
        <f>"CUST#1610000100/PCT#2"</f>
        <v>CUST#1610000100/PCT#2</v>
      </c>
    </row>
    <row r="419" spans="1:8" x14ac:dyDescent="0.25">
      <c r="A419" t="s">
        <v>137</v>
      </c>
      <c r="B419">
        <v>79929</v>
      </c>
      <c r="C419" s="2">
        <v>150</v>
      </c>
      <c r="D419" s="1">
        <v>43444</v>
      </c>
      <c r="E419" t="str">
        <f>"201812035502"</f>
        <v>201812035502</v>
      </c>
      <c r="F419" t="str">
        <f>"CLEANING SVCS/NOV 2 &amp;16"</f>
        <v>CLEANING SVCS/NOV 2 &amp;16</v>
      </c>
      <c r="G419" s="3">
        <v>150</v>
      </c>
      <c r="H419" t="str">
        <f>"CLEANING SVCS/NOV 2 &amp;16"</f>
        <v>CLEANING SVCS/NOV 2 &amp;16</v>
      </c>
    </row>
    <row r="420" spans="1:8" x14ac:dyDescent="0.25">
      <c r="A420" t="s">
        <v>138</v>
      </c>
      <c r="B420">
        <v>79930</v>
      </c>
      <c r="C420" s="2">
        <v>1132.92</v>
      </c>
      <c r="D420" s="1">
        <v>43444</v>
      </c>
      <c r="E420" t="str">
        <f>"312877"</f>
        <v>312877</v>
      </c>
      <c r="F420" t="str">
        <f>"CUSTOM PRODUCTS CORPORATION"</f>
        <v>CUSTOM PRODUCTS CORPORATION</v>
      </c>
      <c r="G420" s="3">
        <v>1132.92</v>
      </c>
      <c r="H420" t="str">
        <f>"JTXS1272W819HA"</f>
        <v>JTXS1272W819HA</v>
      </c>
    </row>
    <row r="421" spans="1:8" x14ac:dyDescent="0.25">
      <c r="E421" t="str">
        <f>""</f>
        <v/>
      </c>
      <c r="F421" t="str">
        <f>""</f>
        <v/>
      </c>
      <c r="H421" t="str">
        <f>"S1206R7201APHA"</f>
        <v>S1206R7201APHA</v>
      </c>
    </row>
    <row r="422" spans="1:8" x14ac:dyDescent="0.25">
      <c r="E422" t="str">
        <f>""</f>
        <v/>
      </c>
      <c r="F422" t="str">
        <f>""</f>
        <v/>
      </c>
      <c r="H422" t="str">
        <f>"JTXS1812W819ATPHA"</f>
        <v>JTXS1812W819ATPHA</v>
      </c>
    </row>
    <row r="423" spans="1:8" x14ac:dyDescent="0.25">
      <c r="E423" t="str">
        <f>""</f>
        <v/>
      </c>
      <c r="F423" t="str">
        <f>""</f>
        <v/>
      </c>
      <c r="H423" t="str">
        <f>"SO80HYE1236R"</f>
        <v>SO80HYE1236R</v>
      </c>
    </row>
    <row r="424" spans="1:8" x14ac:dyDescent="0.25">
      <c r="E424" t="str">
        <f>""</f>
        <v/>
      </c>
      <c r="F424" t="str">
        <f>""</f>
        <v/>
      </c>
      <c r="H424" t="str">
        <f>"S080HYE1236R"</f>
        <v>S080HYE1236R</v>
      </c>
    </row>
    <row r="425" spans="1:8" x14ac:dyDescent="0.25">
      <c r="E425" t="str">
        <f>""</f>
        <v/>
      </c>
      <c r="F425" t="str">
        <f>""</f>
        <v/>
      </c>
      <c r="H425" t="str">
        <f>"FREIGHT"</f>
        <v>FREIGHT</v>
      </c>
    </row>
    <row r="426" spans="1:8" x14ac:dyDescent="0.25">
      <c r="A426" t="s">
        <v>138</v>
      </c>
      <c r="B426">
        <v>80144</v>
      </c>
      <c r="C426" s="2">
        <v>861.57</v>
      </c>
      <c r="D426" s="1">
        <v>43461</v>
      </c>
      <c r="E426" t="str">
        <f>"313596"</f>
        <v>313596</v>
      </c>
      <c r="F426" t="str">
        <f>"CUSTOM PRODUCTS CORPORATION"</f>
        <v>CUSTOM PRODUCTS CORPORATION</v>
      </c>
      <c r="G426" s="3">
        <v>861.57</v>
      </c>
      <c r="H426" t="str">
        <f>"NO PARKING SIGNS"</f>
        <v>NO PARKING SIGNS</v>
      </c>
    </row>
    <row r="427" spans="1:8" x14ac:dyDescent="0.25">
      <c r="E427" t="str">
        <f>""</f>
        <v/>
      </c>
      <c r="F427" t="str">
        <f>""</f>
        <v/>
      </c>
      <c r="H427" t="str">
        <f>"SHIPPING"</f>
        <v>SHIPPING</v>
      </c>
    </row>
    <row r="428" spans="1:8" x14ac:dyDescent="0.25">
      <c r="A428" t="s">
        <v>139</v>
      </c>
      <c r="B428">
        <v>80145</v>
      </c>
      <c r="C428" s="2">
        <v>405</v>
      </c>
      <c r="D428" s="1">
        <v>43461</v>
      </c>
      <c r="E428" t="str">
        <f>"201812125733"</f>
        <v>201812125733</v>
      </c>
      <c r="F428" t="str">
        <f>"FERAL HOGS"</f>
        <v>FERAL HOGS</v>
      </c>
      <c r="G428" s="3">
        <v>190</v>
      </c>
      <c r="H428" t="str">
        <f>"FERAL HOGS"</f>
        <v>FERAL HOGS</v>
      </c>
    </row>
    <row r="429" spans="1:8" x14ac:dyDescent="0.25">
      <c r="E429" t="str">
        <f>"201812125734"</f>
        <v>201812125734</v>
      </c>
      <c r="F429" t="str">
        <f>"FERAL HOGS"</f>
        <v>FERAL HOGS</v>
      </c>
      <c r="G429" s="3">
        <v>215</v>
      </c>
      <c r="H429" t="str">
        <f>"FERAL HOGS"</f>
        <v>FERAL HOGS</v>
      </c>
    </row>
    <row r="430" spans="1:8" x14ac:dyDescent="0.25">
      <c r="A430" t="s">
        <v>140</v>
      </c>
      <c r="B430">
        <v>79931</v>
      </c>
      <c r="C430" s="2">
        <v>145</v>
      </c>
      <c r="D430" s="1">
        <v>43444</v>
      </c>
      <c r="E430" t="str">
        <f>"201811305459"</f>
        <v>201811305459</v>
      </c>
      <c r="F430" t="str">
        <f>"FERAL HOGS"</f>
        <v>FERAL HOGS</v>
      </c>
      <c r="G430" s="3">
        <v>145</v>
      </c>
      <c r="H430" t="str">
        <f>"FERAL HOGS"</f>
        <v>FERAL HOGS</v>
      </c>
    </row>
    <row r="431" spans="1:8" x14ac:dyDescent="0.25">
      <c r="A431" t="s">
        <v>141</v>
      </c>
      <c r="B431">
        <v>80146</v>
      </c>
      <c r="C431" s="2">
        <v>7200</v>
      </c>
      <c r="D431" s="1">
        <v>43461</v>
      </c>
      <c r="E431" t="str">
        <f>"201812125701"</f>
        <v>201812125701</v>
      </c>
      <c r="F431" t="str">
        <f>"11-14658"</f>
        <v>11-14658</v>
      </c>
      <c r="G431" s="3">
        <v>7200</v>
      </c>
      <c r="H431" t="str">
        <f>"11-14658"</f>
        <v>11-14658</v>
      </c>
    </row>
    <row r="432" spans="1:8" x14ac:dyDescent="0.25">
      <c r="A432" t="s">
        <v>142</v>
      </c>
      <c r="B432">
        <v>79932</v>
      </c>
      <c r="C432" s="2">
        <v>80</v>
      </c>
      <c r="D432" s="1">
        <v>43444</v>
      </c>
      <c r="E432" t="str">
        <f>"12105"</f>
        <v>12105</v>
      </c>
      <c r="F432" t="str">
        <f>"SERVICE"</f>
        <v>SERVICE</v>
      </c>
      <c r="G432" s="3">
        <v>80</v>
      </c>
      <c r="H432" t="str">
        <f>"SERVICE"</f>
        <v>SERVICE</v>
      </c>
    </row>
    <row r="433" spans="1:8" x14ac:dyDescent="0.25">
      <c r="A433" t="s">
        <v>143</v>
      </c>
      <c r="B433">
        <v>79933</v>
      </c>
      <c r="C433" s="2">
        <v>10</v>
      </c>
      <c r="D433" s="1">
        <v>43444</v>
      </c>
      <c r="E433" t="str">
        <f>"201812035480"</f>
        <v>201812035480</v>
      </c>
      <c r="F433" t="str">
        <f>"FERAL HOGS"</f>
        <v>FERAL HOGS</v>
      </c>
      <c r="G433" s="3">
        <v>10</v>
      </c>
      <c r="H433" t="str">
        <f>"FERAL HOGS"</f>
        <v>FERAL HOGS</v>
      </c>
    </row>
    <row r="434" spans="1:8" x14ac:dyDescent="0.25">
      <c r="A434" t="s">
        <v>144</v>
      </c>
      <c r="B434">
        <v>80147</v>
      </c>
      <c r="C434" s="2">
        <v>10</v>
      </c>
      <c r="D434" s="1">
        <v>43461</v>
      </c>
      <c r="E434" t="str">
        <f>"201812125753"</f>
        <v>201812125753</v>
      </c>
      <c r="F434" t="str">
        <f>"FERAL HOGS"</f>
        <v>FERAL HOGS</v>
      </c>
      <c r="G434" s="3">
        <v>10</v>
      </c>
      <c r="H434" t="str">
        <f>"FERAL HOGS"</f>
        <v>FERAL HOGS</v>
      </c>
    </row>
    <row r="435" spans="1:8" x14ac:dyDescent="0.25">
      <c r="A435" t="s">
        <v>145</v>
      </c>
      <c r="B435">
        <v>79934</v>
      </c>
      <c r="C435" s="2">
        <v>28</v>
      </c>
      <c r="D435" s="1">
        <v>43444</v>
      </c>
      <c r="E435" t="str">
        <f>"201812065578"</f>
        <v>201812065578</v>
      </c>
      <c r="F435" t="str">
        <f>"REIMBURSEMENT"</f>
        <v>REIMBURSEMENT</v>
      </c>
      <c r="G435" s="3">
        <v>28</v>
      </c>
      <c r="H435" t="str">
        <f>"REIMBURSEMENT"</f>
        <v>REIMBURSEMENT</v>
      </c>
    </row>
    <row r="436" spans="1:8" x14ac:dyDescent="0.25">
      <c r="A436" t="s">
        <v>146</v>
      </c>
      <c r="B436">
        <v>79935</v>
      </c>
      <c r="C436" s="2">
        <v>100</v>
      </c>
      <c r="D436" s="1">
        <v>43444</v>
      </c>
      <c r="E436" t="str">
        <f>"201812035492"</f>
        <v>201812035492</v>
      </c>
      <c r="F436" t="str">
        <f>"LEGAL CONSULT SVCS-NOV 2018"</f>
        <v>LEGAL CONSULT SVCS-NOV 2018</v>
      </c>
      <c r="G436" s="3">
        <v>100</v>
      </c>
      <c r="H436" t="str">
        <f>"LEGAL CONSULT SVCS-NOV 2018"</f>
        <v>LEGAL CONSULT SVCS-NOV 2018</v>
      </c>
    </row>
    <row r="437" spans="1:8" x14ac:dyDescent="0.25">
      <c r="A437" t="s">
        <v>147</v>
      </c>
      <c r="B437">
        <v>80148</v>
      </c>
      <c r="C437" s="2">
        <v>46.73</v>
      </c>
      <c r="D437" s="1">
        <v>43461</v>
      </c>
      <c r="E437" t="str">
        <f>"201812195966"</f>
        <v>201812195966</v>
      </c>
      <c r="F437" t="str">
        <f>"INDIGENT HEALTH"</f>
        <v>INDIGENT HEALTH</v>
      </c>
      <c r="G437" s="3">
        <v>46.73</v>
      </c>
      <c r="H437" t="str">
        <f>"INDIGENT HEALTH"</f>
        <v>INDIGENT HEALTH</v>
      </c>
    </row>
    <row r="438" spans="1:8" x14ac:dyDescent="0.25">
      <c r="A438" t="s">
        <v>148</v>
      </c>
      <c r="B438">
        <v>79936</v>
      </c>
      <c r="C438" s="2">
        <v>215</v>
      </c>
      <c r="D438" s="1">
        <v>43444</v>
      </c>
      <c r="E438" t="str">
        <f>"201811305450"</f>
        <v>201811305450</v>
      </c>
      <c r="F438" t="str">
        <f t="shared" ref="F438:F443" si="6">"FERAL HOGS"</f>
        <v>FERAL HOGS</v>
      </c>
      <c r="G438" s="3">
        <v>180</v>
      </c>
      <c r="H438" t="str">
        <f t="shared" ref="H438:H443" si="7">"FERAL HOGS"</f>
        <v>FERAL HOGS</v>
      </c>
    </row>
    <row r="439" spans="1:8" x14ac:dyDescent="0.25">
      <c r="E439" t="str">
        <f>"201812035467"</f>
        <v>201812035467</v>
      </c>
      <c r="F439" t="str">
        <f t="shared" si="6"/>
        <v>FERAL HOGS</v>
      </c>
      <c r="G439" s="3">
        <v>15</v>
      </c>
      <c r="H439" t="str">
        <f t="shared" si="7"/>
        <v>FERAL HOGS</v>
      </c>
    </row>
    <row r="440" spans="1:8" x14ac:dyDescent="0.25">
      <c r="E440" t="str">
        <f>"201812035468"</f>
        <v>201812035468</v>
      </c>
      <c r="F440" t="str">
        <f t="shared" si="6"/>
        <v>FERAL HOGS</v>
      </c>
      <c r="G440" s="3">
        <v>20</v>
      </c>
      <c r="H440" t="str">
        <f t="shared" si="7"/>
        <v>FERAL HOGS</v>
      </c>
    </row>
    <row r="441" spans="1:8" x14ac:dyDescent="0.25">
      <c r="A441" t="s">
        <v>148</v>
      </c>
      <c r="B441">
        <v>80149</v>
      </c>
      <c r="C441" s="2">
        <v>30</v>
      </c>
      <c r="D441" s="1">
        <v>43461</v>
      </c>
      <c r="E441" t="str">
        <f>"201812125735"</f>
        <v>201812125735</v>
      </c>
      <c r="F441" t="str">
        <f t="shared" si="6"/>
        <v>FERAL HOGS</v>
      </c>
      <c r="G441" s="3">
        <v>10</v>
      </c>
      <c r="H441" t="str">
        <f t="shared" si="7"/>
        <v>FERAL HOGS</v>
      </c>
    </row>
    <row r="442" spans="1:8" x14ac:dyDescent="0.25">
      <c r="E442" t="str">
        <f>"201812125736"</f>
        <v>201812125736</v>
      </c>
      <c r="F442" t="str">
        <f t="shared" si="6"/>
        <v>FERAL HOGS</v>
      </c>
      <c r="G442" s="3">
        <v>15</v>
      </c>
      <c r="H442" t="str">
        <f t="shared" si="7"/>
        <v>FERAL HOGS</v>
      </c>
    </row>
    <row r="443" spans="1:8" x14ac:dyDescent="0.25">
      <c r="E443" t="str">
        <f>"201812125737"</f>
        <v>201812125737</v>
      </c>
      <c r="F443" t="str">
        <f t="shared" si="6"/>
        <v>FERAL HOGS</v>
      </c>
      <c r="G443" s="3">
        <v>5</v>
      </c>
      <c r="H443" t="str">
        <f t="shared" si="7"/>
        <v>FERAL HOGS</v>
      </c>
    </row>
    <row r="444" spans="1:8" x14ac:dyDescent="0.25">
      <c r="A444" t="s">
        <v>149</v>
      </c>
      <c r="B444">
        <v>226</v>
      </c>
      <c r="C444" s="2">
        <v>1950</v>
      </c>
      <c r="D444" s="1">
        <v>43462</v>
      </c>
      <c r="E444" t="str">
        <f>"201812135798"</f>
        <v>201812135798</v>
      </c>
      <c r="F444" t="str">
        <f>"17-18392"</f>
        <v>17-18392</v>
      </c>
      <c r="G444" s="3">
        <v>227.5</v>
      </c>
      <c r="H444" t="str">
        <f>"17-18392"</f>
        <v>17-18392</v>
      </c>
    </row>
    <row r="445" spans="1:8" x14ac:dyDescent="0.25">
      <c r="E445" t="str">
        <f>"201812135799"</f>
        <v>201812135799</v>
      </c>
      <c r="F445" t="str">
        <f>"15-17513"</f>
        <v>15-17513</v>
      </c>
      <c r="G445" s="3">
        <v>475</v>
      </c>
      <c r="H445" t="str">
        <f>"15-17513"</f>
        <v>15-17513</v>
      </c>
    </row>
    <row r="446" spans="1:8" x14ac:dyDescent="0.25">
      <c r="E446" t="str">
        <f>"201812185889"</f>
        <v>201812185889</v>
      </c>
      <c r="F446" t="str">
        <f>"18-19306"</f>
        <v>18-19306</v>
      </c>
      <c r="G446" s="3">
        <v>37.5</v>
      </c>
      <c r="H446" t="str">
        <f>"18-19306"</f>
        <v>18-19306</v>
      </c>
    </row>
    <row r="447" spans="1:8" x14ac:dyDescent="0.25">
      <c r="E447" t="str">
        <f>"201812185890"</f>
        <v>201812185890</v>
      </c>
      <c r="F447" t="str">
        <f>"18-19054"</f>
        <v>18-19054</v>
      </c>
      <c r="G447" s="3">
        <v>337.5</v>
      </c>
      <c r="H447" t="str">
        <f>"18-19054"</f>
        <v>18-19054</v>
      </c>
    </row>
    <row r="448" spans="1:8" x14ac:dyDescent="0.25">
      <c r="E448" t="str">
        <f>"201812185891"</f>
        <v>201812185891</v>
      </c>
      <c r="F448" t="str">
        <f>"18-18864"</f>
        <v>18-18864</v>
      </c>
      <c r="G448" s="3">
        <v>130</v>
      </c>
      <c r="H448" t="str">
        <f>"18-18864"</f>
        <v>18-18864</v>
      </c>
    </row>
    <row r="449" spans="1:8" x14ac:dyDescent="0.25">
      <c r="E449" t="str">
        <f>"201812185892"</f>
        <v>201812185892</v>
      </c>
      <c r="F449" t="str">
        <f>"18-18941"</f>
        <v>18-18941</v>
      </c>
      <c r="G449" s="3">
        <v>220</v>
      </c>
      <c r="H449" t="str">
        <f>"18-18941"</f>
        <v>18-18941</v>
      </c>
    </row>
    <row r="450" spans="1:8" x14ac:dyDescent="0.25">
      <c r="E450" t="str">
        <f>"201812185898"</f>
        <v>201812185898</v>
      </c>
      <c r="F450" t="str">
        <f>"18-19392"</f>
        <v>18-19392</v>
      </c>
      <c r="G450" s="3">
        <v>522.5</v>
      </c>
      <c r="H450" t="str">
        <f>"18-19392"</f>
        <v>18-19392</v>
      </c>
    </row>
    <row r="451" spans="1:8" x14ac:dyDescent="0.25">
      <c r="A451" t="s">
        <v>150</v>
      </c>
      <c r="B451">
        <v>79937</v>
      </c>
      <c r="C451" s="2">
        <v>10</v>
      </c>
      <c r="D451" s="1">
        <v>43444</v>
      </c>
      <c r="E451" t="str">
        <f>"201812035478"</f>
        <v>201812035478</v>
      </c>
      <c r="F451" t="str">
        <f>"FERAL HOGS"</f>
        <v>FERAL HOGS</v>
      </c>
      <c r="G451" s="3">
        <v>10</v>
      </c>
      <c r="H451" t="str">
        <f>"FERAL HOGS"</f>
        <v>FERAL HOGS</v>
      </c>
    </row>
    <row r="452" spans="1:8" x14ac:dyDescent="0.25">
      <c r="A452" t="s">
        <v>151</v>
      </c>
      <c r="B452">
        <v>79938</v>
      </c>
      <c r="C452" s="2">
        <v>5</v>
      </c>
      <c r="D452" s="1">
        <v>43444</v>
      </c>
      <c r="E452" t="str">
        <f>"201812035481"</f>
        <v>201812035481</v>
      </c>
      <c r="F452" t="str">
        <f>"FERAL HOGS"</f>
        <v>FERAL HOGS</v>
      </c>
      <c r="G452" s="3">
        <v>5</v>
      </c>
      <c r="H452" t="str">
        <f>"FERAL HOGS"</f>
        <v>FERAL HOGS</v>
      </c>
    </row>
    <row r="453" spans="1:8" x14ac:dyDescent="0.25">
      <c r="A453" t="s">
        <v>152</v>
      </c>
      <c r="B453">
        <v>80150</v>
      </c>
      <c r="C453" s="2">
        <v>2794.2</v>
      </c>
      <c r="D453" s="1">
        <v>43461</v>
      </c>
      <c r="E453" t="str">
        <f>"10284930515"</f>
        <v>10284930515</v>
      </c>
      <c r="F453" t="str">
        <f>"Dell Soundbar JP1"</f>
        <v>Dell Soundbar JP1</v>
      </c>
      <c r="G453" s="3">
        <v>29.92</v>
      </c>
      <c r="H453" t="str">
        <f>"Dell USB SoundBar -"</f>
        <v>Dell USB SoundBar -</v>
      </c>
    </row>
    <row r="454" spans="1:8" x14ac:dyDescent="0.25">
      <c r="E454" t="str">
        <f>""</f>
        <v/>
      </c>
      <c r="F454" t="str">
        <f>""</f>
        <v/>
      </c>
      <c r="H454" t="str">
        <f>"Discount"</f>
        <v>Discount</v>
      </c>
    </row>
    <row r="455" spans="1:8" x14ac:dyDescent="0.25">
      <c r="E455" t="str">
        <f>"10285195354"</f>
        <v>10285195354</v>
      </c>
      <c r="F455" t="str">
        <f>"JP 1 new laptop setup"</f>
        <v>JP 1 new laptop setup</v>
      </c>
      <c r="G455" s="3">
        <v>2764.28</v>
      </c>
      <c r="H455" t="str">
        <f>"XPS 13 (9370)"</f>
        <v>XPS 13 (9370)</v>
      </c>
    </row>
    <row r="456" spans="1:8" x14ac:dyDescent="0.25">
      <c r="E456" t="str">
        <f>""</f>
        <v/>
      </c>
      <c r="F456" t="str">
        <f>""</f>
        <v/>
      </c>
      <c r="H456" t="str">
        <f>"Discount"</f>
        <v>Discount</v>
      </c>
    </row>
    <row r="457" spans="1:8" x14ac:dyDescent="0.25">
      <c r="E457" t="str">
        <f>""</f>
        <v/>
      </c>
      <c r="F457" t="str">
        <f>""</f>
        <v/>
      </c>
      <c r="H457" t="str">
        <f>"Dell Business Dock -"</f>
        <v>Dell Business Dock -</v>
      </c>
    </row>
    <row r="458" spans="1:8" x14ac:dyDescent="0.25">
      <c r="E458" t="str">
        <f>""</f>
        <v/>
      </c>
      <c r="F458" t="str">
        <f>""</f>
        <v/>
      </c>
      <c r="H458" t="str">
        <f>"Discount"</f>
        <v>Discount</v>
      </c>
    </row>
    <row r="459" spans="1:8" x14ac:dyDescent="0.25">
      <c r="E459" t="str">
        <f>""</f>
        <v/>
      </c>
      <c r="F459" t="str">
        <f>""</f>
        <v/>
      </c>
      <c r="H459" t="str">
        <f>"Dell UltraSharp 24 I"</f>
        <v>Dell UltraSharp 24 I</v>
      </c>
    </row>
    <row r="460" spans="1:8" x14ac:dyDescent="0.25">
      <c r="E460" t="str">
        <f>""</f>
        <v/>
      </c>
      <c r="F460" t="str">
        <f>""</f>
        <v/>
      </c>
      <c r="H460" t="str">
        <f>"Discount"</f>
        <v>Discount</v>
      </c>
    </row>
    <row r="461" spans="1:8" x14ac:dyDescent="0.25">
      <c r="A461" t="s">
        <v>153</v>
      </c>
      <c r="B461">
        <v>247</v>
      </c>
      <c r="C461" s="2">
        <v>2590</v>
      </c>
      <c r="D461" s="1">
        <v>43462</v>
      </c>
      <c r="E461" t="str">
        <f>"BATX015800"</f>
        <v>BATX015800</v>
      </c>
      <c r="F461" t="str">
        <f>"INV BATX015800"</f>
        <v>INV BATX015800</v>
      </c>
      <c r="G461" s="3">
        <v>2590</v>
      </c>
      <c r="H461" t="str">
        <f>"INV BATX015800"</f>
        <v>INV BATX015800</v>
      </c>
    </row>
    <row r="462" spans="1:8" x14ac:dyDescent="0.25">
      <c r="A462" t="s">
        <v>154</v>
      </c>
      <c r="B462">
        <v>80151</v>
      </c>
      <c r="C462" s="2">
        <v>20.71</v>
      </c>
      <c r="D462" s="1">
        <v>43461</v>
      </c>
      <c r="E462" t="str">
        <f>"201812195941"</f>
        <v>201812195941</v>
      </c>
      <c r="F462" t="str">
        <f>"REIMBURSEMENT FOR TRAININ"</f>
        <v>REIMBURSEMENT FOR TRAININ</v>
      </c>
      <c r="G462" s="3">
        <v>20.71</v>
      </c>
      <c r="H462" t="str">
        <f>"REIMBURSEMENT FOR TRAININ"</f>
        <v>REIMBURSEMENT FOR TRAININ</v>
      </c>
    </row>
    <row r="463" spans="1:8" x14ac:dyDescent="0.25">
      <c r="A463" t="s">
        <v>155</v>
      </c>
      <c r="B463">
        <v>79939</v>
      </c>
      <c r="C463" s="2">
        <v>15</v>
      </c>
      <c r="D463" s="1">
        <v>43444</v>
      </c>
      <c r="E463" t="str">
        <f>"201812035477"</f>
        <v>201812035477</v>
      </c>
      <c r="F463" t="str">
        <f>"FERAL HOGS"</f>
        <v>FERAL HOGS</v>
      </c>
      <c r="G463" s="3">
        <v>15</v>
      </c>
      <c r="H463" t="str">
        <f>"FERAL HOGS"</f>
        <v>FERAL HOGS</v>
      </c>
    </row>
    <row r="464" spans="1:8" x14ac:dyDescent="0.25">
      <c r="A464" t="s">
        <v>156</v>
      </c>
      <c r="B464">
        <v>79940</v>
      </c>
      <c r="C464" s="2">
        <v>213.79</v>
      </c>
      <c r="D464" s="1">
        <v>43444</v>
      </c>
      <c r="E464" t="str">
        <f>"201811275293"</f>
        <v>201811275293</v>
      </c>
      <c r="F464" t="str">
        <f>"REIMBURSE MEALS/HOTEL/MILEAGE"</f>
        <v>REIMBURSE MEALS/HOTEL/MILEAGE</v>
      </c>
      <c r="G464" s="3">
        <v>213.79</v>
      </c>
      <c r="H464" t="str">
        <f>"REIMBURSE MEALS/HOTEL/MILEAGE"</f>
        <v>REIMBURSE MEALS/HOTEL/MILEAGE</v>
      </c>
    </row>
    <row r="465" spans="1:8" x14ac:dyDescent="0.25">
      <c r="A465" t="s">
        <v>157</v>
      </c>
      <c r="B465">
        <v>79941</v>
      </c>
      <c r="C465" s="2">
        <v>1066.8499999999999</v>
      </c>
      <c r="D465" s="1">
        <v>43444</v>
      </c>
      <c r="E465" t="str">
        <f>"25010"</f>
        <v>25010</v>
      </c>
      <c r="F465" t="str">
        <f>"SVC CALL/LOCK/KEYS/GEN SVCS"</f>
        <v>SVC CALL/LOCK/KEYS/GEN SVCS</v>
      </c>
      <c r="G465" s="3">
        <v>114.5</v>
      </c>
      <c r="H465" t="str">
        <f>"SVC CALL/LOCK/KEYS/GEN SVCS"</f>
        <v>SVC CALL/LOCK/KEYS/GEN SVCS</v>
      </c>
    </row>
    <row r="466" spans="1:8" x14ac:dyDescent="0.25">
      <c r="E466" t="str">
        <f>"25025"</f>
        <v>25025</v>
      </c>
      <c r="F466" t="str">
        <f>"LOCKSMITH/GEN SVCS"</f>
        <v>LOCKSMITH/GEN SVCS</v>
      </c>
      <c r="G466" s="3">
        <v>396</v>
      </c>
      <c r="H466" t="str">
        <f>"LOCKSMITH/GEN SVCS"</f>
        <v>LOCKSMITH/GEN SVCS</v>
      </c>
    </row>
    <row r="467" spans="1:8" x14ac:dyDescent="0.25">
      <c r="E467" t="str">
        <f>"25039"</f>
        <v>25039</v>
      </c>
      <c r="F467" t="str">
        <f>"INV 25039"</f>
        <v>INV 25039</v>
      </c>
      <c r="G467" s="3">
        <v>109</v>
      </c>
      <c r="H467" t="str">
        <f>"INV 25039"</f>
        <v>INV 25039</v>
      </c>
    </row>
    <row r="468" spans="1:8" x14ac:dyDescent="0.25">
      <c r="E468" t="str">
        <f>"25042"</f>
        <v>25042</v>
      </c>
      <c r="F468" t="str">
        <f>"DUPLICATE KEYS/RINGS/GEN SVCS"</f>
        <v>DUPLICATE KEYS/RINGS/GEN SVCS</v>
      </c>
      <c r="G468" s="3">
        <v>447.35</v>
      </c>
      <c r="H468" t="str">
        <f>"DUPLICATE KEYS/RINGS/GEN SVCS"</f>
        <v>DUPLICATE KEYS/RINGS/GEN SVCS</v>
      </c>
    </row>
    <row r="469" spans="1:8" x14ac:dyDescent="0.25">
      <c r="A469" t="s">
        <v>157</v>
      </c>
      <c r="B469">
        <v>80152</v>
      </c>
      <c r="C469" s="2">
        <v>148</v>
      </c>
      <c r="D469" s="1">
        <v>43461</v>
      </c>
      <c r="E469" t="str">
        <f>"25041"</f>
        <v>25041</v>
      </c>
      <c r="F469" t="str">
        <f>"INV 25041"</f>
        <v>INV 25041</v>
      </c>
      <c r="G469" s="3">
        <v>8</v>
      </c>
      <c r="H469" t="str">
        <f>"INV 25041"</f>
        <v>INV 25041</v>
      </c>
    </row>
    <row r="470" spans="1:8" x14ac:dyDescent="0.25">
      <c r="E470" t="str">
        <f>"25082"</f>
        <v>25082</v>
      </c>
      <c r="F470" t="str">
        <f>"SERVICE CALL/LOCKS/GEN SVCS"</f>
        <v>SERVICE CALL/LOCKS/GEN SVCS</v>
      </c>
      <c r="G470" s="3">
        <v>140</v>
      </c>
      <c r="H470" t="str">
        <f>"SERVICE CALL/LOCKS/GEN SVCS"</f>
        <v>SERVICE CALL/LOCKS/GEN SVCS</v>
      </c>
    </row>
    <row r="471" spans="1:8" x14ac:dyDescent="0.25">
      <c r="A471" t="s">
        <v>158</v>
      </c>
      <c r="B471">
        <v>79942</v>
      </c>
      <c r="C471" s="2">
        <v>2267.33</v>
      </c>
      <c r="D471" s="1">
        <v>43444</v>
      </c>
      <c r="E471" t="str">
        <f>"19101120N"</f>
        <v>19101120N</v>
      </c>
      <c r="F471" t="str">
        <f>"CODE#PKE5000/10/01-10/31"</f>
        <v>CODE#PKE5000/10/01-10/31</v>
      </c>
      <c r="G471" s="3">
        <v>2267.33</v>
      </c>
      <c r="H471" t="str">
        <f>"CODE#PKE5000/10/01-10/31"</f>
        <v>CODE#PKE5000/10/01-10/31</v>
      </c>
    </row>
    <row r="472" spans="1:8" x14ac:dyDescent="0.25">
      <c r="E472" t="str">
        <f>""</f>
        <v/>
      </c>
      <c r="F472" t="str">
        <f>""</f>
        <v/>
      </c>
      <c r="H472" t="str">
        <f>"CODE#PKE5000/10/01-10/31"</f>
        <v>CODE#PKE5000/10/01-10/31</v>
      </c>
    </row>
    <row r="473" spans="1:8" x14ac:dyDescent="0.25">
      <c r="A473" t="s">
        <v>159</v>
      </c>
      <c r="B473">
        <v>79943</v>
      </c>
      <c r="C473" s="2">
        <v>3485.94</v>
      </c>
      <c r="D473" s="1">
        <v>43444</v>
      </c>
      <c r="E473" t="str">
        <f>"104113"</f>
        <v>104113</v>
      </c>
      <c r="F473" t="str">
        <f>"Inv# 104113"</f>
        <v>Inv# 104113</v>
      </c>
      <c r="G473" s="3">
        <v>250.1</v>
      </c>
      <c r="H473" t="str">
        <f>"Inv# 104113"</f>
        <v>Inv# 104113</v>
      </c>
    </row>
    <row r="474" spans="1:8" x14ac:dyDescent="0.25">
      <c r="E474" t="str">
        <f>"104337"</f>
        <v>104337</v>
      </c>
      <c r="F474" t="str">
        <f>"MATERIAL"</f>
        <v>MATERIAL</v>
      </c>
      <c r="G474" s="3">
        <v>1586.72</v>
      </c>
      <c r="H474" t="str">
        <f>"3 X1/4  SQ. TUBE 24'"</f>
        <v>3 X1/4  SQ. TUBE 24'</v>
      </c>
    </row>
    <row r="475" spans="1:8" x14ac:dyDescent="0.25">
      <c r="E475" t="str">
        <f>"104488"</f>
        <v>104488</v>
      </c>
      <c r="F475" t="str">
        <f>"LONGHORN BRIDGE/PCT#4"</f>
        <v>LONGHORN BRIDGE/PCT#4</v>
      </c>
      <c r="G475" s="3">
        <v>1586.72</v>
      </c>
      <c r="H475" t="str">
        <f>"LONGHORN BRIDGE/PCT#4"</f>
        <v>LONGHORN BRIDGE/PCT#4</v>
      </c>
    </row>
    <row r="476" spans="1:8" x14ac:dyDescent="0.25">
      <c r="E476" t="str">
        <f>"104534"</f>
        <v>104534</v>
      </c>
      <c r="F476" t="str">
        <f>"ANIMAL SHELTER TRIM"</f>
        <v>ANIMAL SHELTER TRIM</v>
      </c>
      <c r="G476" s="3">
        <v>62.4</v>
      </c>
      <c r="H476" t="str">
        <f>"ANIMAL SHELTER TRIM"</f>
        <v>ANIMAL SHELTER TRIM</v>
      </c>
    </row>
    <row r="477" spans="1:8" x14ac:dyDescent="0.25">
      <c r="A477" t="s">
        <v>159</v>
      </c>
      <c r="B477">
        <v>80153</v>
      </c>
      <c r="C477" s="2">
        <v>417.55</v>
      </c>
      <c r="D477" s="1">
        <v>43461</v>
      </c>
      <c r="E477" t="str">
        <f>"104868"</f>
        <v>104868</v>
      </c>
      <c r="F477" t="str">
        <f>"MATERIAL"</f>
        <v>MATERIAL</v>
      </c>
      <c r="G477" s="3">
        <v>386.4</v>
      </c>
      <c r="H477" t="str">
        <f>"MATERIAL"</f>
        <v>MATERIAL</v>
      </c>
    </row>
    <row r="478" spans="1:8" x14ac:dyDescent="0.25">
      <c r="E478" t="str">
        <f>""</f>
        <v/>
      </c>
      <c r="F478" t="str">
        <f>""</f>
        <v/>
      </c>
      <c r="H478" t="str">
        <f>"MATERIAL"</f>
        <v>MATERIAL</v>
      </c>
    </row>
    <row r="479" spans="1:8" x14ac:dyDescent="0.25">
      <c r="E479" t="str">
        <f>""</f>
        <v/>
      </c>
      <c r="F479" t="str">
        <f>""</f>
        <v/>
      </c>
      <c r="H479" t="str">
        <f>"MATERIAL"</f>
        <v>MATERIAL</v>
      </c>
    </row>
    <row r="480" spans="1:8" x14ac:dyDescent="0.25">
      <c r="E480" t="str">
        <f>""</f>
        <v/>
      </c>
      <c r="F480" t="str">
        <f>""</f>
        <v/>
      </c>
      <c r="H480" t="str">
        <f>"MATERIAL"</f>
        <v>MATERIAL</v>
      </c>
    </row>
    <row r="481" spans="1:8" x14ac:dyDescent="0.25">
      <c r="E481" t="str">
        <f>"104938"</f>
        <v>104938</v>
      </c>
      <c r="F481" t="str">
        <f>"ANGLE 20'/CUTTING CHARGE"</f>
        <v>ANGLE 20'/CUTTING CHARGE</v>
      </c>
      <c r="G481" s="3">
        <v>31.15</v>
      </c>
      <c r="H481" t="str">
        <f>"ANGLE 20'/CUTTING CHARGE"</f>
        <v>ANGLE 20'/CUTTING CHARGE</v>
      </c>
    </row>
    <row r="482" spans="1:8" x14ac:dyDescent="0.25">
      <c r="A482" t="s">
        <v>160</v>
      </c>
      <c r="B482">
        <v>79944</v>
      </c>
      <c r="C482" s="2">
        <v>250</v>
      </c>
      <c r="D482" s="1">
        <v>43444</v>
      </c>
      <c r="E482" t="str">
        <f>"201811305443"</f>
        <v>201811305443</v>
      </c>
      <c r="F482" t="str">
        <f>"FERAL HOGS"</f>
        <v>FERAL HOGS</v>
      </c>
      <c r="G482" s="3">
        <v>250</v>
      </c>
      <c r="H482" t="str">
        <f>"FERAL HOGS"</f>
        <v>FERAL HOGS</v>
      </c>
    </row>
    <row r="483" spans="1:8" x14ac:dyDescent="0.25">
      <c r="A483" t="s">
        <v>161</v>
      </c>
      <c r="B483">
        <v>80288</v>
      </c>
      <c r="C483" s="2">
        <v>749.4</v>
      </c>
      <c r="D483" s="1">
        <v>43462</v>
      </c>
      <c r="E483" t="str">
        <f>"201812286050"</f>
        <v>201812286050</v>
      </c>
      <c r="F483" t="str">
        <f>"ACCT#405900029213/01012019"</f>
        <v>ACCT#405900029213/01012019</v>
      </c>
      <c r="G483" s="3">
        <v>374.7</v>
      </c>
      <c r="H483" t="str">
        <f>"ACCT#405900029213/01012019"</f>
        <v>ACCT#405900029213/01012019</v>
      </c>
    </row>
    <row r="484" spans="1:8" x14ac:dyDescent="0.25">
      <c r="E484" t="str">
        <f>"201812286051"</f>
        <v>201812286051</v>
      </c>
      <c r="F484" t="str">
        <f>"ACCT#405900029225/01012019"</f>
        <v>ACCT#405900029225/01012019</v>
      </c>
      <c r="G484" s="3">
        <v>187.35</v>
      </c>
      <c r="H484" t="str">
        <f>"ACCT#405900029225/01012019"</f>
        <v>ACCT#405900029225/01012019</v>
      </c>
    </row>
    <row r="485" spans="1:8" x14ac:dyDescent="0.25">
      <c r="E485" t="str">
        <f>"201812286052"</f>
        <v>201812286052</v>
      </c>
      <c r="F485" t="str">
        <f>"ACCT#405900028789/01012019"</f>
        <v>ACCT#405900028789/01012019</v>
      </c>
      <c r="G485" s="3">
        <v>187.35</v>
      </c>
      <c r="H485" t="str">
        <f>"ACCT#405900028789/01012019"</f>
        <v>ACCT#405900028789/01012019</v>
      </c>
    </row>
    <row r="486" spans="1:8" x14ac:dyDescent="0.25">
      <c r="A486" t="s">
        <v>162</v>
      </c>
      <c r="B486">
        <v>79945</v>
      </c>
      <c r="C486" s="2">
        <v>1033.58</v>
      </c>
      <c r="D486" s="1">
        <v>43444</v>
      </c>
      <c r="E486" t="str">
        <f>"28686A"</f>
        <v>28686A</v>
      </c>
      <c r="F486" t="str">
        <f>"INV 28686A"</f>
        <v>INV 28686A</v>
      </c>
      <c r="G486" s="3">
        <v>1033.58</v>
      </c>
      <c r="H486" t="str">
        <f>"INV 28686A"</f>
        <v>INV 28686A</v>
      </c>
    </row>
    <row r="487" spans="1:8" x14ac:dyDescent="0.25">
      <c r="A487" t="s">
        <v>163</v>
      </c>
      <c r="B487">
        <v>79946</v>
      </c>
      <c r="C487" s="2">
        <v>263.93</v>
      </c>
      <c r="D487" s="1">
        <v>43444</v>
      </c>
      <c r="E487" t="str">
        <f>"33417"</f>
        <v>33417</v>
      </c>
      <c r="F487" t="str">
        <f>"UNIT#8657/PCT#3"</f>
        <v>UNIT#8657/PCT#3</v>
      </c>
      <c r="G487" s="3">
        <v>263.93</v>
      </c>
      <c r="H487" t="str">
        <f>"UNIT#8657/PCT#3"</f>
        <v>UNIT#8657/PCT#3</v>
      </c>
    </row>
    <row r="488" spans="1:8" x14ac:dyDescent="0.25">
      <c r="A488" t="s">
        <v>164</v>
      </c>
      <c r="B488">
        <v>210</v>
      </c>
      <c r="C488" s="2">
        <v>2387.5</v>
      </c>
      <c r="D488" s="1">
        <v>43445</v>
      </c>
      <c r="E488" t="str">
        <f>"201811275285"</f>
        <v>201811275285</v>
      </c>
      <c r="F488" t="str">
        <f>"16338"</f>
        <v>16338</v>
      </c>
      <c r="G488" s="3">
        <v>400</v>
      </c>
      <c r="H488" t="str">
        <f>"16338"</f>
        <v>16338</v>
      </c>
    </row>
    <row r="489" spans="1:8" x14ac:dyDescent="0.25">
      <c r="E489" t="str">
        <f>"201811285312"</f>
        <v>201811285312</v>
      </c>
      <c r="F489" t="str">
        <f>"16354"</f>
        <v>16354</v>
      </c>
      <c r="G489" s="3">
        <v>400</v>
      </c>
      <c r="H489" t="str">
        <f>"16354"</f>
        <v>16354</v>
      </c>
    </row>
    <row r="490" spans="1:8" x14ac:dyDescent="0.25">
      <c r="E490" t="str">
        <f>"201812045534"</f>
        <v>201812045534</v>
      </c>
      <c r="F490" t="str">
        <f>"18-19367"</f>
        <v>18-19367</v>
      </c>
      <c r="G490" s="3">
        <v>100</v>
      </c>
      <c r="H490" t="str">
        <f>"18-19367"</f>
        <v>18-19367</v>
      </c>
    </row>
    <row r="491" spans="1:8" x14ac:dyDescent="0.25">
      <c r="E491" t="str">
        <f>"201812045535"</f>
        <v>201812045535</v>
      </c>
      <c r="F491" t="str">
        <f>"18-19321"</f>
        <v>18-19321</v>
      </c>
      <c r="G491" s="3">
        <v>150</v>
      </c>
      <c r="H491" t="str">
        <f>"18-19321"</f>
        <v>18-19321</v>
      </c>
    </row>
    <row r="492" spans="1:8" x14ac:dyDescent="0.25">
      <c r="E492" t="str">
        <f>"201812045536"</f>
        <v>201812045536</v>
      </c>
      <c r="F492" t="str">
        <f>"17-18119"</f>
        <v>17-18119</v>
      </c>
      <c r="G492" s="3">
        <v>312.5</v>
      </c>
      <c r="H492" t="str">
        <f>"17-18119"</f>
        <v>17-18119</v>
      </c>
    </row>
    <row r="493" spans="1:8" x14ac:dyDescent="0.25">
      <c r="E493" t="str">
        <f>"201812045537"</f>
        <v>201812045537</v>
      </c>
      <c r="F493" t="str">
        <f>"56243"</f>
        <v>56243</v>
      </c>
      <c r="G493" s="3">
        <v>250</v>
      </c>
      <c r="H493" t="str">
        <f>"56243"</f>
        <v>56243</v>
      </c>
    </row>
    <row r="494" spans="1:8" x14ac:dyDescent="0.25">
      <c r="E494" t="str">
        <f>"201812045538"</f>
        <v>201812045538</v>
      </c>
      <c r="F494" t="str">
        <f>"DCPC-18-125 / 1JP9618A-E"</f>
        <v>DCPC-18-125 / 1JP9618A-E</v>
      </c>
      <c r="G494" s="3">
        <v>600</v>
      </c>
      <c r="H494" t="str">
        <f>"DCPC-18-125 / 1JP9618A-E"</f>
        <v>DCPC-18-125 / 1JP9618A-E</v>
      </c>
    </row>
    <row r="495" spans="1:8" x14ac:dyDescent="0.25">
      <c r="E495" t="str">
        <f>"201812045539"</f>
        <v>201812045539</v>
      </c>
      <c r="F495" t="str">
        <f>"423-4038"</f>
        <v>423-4038</v>
      </c>
      <c r="G495" s="3">
        <v>175</v>
      </c>
      <c r="H495" t="str">
        <f>"423-4038"</f>
        <v>423-4038</v>
      </c>
    </row>
    <row r="496" spans="1:8" x14ac:dyDescent="0.25">
      <c r="A496" t="s">
        <v>164</v>
      </c>
      <c r="B496">
        <v>275</v>
      </c>
      <c r="C496" s="2">
        <v>3562.5</v>
      </c>
      <c r="D496" s="1">
        <v>43462</v>
      </c>
      <c r="E496" t="str">
        <f>"201812125707"</f>
        <v>201812125707</v>
      </c>
      <c r="F496" t="str">
        <f>"15466"</f>
        <v>15466</v>
      </c>
      <c r="G496" s="3">
        <v>600</v>
      </c>
      <c r="H496" t="str">
        <f>"15466"</f>
        <v>15466</v>
      </c>
    </row>
    <row r="497" spans="1:8" x14ac:dyDescent="0.25">
      <c r="E497" t="str">
        <f>"201812135801"</f>
        <v>201812135801</v>
      </c>
      <c r="F497" t="str">
        <f>"18-18854"</f>
        <v>18-18854</v>
      </c>
      <c r="G497" s="3">
        <v>287.5</v>
      </c>
      <c r="H497" t="str">
        <f>"18-18854"</f>
        <v>18-18854</v>
      </c>
    </row>
    <row r="498" spans="1:8" x14ac:dyDescent="0.25">
      <c r="E498" t="str">
        <f>"201812135818"</f>
        <v>201812135818</v>
      </c>
      <c r="F498" t="str">
        <f>"J-3159"</f>
        <v>J-3159</v>
      </c>
      <c r="G498" s="3">
        <v>250</v>
      </c>
      <c r="H498" t="str">
        <f>"J-3159"</f>
        <v>J-3159</v>
      </c>
    </row>
    <row r="499" spans="1:8" x14ac:dyDescent="0.25">
      <c r="E499" t="str">
        <f>"201812145836"</f>
        <v>201812145836</v>
      </c>
      <c r="F499" t="str">
        <f>"DCPC18025 &amp; WRIT NO. 1012-335"</f>
        <v>DCPC18025 &amp; WRIT NO. 1012-335</v>
      </c>
      <c r="G499" s="3">
        <v>100</v>
      </c>
      <c r="H499" t="str">
        <f>"DCPC18025 &amp; WRIT NO. 1012-335"</f>
        <v>DCPC18025 &amp; WRIT NO. 1012-335</v>
      </c>
    </row>
    <row r="500" spans="1:8" x14ac:dyDescent="0.25">
      <c r="E500" t="str">
        <f>"201812145837"</f>
        <v>201812145837</v>
      </c>
      <c r="F500" t="str">
        <f>"20180398 &amp; WRIT NO. 1010-21"</f>
        <v>20180398 &amp; WRIT NO. 1010-21</v>
      </c>
      <c r="G500" s="3">
        <v>100</v>
      </c>
      <c r="H500" t="str">
        <f>"20180398 &amp; WRIT NO. 1010-21"</f>
        <v>20180398 &amp; WRIT NO. 1010-21</v>
      </c>
    </row>
    <row r="501" spans="1:8" x14ac:dyDescent="0.25">
      <c r="E501" t="str">
        <f>"201812145838"</f>
        <v>201812145838</v>
      </c>
      <c r="F501" t="str">
        <f>"CH-20180918 &amp; WRIT NO 1010-335"</f>
        <v>CH-20180918 &amp; WRIT NO 1010-335</v>
      </c>
      <c r="G501" s="3">
        <v>100</v>
      </c>
      <c r="H501" t="str">
        <f>"CH-20180918 &amp; WRIT NO 1010-335"</f>
        <v>CH-20180918 &amp; WRIT NO 1010-335</v>
      </c>
    </row>
    <row r="502" spans="1:8" x14ac:dyDescent="0.25">
      <c r="E502" t="str">
        <f>"201812145839"</f>
        <v>201812145839</v>
      </c>
      <c r="F502" t="str">
        <f>"C180089 &amp; WRIT NO. 423-6205"</f>
        <v>C180089 &amp; WRIT NO. 423-6205</v>
      </c>
      <c r="G502" s="3">
        <v>100</v>
      </c>
      <c r="H502" t="str">
        <f>"C180089 &amp; WRIT NO. 423-6205"</f>
        <v>C180089 &amp; WRIT NO. 423-6205</v>
      </c>
    </row>
    <row r="503" spans="1:8" x14ac:dyDescent="0.25">
      <c r="E503" t="str">
        <f>"201812145840"</f>
        <v>201812145840</v>
      </c>
      <c r="F503" t="str">
        <f>"16697"</f>
        <v>16697</v>
      </c>
      <c r="G503" s="3">
        <v>800</v>
      </c>
      <c r="H503" t="str">
        <f>"16697"</f>
        <v>16697</v>
      </c>
    </row>
    <row r="504" spans="1:8" x14ac:dyDescent="0.25">
      <c r="E504" t="str">
        <f>"201812185893"</f>
        <v>201812185893</v>
      </c>
      <c r="F504" t="str">
        <f>"20180435  WRIT NO. 1012-21"</f>
        <v>20180435  WRIT NO. 1012-21</v>
      </c>
      <c r="G504" s="3">
        <v>100</v>
      </c>
      <c r="H504" t="str">
        <f>"20180435  WRIT NO. 1012-21"</f>
        <v>20180435  WRIT NO. 1012-21</v>
      </c>
    </row>
    <row r="505" spans="1:8" x14ac:dyDescent="0.25">
      <c r="E505" t="str">
        <f>"201812195915"</f>
        <v>201812195915</v>
      </c>
      <c r="F505" t="str">
        <f>"C180083/C180098 / 121218"</f>
        <v>C180083/C180098 / 121218</v>
      </c>
      <c r="G505" s="3">
        <v>375</v>
      </c>
      <c r="H505" t="str">
        <f>"C180083/C180098 / 121218"</f>
        <v>C180083/C180098 / 121218</v>
      </c>
    </row>
    <row r="506" spans="1:8" x14ac:dyDescent="0.25">
      <c r="E506" t="str">
        <f>"201812195916"</f>
        <v>201812195916</v>
      </c>
      <c r="F506" t="str">
        <f>"56619 / 101018-121318"</f>
        <v>56619 / 101018-121318</v>
      </c>
      <c r="G506" s="3">
        <v>250</v>
      </c>
      <c r="H506" t="str">
        <f>"56619 / 101018-121318"</f>
        <v>56619 / 101018-121318</v>
      </c>
    </row>
    <row r="507" spans="1:8" x14ac:dyDescent="0.25">
      <c r="E507" t="str">
        <f>"201812195923"</f>
        <v>201812195923</v>
      </c>
      <c r="F507" t="str">
        <f>"56534 / 071318-121318"</f>
        <v>56534 / 071318-121318</v>
      </c>
      <c r="G507" s="3">
        <v>250</v>
      </c>
      <c r="H507" t="str">
        <f>"56534 / 071318-121318"</f>
        <v>56534 / 071318-121318</v>
      </c>
    </row>
    <row r="508" spans="1:8" x14ac:dyDescent="0.25">
      <c r="E508" t="str">
        <f>"201812195924"</f>
        <v>201812195924</v>
      </c>
      <c r="F508" t="str">
        <f>"56548 / 021118-121318"</f>
        <v>56548 / 021118-121318</v>
      </c>
      <c r="G508" s="3">
        <v>250</v>
      </c>
      <c r="H508" t="str">
        <f>"56548 / 021118-121318"</f>
        <v>56548 / 021118-121318</v>
      </c>
    </row>
    <row r="509" spans="1:8" x14ac:dyDescent="0.25">
      <c r="A509" t="s">
        <v>165</v>
      </c>
      <c r="B509">
        <v>79947</v>
      </c>
      <c r="C509" s="2">
        <v>6072</v>
      </c>
      <c r="D509" s="1">
        <v>43444</v>
      </c>
      <c r="E509" t="str">
        <f>"15-1433"</f>
        <v>15-1433</v>
      </c>
      <c r="F509" t="str">
        <f>"ROAD BASE/PCT#3"</f>
        <v>ROAD BASE/PCT#3</v>
      </c>
      <c r="G509" s="3">
        <v>6072</v>
      </c>
      <c r="H509" t="str">
        <f>"ROAD BASE/PCT#3"</f>
        <v>ROAD BASE/PCT#3</v>
      </c>
    </row>
    <row r="510" spans="1:8" x14ac:dyDescent="0.25">
      <c r="A510" t="s">
        <v>166</v>
      </c>
      <c r="B510">
        <v>79948</v>
      </c>
      <c r="C510" s="2">
        <v>115</v>
      </c>
      <c r="D510" s="1">
        <v>43444</v>
      </c>
      <c r="E510" t="str">
        <f>"201811305445"</f>
        <v>201811305445</v>
      </c>
      <c r="F510" t="str">
        <f>"FERAL HOGS"</f>
        <v>FERAL HOGS</v>
      </c>
      <c r="G510" s="3">
        <v>115</v>
      </c>
      <c r="H510" t="str">
        <f>"FERAL HOGS"</f>
        <v>FERAL HOGS</v>
      </c>
    </row>
    <row r="511" spans="1:8" x14ac:dyDescent="0.25">
      <c r="A511" t="s">
        <v>167</v>
      </c>
      <c r="B511">
        <v>80154</v>
      </c>
      <c r="C511" s="2">
        <v>2500</v>
      </c>
      <c r="D511" s="1">
        <v>43461</v>
      </c>
      <c r="E511" t="str">
        <f>"INV-18165"</f>
        <v>INV-18165</v>
      </c>
      <c r="F511" t="str">
        <f>"EASY CAMPAIGN FINANCE/ELECTION"</f>
        <v>EASY CAMPAIGN FINANCE/ELECTION</v>
      </c>
      <c r="G511" s="3">
        <v>2500</v>
      </c>
      <c r="H511" t="str">
        <f>"EASY CAMPAIGN FINANCE/ELECTION"</f>
        <v>EASY CAMPAIGN FINANCE/ELECTION</v>
      </c>
    </row>
    <row r="512" spans="1:8" x14ac:dyDescent="0.25">
      <c r="A512" t="s">
        <v>168</v>
      </c>
      <c r="B512">
        <v>187</v>
      </c>
      <c r="C512" s="2">
        <v>1780.73</v>
      </c>
      <c r="D512" s="1">
        <v>43445</v>
      </c>
      <c r="E512" t="str">
        <f>"1673133"</f>
        <v>1673133</v>
      </c>
      <c r="F512" t="str">
        <f>"INV 1673133"</f>
        <v>INV 1673133</v>
      </c>
      <c r="G512" s="3">
        <v>1780.73</v>
      </c>
      <c r="H512" t="str">
        <f>"INV 1673133"</f>
        <v>INV 1673133</v>
      </c>
    </row>
    <row r="513" spans="1:8" x14ac:dyDescent="0.25">
      <c r="A513" t="s">
        <v>168</v>
      </c>
      <c r="B513">
        <v>249</v>
      </c>
      <c r="C513" s="2">
        <v>979.91</v>
      </c>
      <c r="D513" s="1">
        <v>43462</v>
      </c>
      <c r="E513" t="str">
        <f>"95610844"</f>
        <v>95610844</v>
      </c>
      <c r="F513" t="str">
        <f>"INV 95610844"</f>
        <v>INV 95610844</v>
      </c>
      <c r="G513" s="3">
        <v>979.91</v>
      </c>
      <c r="H513" t="str">
        <f>"INV 95610844"</f>
        <v>INV 95610844</v>
      </c>
    </row>
    <row r="514" spans="1:8" x14ac:dyDescent="0.25">
      <c r="E514" t="str">
        <f>""</f>
        <v/>
      </c>
      <c r="F514" t="str">
        <f>""</f>
        <v/>
      </c>
      <c r="H514" t="str">
        <f>"INV 1768204"</f>
        <v>INV 1768204</v>
      </c>
    </row>
    <row r="515" spans="1:8" x14ac:dyDescent="0.25">
      <c r="A515" t="s">
        <v>169</v>
      </c>
      <c r="B515">
        <v>79949</v>
      </c>
      <c r="C515" s="2">
        <v>398</v>
      </c>
      <c r="D515" s="1">
        <v>43444</v>
      </c>
      <c r="E515" t="str">
        <f>"201812035506"</f>
        <v>201812035506</v>
      </c>
      <c r="F515" t="str">
        <f>"CONF#108375-KRISTIN MILES"</f>
        <v>CONF#108375-KRISTIN MILES</v>
      </c>
      <c r="G515" s="3">
        <v>199</v>
      </c>
      <c r="H515" t="str">
        <f>"CONF#108375-KRISTIN MILES"</f>
        <v>CONF#108375-KRISTIN MILES</v>
      </c>
    </row>
    <row r="516" spans="1:8" x14ac:dyDescent="0.25">
      <c r="E516" t="str">
        <f>"201812035507"</f>
        <v>201812035507</v>
      </c>
      <c r="F516" t="str">
        <f>"CONF#276260-BRIDGETTE ESCOBEDO"</f>
        <v>CONF#276260-BRIDGETTE ESCOBEDO</v>
      </c>
      <c r="G516" s="3">
        <v>199</v>
      </c>
      <c r="H516" t="str">
        <f>"CONF#276260-BRIDGETTE ESCOBEDO"</f>
        <v>CONF#276260-BRIDGETTE ESCOBEDO</v>
      </c>
    </row>
    <row r="517" spans="1:8" x14ac:dyDescent="0.25">
      <c r="A517" t="s">
        <v>170</v>
      </c>
      <c r="B517">
        <v>79950</v>
      </c>
      <c r="C517" s="2">
        <v>10313.08</v>
      </c>
      <c r="D517" s="1">
        <v>43444</v>
      </c>
      <c r="E517" t="str">
        <f>"1071867"</f>
        <v>1071867</v>
      </c>
      <c r="F517" t="str">
        <f>"ACCT#B06875/ABSENTEE BALLOTS"</f>
        <v>ACCT#B06875/ABSENTEE BALLOTS</v>
      </c>
      <c r="G517" s="3">
        <v>2533.5</v>
      </c>
      <c r="H517" t="str">
        <f>"ACCT#B06875/ABSENTEE BALLOTS"</f>
        <v>ACCT#B06875/ABSENTEE BALLOTS</v>
      </c>
    </row>
    <row r="518" spans="1:8" x14ac:dyDescent="0.25">
      <c r="E518" t="str">
        <f>"1071868"</f>
        <v>1071868</v>
      </c>
      <c r="F518" t="str">
        <f>"ACCT#B06875/ELECTIONS"</f>
        <v>ACCT#B06875/ELECTIONS</v>
      </c>
      <c r="G518" s="3">
        <v>1607.14</v>
      </c>
      <c r="H518" t="str">
        <f>"ACCT#B06875/ELECTIONS"</f>
        <v>ACCT#B06875/ELECTIONS</v>
      </c>
    </row>
    <row r="519" spans="1:8" x14ac:dyDescent="0.25">
      <c r="E519" t="str">
        <f>"1073507"</f>
        <v>1073507</v>
      </c>
      <c r="F519" t="str">
        <f>"ACCT#B06875/ORD#1171223/ELECT"</f>
        <v>ACCT#B06875/ORD#1171223/ELECT</v>
      </c>
      <c r="G519" s="3">
        <v>36.75</v>
      </c>
      <c r="H519" t="str">
        <f>"ACCT#B06875/ORD#1171223/ELECT"</f>
        <v>ACCT#B06875/ORD#1171223/ELECT</v>
      </c>
    </row>
    <row r="520" spans="1:8" x14ac:dyDescent="0.25">
      <c r="E520" t="str">
        <f>"1073598"</f>
        <v>1073598</v>
      </c>
      <c r="F520" t="str">
        <f>"ACCT#B06875/ORD#1171553/ELECT"</f>
        <v>ACCT#B06875/ORD#1171553/ELECT</v>
      </c>
      <c r="G520" s="3">
        <v>2076.7199999999998</v>
      </c>
      <c r="H520" t="str">
        <f>"ACCT#B06875/ORD#1171553/ELECT"</f>
        <v>ACCT#B06875/ORD#1171553/ELECT</v>
      </c>
    </row>
    <row r="521" spans="1:8" x14ac:dyDescent="0.25">
      <c r="E521" t="str">
        <f>"1074339"</f>
        <v>1074339</v>
      </c>
      <c r="F521" t="str">
        <f>"ACCT#B06875/ORD#1159947"</f>
        <v>ACCT#B06875/ORD#1159947</v>
      </c>
      <c r="G521" s="3">
        <v>4058.97</v>
      </c>
      <c r="H521" t="str">
        <f>"ACCT#B06875/ORD#1159947"</f>
        <v>ACCT#B06875/ORD#1159947</v>
      </c>
    </row>
    <row r="522" spans="1:8" x14ac:dyDescent="0.25">
      <c r="A522" t="s">
        <v>170</v>
      </c>
      <c r="B522">
        <v>80155</v>
      </c>
      <c r="C522" s="2">
        <v>950.48</v>
      </c>
      <c r="D522" s="1">
        <v>43461</v>
      </c>
      <c r="E522" t="str">
        <f>"1074385"</f>
        <v>1074385</v>
      </c>
      <c r="F522" t="str">
        <f>"ACC#B06875/RUNOFF/ELECTIONS"</f>
        <v>ACC#B06875/RUNOFF/ELECTIONS</v>
      </c>
      <c r="G522" s="3">
        <v>81.349999999999994</v>
      </c>
      <c r="H522" t="str">
        <f>"ACC#B06875/RUNOFF/ELECTIONS"</f>
        <v>ACC#B06875/RUNOFF/ELECTIONS</v>
      </c>
    </row>
    <row r="523" spans="1:8" x14ac:dyDescent="0.25">
      <c r="E523" t="str">
        <f>"1074411"</f>
        <v>1074411</v>
      </c>
      <c r="F523" t="str">
        <f>"ACCT#B06875/ABSENTEE BALLOTS"</f>
        <v>ACCT#B06875/ABSENTEE BALLOTS</v>
      </c>
      <c r="G523" s="3">
        <v>80.97</v>
      </c>
      <c r="H523" t="str">
        <f>"ACCT#B06875/ABSENTEE BALLOTS"</f>
        <v>ACCT#B06875/ABSENTEE BALLOTS</v>
      </c>
    </row>
    <row r="524" spans="1:8" x14ac:dyDescent="0.25">
      <c r="E524" t="str">
        <f>"1076259"</f>
        <v>1076259</v>
      </c>
      <c r="F524" t="str">
        <f>"ABSENTEE BALLOT KIT / ELECTION"</f>
        <v>ABSENTEE BALLOT KIT / ELECTION</v>
      </c>
      <c r="G524" s="3">
        <v>788.16</v>
      </c>
      <c r="H524" t="str">
        <f>"ABSENTEE BALLOT KIT / ELECTION"</f>
        <v>ABSENTEE BALLOT KIT / ELECTION</v>
      </c>
    </row>
    <row r="525" spans="1:8" x14ac:dyDescent="0.25">
      <c r="A525" t="s">
        <v>171</v>
      </c>
      <c r="B525">
        <v>248</v>
      </c>
      <c r="C525" s="2">
        <v>293</v>
      </c>
      <c r="D525" s="1">
        <v>43462</v>
      </c>
      <c r="E525" t="str">
        <f>"14042/14136"</f>
        <v>14042/14136</v>
      </c>
      <c r="F525" t="str">
        <f>"inv# 14042  14136"</f>
        <v>inv# 14042  14136</v>
      </c>
      <c r="G525" s="3">
        <v>144</v>
      </c>
      <c r="H525" t="str">
        <f>"inv# 14042"</f>
        <v>inv# 14042</v>
      </c>
    </row>
    <row r="526" spans="1:8" x14ac:dyDescent="0.25">
      <c r="E526" t="str">
        <f>""</f>
        <v/>
      </c>
      <c r="F526" t="str">
        <f>""</f>
        <v/>
      </c>
      <c r="H526" t="str">
        <f>"inv# 14136"</f>
        <v>inv# 14136</v>
      </c>
    </row>
    <row r="527" spans="1:8" x14ac:dyDescent="0.25">
      <c r="E527" t="str">
        <f>"201812175850"</f>
        <v>201812175850</v>
      </c>
      <c r="F527" t="str">
        <f>"SUBSCRIPTION- 1 YEAR/JP#4"</f>
        <v>SUBSCRIPTION- 1 YEAR/JP#4</v>
      </c>
      <c r="G527" s="3">
        <v>41</v>
      </c>
      <c r="H527" t="str">
        <f>"SUBSCRIPTION- 1 YEAR/JP#4"</f>
        <v>SUBSCRIPTION- 1 YEAR/JP#4</v>
      </c>
    </row>
    <row r="528" spans="1:8" x14ac:dyDescent="0.25">
      <c r="E528" t="str">
        <f>"52421-14136"</f>
        <v>52421-14136</v>
      </c>
      <c r="F528" t="str">
        <f>"AD-ASSISTANT AUDITOR"</f>
        <v>AD-ASSISTANT AUDITOR</v>
      </c>
      <c r="G528" s="3">
        <v>108</v>
      </c>
      <c r="H528" t="str">
        <f>"AD-ASSISTANT AUDITOR"</f>
        <v>AD-ASSISTANT AUDITOR</v>
      </c>
    </row>
    <row r="529" spans="1:8" x14ac:dyDescent="0.25">
      <c r="A529" t="s">
        <v>172</v>
      </c>
      <c r="B529">
        <v>79883</v>
      </c>
      <c r="C529" s="2">
        <v>1256.26</v>
      </c>
      <c r="D529" s="1">
        <v>43441</v>
      </c>
      <c r="E529" t="str">
        <f>"201812075605"</f>
        <v>201812075605</v>
      </c>
      <c r="F529" t="str">
        <f>"ACCT#007-0008410-002/11302018"</f>
        <v>ACCT#007-0008410-002/11302018</v>
      </c>
      <c r="G529" s="3">
        <v>421.08</v>
      </c>
      <c r="H529" t="str">
        <f>"ACCT#007-0008410-002/11302018"</f>
        <v>ACCT#007-0008410-002/11302018</v>
      </c>
    </row>
    <row r="530" spans="1:8" x14ac:dyDescent="0.25">
      <c r="E530" t="str">
        <f>"201812075606"</f>
        <v>201812075606</v>
      </c>
      <c r="F530" t="str">
        <f>"ACCT#007-0011501-000/11302018"</f>
        <v>ACCT#007-0011501-000/11302018</v>
      </c>
      <c r="G530" s="3">
        <v>93.76</v>
      </c>
      <c r="H530" t="str">
        <f>"ACCT#007-0011501-000/11302018"</f>
        <v>ACCT#007-0011501-000/11302018</v>
      </c>
    </row>
    <row r="531" spans="1:8" x14ac:dyDescent="0.25">
      <c r="E531" t="str">
        <f>"201812075607"</f>
        <v>201812075607</v>
      </c>
      <c r="F531" t="str">
        <f>"ACCT#007-0011510-000/11302018"</f>
        <v>ACCT#007-0011510-000/11302018</v>
      </c>
      <c r="G531" s="3">
        <v>235.91</v>
      </c>
      <c r="H531" t="str">
        <f>"ACCT#007-0011510-000/11302018"</f>
        <v>ACCT#007-0011510-000/11302018</v>
      </c>
    </row>
    <row r="532" spans="1:8" x14ac:dyDescent="0.25">
      <c r="E532" t="str">
        <f>"201812075608"</f>
        <v>201812075608</v>
      </c>
      <c r="F532" t="str">
        <f>"ACCT#007-0011530-000/11302018"</f>
        <v>ACCT#007-0011530-000/11302018</v>
      </c>
      <c r="G532" s="3">
        <v>97.4</v>
      </c>
      <c r="H532" t="str">
        <f>"ACCT#007-0011530-000/11302018"</f>
        <v>ACCT#007-0011530-000/11302018</v>
      </c>
    </row>
    <row r="533" spans="1:8" x14ac:dyDescent="0.25">
      <c r="E533" t="str">
        <f>"201812075609"</f>
        <v>201812075609</v>
      </c>
      <c r="F533" t="str">
        <f>"ACCT#007-0011534-001/11302018"</f>
        <v>ACCT#007-0011534-001/11302018</v>
      </c>
      <c r="G533" s="3">
        <v>156.88</v>
      </c>
      <c r="H533" t="str">
        <f>"ACCT#007-0011534-001/11302018"</f>
        <v>ACCT#007-0011534-001/11302018</v>
      </c>
    </row>
    <row r="534" spans="1:8" x14ac:dyDescent="0.25">
      <c r="E534" t="str">
        <f>"201812075610"</f>
        <v>201812075610</v>
      </c>
      <c r="F534" t="str">
        <f>"ACCT#007-0011535-000"</f>
        <v>ACCT#007-0011535-000</v>
      </c>
      <c r="G534" s="3">
        <v>111.49</v>
      </c>
      <c r="H534" t="str">
        <f>"ACCT#007-0011535-000"</f>
        <v>ACCT#007-0011535-000</v>
      </c>
    </row>
    <row r="535" spans="1:8" x14ac:dyDescent="0.25">
      <c r="E535" t="str">
        <f>"201812075611"</f>
        <v>201812075611</v>
      </c>
      <c r="F535" t="str">
        <f>"ACCT#007-0011544-001/11302018"</f>
        <v>ACCT#007-0011544-001/11302018</v>
      </c>
      <c r="G535" s="3">
        <v>111.49</v>
      </c>
      <c r="H535" t="str">
        <f>"ACCT#007-0011544-001/11302018"</f>
        <v>ACCT#007-0011544-001/11302018</v>
      </c>
    </row>
    <row r="536" spans="1:8" x14ac:dyDescent="0.25">
      <c r="E536" t="str">
        <f>"201812075612"</f>
        <v>201812075612</v>
      </c>
      <c r="F536" t="str">
        <f>"ACCT#007-0071128-001/11302018"</f>
        <v>ACCT#007-0071128-001/11302018</v>
      </c>
      <c r="G536" s="3">
        <v>28.25</v>
      </c>
      <c r="H536" t="str">
        <f>"ACCT#007-0071128-001/11302018"</f>
        <v>ACCT#007-0071128-001/11302018</v>
      </c>
    </row>
    <row r="537" spans="1:8" x14ac:dyDescent="0.25">
      <c r="A537" t="s">
        <v>173</v>
      </c>
      <c r="B537">
        <v>79951</v>
      </c>
      <c r="C537" s="2">
        <v>1923.26</v>
      </c>
      <c r="D537" s="1">
        <v>43444</v>
      </c>
      <c r="E537" t="str">
        <f>"145-23304-01"</f>
        <v>145-23304-01</v>
      </c>
      <c r="F537" t="str">
        <f>"ELLIOTT ELECTRIC SUPPLY INC"</f>
        <v>ELLIOTT ELECTRIC SUPPLY INC</v>
      </c>
      <c r="G537" s="3">
        <v>685.75</v>
      </c>
      <c r="H537" t="str">
        <f>"KO Punch Set"</f>
        <v>KO Punch Set</v>
      </c>
    </row>
    <row r="538" spans="1:8" x14ac:dyDescent="0.25">
      <c r="E538" t="str">
        <f>"145-23389-01"</f>
        <v>145-23389-01</v>
      </c>
      <c r="F538" t="str">
        <f>"ELLIOTT ELECTRIC SUPPLY INC"</f>
        <v>ELLIOTT ELECTRIC SUPPLY INC</v>
      </c>
      <c r="G538" s="3">
        <v>922.11</v>
      </c>
      <c r="H538" t="str">
        <f>"C9 LED Bulbs"</f>
        <v>C9 LED Bulbs</v>
      </c>
    </row>
    <row r="539" spans="1:8" x14ac:dyDescent="0.25">
      <c r="E539" t="str">
        <f>""</f>
        <v/>
      </c>
      <c r="F539" t="str">
        <f>""</f>
        <v/>
      </c>
      <c r="H539" t="str">
        <f>"Spool White Wire"</f>
        <v>Spool White Wire</v>
      </c>
    </row>
    <row r="540" spans="1:8" x14ac:dyDescent="0.25">
      <c r="E540" t="str">
        <f>""</f>
        <v/>
      </c>
      <c r="F540" t="str">
        <f>""</f>
        <v/>
      </c>
      <c r="H540" t="str">
        <f>"25Ft White Wire"</f>
        <v>25Ft White Wire</v>
      </c>
    </row>
    <row r="541" spans="1:8" x14ac:dyDescent="0.25">
      <c r="E541" t="str">
        <f>""</f>
        <v/>
      </c>
      <c r="F541" t="str">
        <f>""</f>
        <v/>
      </c>
      <c r="H541" t="str">
        <f>"Freight"</f>
        <v>Freight</v>
      </c>
    </row>
    <row r="542" spans="1:8" x14ac:dyDescent="0.25">
      <c r="E542" t="str">
        <f>"201811285303"</f>
        <v>201811285303</v>
      </c>
      <c r="F542" t="str">
        <f>"CUST ID#0888336-1"</f>
        <v>CUST ID#0888336-1</v>
      </c>
      <c r="G542" s="3">
        <v>315.39999999999998</v>
      </c>
      <c r="H542" t="str">
        <f>"CUST ID#0888336-1"</f>
        <v>CUST ID#0888336-1</v>
      </c>
    </row>
    <row r="543" spans="1:8" x14ac:dyDescent="0.25">
      <c r="A543" t="s">
        <v>174</v>
      </c>
      <c r="B543">
        <v>80156</v>
      </c>
      <c r="C543" s="2">
        <v>641.70000000000005</v>
      </c>
      <c r="D543" s="1">
        <v>43461</v>
      </c>
      <c r="E543" t="str">
        <f>"91812965"</f>
        <v>91812965</v>
      </c>
      <c r="F543" t="str">
        <f>"LODGINNG"</f>
        <v>LODGINNG</v>
      </c>
      <c r="G543" s="3">
        <v>641.70000000000005</v>
      </c>
      <c r="H543" t="str">
        <f>"LODGINNG - GOMEZ"</f>
        <v>LODGINNG - GOMEZ</v>
      </c>
    </row>
    <row r="544" spans="1:8" x14ac:dyDescent="0.25">
      <c r="E544" t="str">
        <f>""</f>
        <v/>
      </c>
      <c r="F544" t="str">
        <f>""</f>
        <v/>
      </c>
      <c r="H544" t="str">
        <f>"LODGINNG-HORSLEY"</f>
        <v>LODGINNG-HORSLEY</v>
      </c>
    </row>
    <row r="545" spans="1:8" x14ac:dyDescent="0.25">
      <c r="A545" t="s">
        <v>175</v>
      </c>
      <c r="B545">
        <v>80157</v>
      </c>
      <c r="C545" s="2">
        <v>45</v>
      </c>
      <c r="D545" s="1">
        <v>43461</v>
      </c>
      <c r="E545" t="str">
        <f>"201812125738"</f>
        <v>201812125738</v>
      </c>
      <c r="F545" t="str">
        <f>"FERAL HOGS"</f>
        <v>FERAL HOGS</v>
      </c>
      <c r="G545" s="3">
        <v>45</v>
      </c>
      <c r="H545" t="str">
        <f>"FERAL HOGS"</f>
        <v>FERAL HOGS</v>
      </c>
    </row>
    <row r="546" spans="1:8" x14ac:dyDescent="0.25">
      <c r="A546" t="s">
        <v>176</v>
      </c>
      <c r="B546">
        <v>80158</v>
      </c>
      <c r="C546" s="2">
        <v>35</v>
      </c>
      <c r="D546" s="1">
        <v>43461</v>
      </c>
      <c r="E546" t="str">
        <f>"201812185862"</f>
        <v>201812185862</v>
      </c>
      <c r="F546" t="str">
        <f>"ACCT#9290502 / ADMIN FEE"</f>
        <v>ACCT#9290502 / ADMIN FEE</v>
      </c>
      <c r="G546" s="3">
        <v>35</v>
      </c>
      <c r="H546" t="str">
        <f>"ACCT#9290502 / ADMIN FEE"</f>
        <v>ACCT#9290502 / ADMIN FEE</v>
      </c>
    </row>
    <row r="547" spans="1:8" x14ac:dyDescent="0.25">
      <c r="A547" t="s">
        <v>177</v>
      </c>
      <c r="B547">
        <v>80159</v>
      </c>
      <c r="C547" s="2">
        <v>40</v>
      </c>
      <c r="D547" s="1">
        <v>43461</v>
      </c>
      <c r="E547" t="str">
        <f>"201812125739"</f>
        <v>201812125739</v>
      </c>
      <c r="F547" t="str">
        <f>"FERAL HOGS"</f>
        <v>FERAL HOGS</v>
      </c>
      <c r="G547" s="3">
        <v>25</v>
      </c>
      <c r="H547" t="str">
        <f>"FERAL HOGS"</f>
        <v>FERAL HOGS</v>
      </c>
    </row>
    <row r="548" spans="1:8" x14ac:dyDescent="0.25">
      <c r="E548" t="str">
        <f>"201812125740"</f>
        <v>201812125740</v>
      </c>
      <c r="F548" t="str">
        <f>"FERAL HOGS"</f>
        <v>FERAL HOGS</v>
      </c>
      <c r="G548" s="3">
        <v>15</v>
      </c>
      <c r="H548" t="str">
        <f>"FERAL HOGS"</f>
        <v>FERAL HOGS</v>
      </c>
    </row>
    <row r="549" spans="1:8" x14ac:dyDescent="0.25">
      <c r="A549" t="s">
        <v>178</v>
      </c>
      <c r="B549">
        <v>201</v>
      </c>
      <c r="C549" s="2">
        <v>78.599999999999994</v>
      </c>
      <c r="D549" s="1">
        <v>43445</v>
      </c>
      <c r="E549" t="str">
        <f>"3420221"</f>
        <v>3420221</v>
      </c>
      <c r="F549" t="str">
        <f>"ACCT#00405/OIL/FUNNEL/PCT#1"</f>
        <v>ACCT#00405/OIL/FUNNEL/PCT#1</v>
      </c>
      <c r="G549" s="3">
        <v>78.599999999999994</v>
      </c>
      <c r="H549" t="str">
        <f>"ACCT#00405/OIL/FUNNEL/PCT#1"</f>
        <v>ACCT#00405/OIL/FUNNEL/PCT#1</v>
      </c>
    </row>
    <row r="550" spans="1:8" x14ac:dyDescent="0.25">
      <c r="A550" t="s">
        <v>178</v>
      </c>
      <c r="B550">
        <v>265</v>
      </c>
      <c r="C550" s="2">
        <v>78.599999999999994</v>
      </c>
      <c r="D550" s="1">
        <v>43462</v>
      </c>
      <c r="E550" t="str">
        <f>"201812125759"</f>
        <v>201812125759</v>
      </c>
      <c r="F550" t="str">
        <f>"CUST#00405/PCT#1"</f>
        <v>CUST#00405/PCT#1</v>
      </c>
      <c r="G550" s="3">
        <v>78.599999999999994</v>
      </c>
      <c r="H550" t="str">
        <f>"CUST#00405/PCT#1"</f>
        <v>CUST#00405/PCT#1</v>
      </c>
    </row>
    <row r="551" spans="1:8" x14ac:dyDescent="0.25">
      <c r="A551" t="s">
        <v>179</v>
      </c>
      <c r="B551">
        <v>79952</v>
      </c>
      <c r="C551" s="2">
        <v>8669.2800000000007</v>
      </c>
      <c r="D551" s="1">
        <v>43444</v>
      </c>
      <c r="E551" t="str">
        <f>"201811285306"</f>
        <v>201811285306</v>
      </c>
      <c r="F551" t="str">
        <f>"FCC GRANT REIMBURSEMENT"</f>
        <v>FCC GRANT REIMBURSEMENT</v>
      </c>
      <c r="G551" s="3">
        <v>8180.28</v>
      </c>
      <c r="H551" t="str">
        <f>"FCC GRANT REIMBURSEMENT"</f>
        <v>FCC GRANT REIMBURSEMENT</v>
      </c>
    </row>
    <row r="552" spans="1:8" x14ac:dyDescent="0.25">
      <c r="E552" t="str">
        <f>"201812065585"</f>
        <v>201812065585</v>
      </c>
      <c r="F552" t="str">
        <f>"SANE EXAM-CASE#18-S-05832"</f>
        <v>SANE EXAM-CASE#18-S-05832</v>
      </c>
      <c r="G552" s="3">
        <v>489</v>
      </c>
      <c r="H552" t="str">
        <f>"SANE EXAM-CASE#18-S-05832"</f>
        <v>SANE EXAM-CASE#18-S-05832</v>
      </c>
    </row>
    <row r="553" spans="1:8" x14ac:dyDescent="0.25">
      <c r="A553" t="s">
        <v>179</v>
      </c>
      <c r="B553">
        <v>80160</v>
      </c>
      <c r="C553" s="2">
        <v>1467</v>
      </c>
      <c r="D553" s="1">
        <v>43461</v>
      </c>
      <c r="E553" t="str">
        <f>"18-S-05754"</f>
        <v>18-S-05754</v>
      </c>
      <c r="F553" t="str">
        <f>"SANE EXAM 12/11/2018"</f>
        <v>SANE EXAM 12/11/2018</v>
      </c>
      <c r="G553" s="3">
        <v>489</v>
      </c>
      <c r="H553" t="str">
        <f>"SANE EXAM 12/11/2018"</f>
        <v>SANE EXAM 12/11/2018</v>
      </c>
    </row>
    <row r="554" spans="1:8" x14ac:dyDescent="0.25">
      <c r="E554" t="str">
        <f>"18-S-05754-1"</f>
        <v>18-S-05754-1</v>
      </c>
      <c r="F554" t="str">
        <f>"SANE EXAM 12/11/2018"</f>
        <v>SANE EXAM 12/11/2018</v>
      </c>
      <c r="G554" s="3">
        <v>489</v>
      </c>
      <c r="H554" t="str">
        <f>"SANE EXAM 12/11/2018"</f>
        <v>SANE EXAM 12/11/2018</v>
      </c>
    </row>
    <row r="555" spans="1:8" x14ac:dyDescent="0.25">
      <c r="E555" t="str">
        <f>"18-S-06104"</f>
        <v>18-S-06104</v>
      </c>
      <c r="F555" t="str">
        <f>"SANE EXAM 12/07/2018"</f>
        <v>SANE EXAM 12/07/2018</v>
      </c>
      <c r="G555" s="3">
        <v>489</v>
      </c>
      <c r="H555" t="str">
        <f>"SANE EXAM 12/07/2018"</f>
        <v>SANE EXAM 12/07/2018</v>
      </c>
    </row>
    <row r="556" spans="1:8" x14ac:dyDescent="0.25">
      <c r="A556" t="s">
        <v>180</v>
      </c>
      <c r="B556">
        <v>80161</v>
      </c>
      <c r="C556" s="2">
        <v>103</v>
      </c>
      <c r="D556" s="1">
        <v>43461</v>
      </c>
      <c r="E556" t="str">
        <f>"INV50185854"</f>
        <v>INV50185854</v>
      </c>
      <c r="F556" t="str">
        <f>"Deep Freeze License Renew"</f>
        <v>Deep Freeze License Renew</v>
      </c>
      <c r="G556" s="3">
        <v>103</v>
      </c>
      <c r="H556" t="str">
        <f>"DFS0.NA1LA.PL0.W01.S"</f>
        <v>DFS0.NA1LA.PL0.W01.S</v>
      </c>
    </row>
    <row r="557" spans="1:8" x14ac:dyDescent="0.25">
      <c r="E557" t="str">
        <f>""</f>
        <v/>
      </c>
      <c r="F557" t="str">
        <f>""</f>
        <v/>
      </c>
      <c r="H557" t="str">
        <f>"DFS0.NA1LA.MA1.W01.S"</f>
        <v>DFS0.NA1LA.MA1.W01.S</v>
      </c>
    </row>
    <row r="558" spans="1:8" x14ac:dyDescent="0.25">
      <c r="A558" t="s">
        <v>181</v>
      </c>
      <c r="B558">
        <v>80162</v>
      </c>
      <c r="C558" s="2">
        <v>789</v>
      </c>
      <c r="D558" s="1">
        <v>43461</v>
      </c>
      <c r="E558" t="str">
        <f>"201812195965"</f>
        <v>201812195965</v>
      </c>
      <c r="F558" t="str">
        <f>"INDIGENT HEALTH"</f>
        <v>INDIGENT HEALTH</v>
      </c>
      <c r="G558" s="3">
        <v>789</v>
      </c>
      <c r="H558" t="str">
        <f>"INDIGENT HEALTH"</f>
        <v>INDIGENT HEALTH</v>
      </c>
    </row>
    <row r="559" spans="1:8" x14ac:dyDescent="0.25">
      <c r="A559" t="s">
        <v>182</v>
      </c>
      <c r="B559">
        <v>79953</v>
      </c>
      <c r="C559" s="2">
        <v>134.12</v>
      </c>
      <c r="D559" s="1">
        <v>43444</v>
      </c>
      <c r="E559" t="str">
        <f>"6-370-06762"</f>
        <v>6-370-06762</v>
      </c>
      <c r="F559" t="str">
        <f>"ACCT#4702-9210-5/AUDITOR"</f>
        <v>ACCT#4702-9210-5/AUDITOR</v>
      </c>
      <c r="G559" s="3">
        <v>8.15</v>
      </c>
      <c r="H559" t="str">
        <f>"ACCT#4702-9210-5/AUDITOR"</f>
        <v>ACCT#4702-9210-5/AUDITOR</v>
      </c>
    </row>
    <row r="560" spans="1:8" x14ac:dyDescent="0.25">
      <c r="E560" t="str">
        <f>"6-370-16228"</f>
        <v>6-370-16228</v>
      </c>
      <c r="F560" t="str">
        <f>"ACCT#1230-5243-9/TAX OFFICE"</f>
        <v>ACCT#1230-5243-9/TAX OFFICE</v>
      </c>
      <c r="G560" s="3">
        <v>29.39</v>
      </c>
      <c r="H560" t="str">
        <f>"ACCT#1230-5243-9/TAX OFFICE"</f>
        <v>ACCT#1230-5243-9/TAX OFFICE</v>
      </c>
    </row>
    <row r="561" spans="1:9" x14ac:dyDescent="0.25">
      <c r="E561" t="str">
        <f>"6-370-19151"</f>
        <v>6-370-19151</v>
      </c>
      <c r="F561" t="str">
        <f>"INV 6-370-19151"</f>
        <v>INV 6-370-19151</v>
      </c>
      <c r="G561" s="3">
        <v>96.58</v>
      </c>
      <c r="H561" t="str">
        <f>"INV 6-370-19151"</f>
        <v>INV 6-370-19151</v>
      </c>
    </row>
    <row r="562" spans="1:9" x14ac:dyDescent="0.25">
      <c r="E562" t="str">
        <f>""</f>
        <v/>
      </c>
      <c r="F562" t="str">
        <f>""</f>
        <v/>
      </c>
      <c r="H562" t="str">
        <f>"INV 6-370-19151"</f>
        <v>INV 6-370-19151</v>
      </c>
    </row>
    <row r="563" spans="1:9" x14ac:dyDescent="0.25">
      <c r="E563" t="str">
        <f>""</f>
        <v/>
      </c>
      <c r="F563" t="str">
        <f>""</f>
        <v/>
      </c>
      <c r="H563" t="str">
        <f>"INV 6-370-19151"</f>
        <v>INV 6-370-19151</v>
      </c>
    </row>
    <row r="564" spans="1:9" x14ac:dyDescent="0.25">
      <c r="A564" t="s">
        <v>183</v>
      </c>
      <c r="B564">
        <v>80163</v>
      </c>
      <c r="C564" s="2">
        <v>12.5</v>
      </c>
      <c r="D564" s="1">
        <v>43461</v>
      </c>
      <c r="E564" t="s">
        <v>184</v>
      </c>
      <c r="F564" t="s">
        <v>185</v>
      </c>
      <c r="G564" s="3" t="str">
        <f>"RESTITUTION-KATHY PURCELL"</f>
        <v>RESTITUTION-KATHY PURCELL</v>
      </c>
      <c r="H564" t="str">
        <f>"210-0000"</f>
        <v>210-0000</v>
      </c>
      <c r="I564" t="str">
        <f>""</f>
        <v/>
      </c>
    </row>
    <row r="565" spans="1:9" x14ac:dyDescent="0.25">
      <c r="A565" t="s">
        <v>186</v>
      </c>
      <c r="B565">
        <v>79954</v>
      </c>
      <c r="C565" s="2">
        <v>187.82</v>
      </c>
      <c r="D565" s="1">
        <v>43444</v>
      </c>
      <c r="E565" t="str">
        <f>"15832664"</f>
        <v>15832664</v>
      </c>
      <c r="F565" t="str">
        <f>"ACCT#80975-001/PCT#3"</f>
        <v>ACCT#80975-001/PCT#3</v>
      </c>
      <c r="G565" s="3">
        <v>187.82</v>
      </c>
      <c r="H565" t="str">
        <f>"ACCT#80975-001/PCT#3"</f>
        <v>ACCT#80975-001/PCT#3</v>
      </c>
    </row>
    <row r="566" spans="1:9" x14ac:dyDescent="0.25">
      <c r="A566" t="s">
        <v>186</v>
      </c>
      <c r="B566">
        <v>80164</v>
      </c>
      <c r="C566" s="2">
        <v>151.9</v>
      </c>
      <c r="D566" s="1">
        <v>43461</v>
      </c>
      <c r="E566" t="str">
        <f>"16312112"</f>
        <v>16312112</v>
      </c>
      <c r="F566" t="str">
        <f>"ACCT#80975-001/PCT#3"</f>
        <v>ACCT#80975-001/PCT#3</v>
      </c>
      <c r="G566" s="3">
        <v>36.700000000000003</v>
      </c>
      <c r="H566" t="str">
        <f>"ACCT#80975-001/PCT#3"</f>
        <v>ACCT#80975-001/PCT#3</v>
      </c>
    </row>
    <row r="567" spans="1:9" x14ac:dyDescent="0.25">
      <c r="E567" t="str">
        <f>"16920379"</f>
        <v>16920379</v>
      </c>
      <c r="F567" t="str">
        <f>"BRAKE CHMBR / PCT #1"</f>
        <v>BRAKE CHMBR / PCT #1</v>
      </c>
      <c r="G567" s="3">
        <v>115.2</v>
      </c>
      <c r="H567" t="str">
        <f>"BRAKE CHMBR / PCT #1"</f>
        <v>BRAKE CHMBR / PCT #1</v>
      </c>
    </row>
    <row r="568" spans="1:9" x14ac:dyDescent="0.25">
      <c r="A568" t="s">
        <v>187</v>
      </c>
      <c r="B568">
        <v>80165</v>
      </c>
      <c r="C568" s="2">
        <v>50</v>
      </c>
      <c r="D568" s="1">
        <v>43461</v>
      </c>
      <c r="E568" t="s">
        <v>92</v>
      </c>
      <c r="F568" t="s">
        <v>188</v>
      </c>
      <c r="G568" s="3" t="str">
        <f>"RESTITUTION-DONALD CORKILL"</f>
        <v>RESTITUTION-DONALD CORKILL</v>
      </c>
      <c r="H568" t="str">
        <f>"210-0000"</f>
        <v>210-0000</v>
      </c>
      <c r="I568" t="str">
        <f>""</f>
        <v/>
      </c>
    </row>
    <row r="569" spans="1:9" x14ac:dyDescent="0.25">
      <c r="A569" t="s">
        <v>189</v>
      </c>
      <c r="B569">
        <v>250</v>
      </c>
      <c r="C569" s="2">
        <v>400</v>
      </c>
      <c r="D569" s="1">
        <v>43462</v>
      </c>
      <c r="E569" t="str">
        <f>"201812125704"</f>
        <v>201812125704</v>
      </c>
      <c r="F569" t="str">
        <f>"201704781"</f>
        <v>201704781</v>
      </c>
      <c r="G569" s="3">
        <v>400</v>
      </c>
      <c r="H569" t="str">
        <f>"201704781"</f>
        <v>201704781</v>
      </c>
    </row>
    <row r="570" spans="1:9" x14ac:dyDescent="0.25">
      <c r="A570" t="s">
        <v>190</v>
      </c>
      <c r="B570">
        <v>79955</v>
      </c>
      <c r="C570" s="2">
        <v>469.35</v>
      </c>
      <c r="D570" s="1">
        <v>43444</v>
      </c>
      <c r="E570" t="str">
        <f>"201811275289"</f>
        <v>201811275289</v>
      </c>
      <c r="F570" t="str">
        <f>"MILEAGE REIMBURSEMENT"</f>
        <v>MILEAGE REIMBURSEMENT</v>
      </c>
      <c r="G570" s="3">
        <v>330.81</v>
      </c>
      <c r="H570" t="str">
        <f>"MILEAGE REIMBURSEMENT"</f>
        <v>MILEAGE REIMBURSEMENT</v>
      </c>
    </row>
    <row r="571" spans="1:9" x14ac:dyDescent="0.25">
      <c r="E571" t="str">
        <f>"201811275290"</f>
        <v>201811275290</v>
      </c>
      <c r="F571" t="str">
        <f>"MEAL REIMBURSEMENT"</f>
        <v>MEAL REIMBURSEMENT</v>
      </c>
      <c r="G571" s="3">
        <v>127.2</v>
      </c>
      <c r="H571" t="str">
        <f>"MEAL REIMBURSEMENT"</f>
        <v>MEAL REIMBURSEMENT</v>
      </c>
    </row>
    <row r="572" spans="1:9" x14ac:dyDescent="0.25">
      <c r="E572" t="str">
        <f>"201811275291"</f>
        <v>201811275291</v>
      </c>
      <c r="F572" t="str">
        <f>"REIMBURSE-LUNCH"</f>
        <v>REIMBURSE-LUNCH</v>
      </c>
      <c r="G572" s="3">
        <v>11.34</v>
      </c>
      <c r="H572" t="str">
        <f>"REIMBURSE-LUNCH"</f>
        <v>REIMBURSE-LUNCH</v>
      </c>
    </row>
    <row r="573" spans="1:9" x14ac:dyDescent="0.25">
      <c r="A573" t="s">
        <v>191</v>
      </c>
      <c r="B573">
        <v>80166</v>
      </c>
      <c r="C573" s="2">
        <v>510</v>
      </c>
      <c r="D573" s="1">
        <v>43461</v>
      </c>
      <c r="E573" t="str">
        <f>"0903-2024-0299-376"</f>
        <v>0903-2024-0299-376</v>
      </c>
      <c r="F573" t="str">
        <f>"INV 0903  2024  0299  376"</f>
        <v>INV 0903  2024  0299  376</v>
      </c>
      <c r="G573" s="3">
        <v>510</v>
      </c>
      <c r="H573" t="str">
        <f>"INV 376"</f>
        <v>INV 376</v>
      </c>
    </row>
    <row r="574" spans="1:9" x14ac:dyDescent="0.25">
      <c r="E574" t="str">
        <f>""</f>
        <v/>
      </c>
      <c r="F574" t="str">
        <f>""</f>
        <v/>
      </c>
      <c r="H574" t="str">
        <f>"INV 0903"</f>
        <v>INV 0903</v>
      </c>
    </row>
    <row r="575" spans="1:9" x14ac:dyDescent="0.25">
      <c r="E575" t="str">
        <f>""</f>
        <v/>
      </c>
      <c r="F575" t="str">
        <f>""</f>
        <v/>
      </c>
      <c r="H575" t="str">
        <f>"INV 2024"</f>
        <v>INV 2024</v>
      </c>
    </row>
    <row r="576" spans="1:9" x14ac:dyDescent="0.25">
      <c r="E576" t="str">
        <f>""</f>
        <v/>
      </c>
      <c r="F576" t="str">
        <f>""</f>
        <v/>
      </c>
      <c r="H576" t="str">
        <f>"INV 0299"</f>
        <v>INV 0299</v>
      </c>
    </row>
    <row r="577" spans="1:8" x14ac:dyDescent="0.25">
      <c r="A577" t="s">
        <v>192</v>
      </c>
      <c r="B577">
        <v>184</v>
      </c>
      <c r="C577" s="2">
        <v>133.91999999999999</v>
      </c>
      <c r="D577" s="1">
        <v>43445</v>
      </c>
      <c r="E577" t="str">
        <f>"AP386100"</f>
        <v>AP386100</v>
      </c>
      <c r="F577" t="str">
        <f>"ACCT#3326/ANTIFREEZE/PCT#4"</f>
        <v>ACCT#3326/ANTIFREEZE/PCT#4</v>
      </c>
      <c r="G577" s="3">
        <v>133.91999999999999</v>
      </c>
      <c r="H577" t="str">
        <f>"ACCT#3326/ANTIFREEZE/PCT#4"</f>
        <v>ACCT#3326/ANTIFREEZE/PCT#4</v>
      </c>
    </row>
    <row r="578" spans="1:8" x14ac:dyDescent="0.25">
      <c r="A578" t="s">
        <v>192</v>
      </c>
      <c r="B578">
        <v>244</v>
      </c>
      <c r="C578" s="2">
        <v>412.25</v>
      </c>
      <c r="D578" s="1">
        <v>43462</v>
      </c>
      <c r="E578" t="str">
        <f>"AP387893"</f>
        <v>AP387893</v>
      </c>
      <c r="F578" t="str">
        <f>"ACCT#3324/PCT#3"</f>
        <v>ACCT#3324/PCT#3</v>
      </c>
      <c r="G578" s="3">
        <v>-20.56</v>
      </c>
      <c r="H578" t="str">
        <f>"ACCT#3324/PCT#3"</f>
        <v>ACCT#3324/PCT#3</v>
      </c>
    </row>
    <row r="579" spans="1:8" x14ac:dyDescent="0.25">
      <c r="E579" t="str">
        <f>"AP387836"</f>
        <v>AP387836</v>
      </c>
      <c r="F579" t="str">
        <f>"ACCT#3324/PCT#3"</f>
        <v>ACCT#3324/PCT#3</v>
      </c>
      <c r="G579" s="3">
        <v>251.31</v>
      </c>
      <c r="H579" t="str">
        <f>"ACCT#3324/PCT#3"</f>
        <v>ACCT#3324/PCT#3</v>
      </c>
    </row>
    <row r="580" spans="1:8" x14ac:dyDescent="0.25">
      <c r="E580" t="str">
        <f>"AP387840"</f>
        <v>AP387840</v>
      </c>
      <c r="F580" t="str">
        <f>"ACCT#3324/PCT#3"</f>
        <v>ACCT#3324/PCT#3</v>
      </c>
      <c r="G580" s="3">
        <v>37.5</v>
      </c>
      <c r="H580" t="str">
        <f>"ACCT#3324/PCT#3"</f>
        <v>ACCT#3324/PCT#3</v>
      </c>
    </row>
    <row r="581" spans="1:8" x14ac:dyDescent="0.25">
      <c r="E581" t="str">
        <f>"AP387892"</f>
        <v>AP387892</v>
      </c>
      <c r="F581" t="str">
        <f>"ACCT#3324/PCT#3"</f>
        <v>ACCT#3324/PCT#3</v>
      </c>
      <c r="G581" s="3">
        <v>95.64</v>
      </c>
      <c r="H581" t="str">
        <f>"ACCT#3324/PCT#3"</f>
        <v>ACCT#3324/PCT#3</v>
      </c>
    </row>
    <row r="582" spans="1:8" x14ac:dyDescent="0.25">
      <c r="E582" t="str">
        <f>"AP387924"</f>
        <v>AP387924</v>
      </c>
      <c r="F582" t="str">
        <f>"ACCT#3324/PCT#3"</f>
        <v>ACCT#3324/PCT#3</v>
      </c>
      <c r="G582" s="3">
        <v>48.36</v>
      </c>
      <c r="H582" t="str">
        <f>"ACCT#3324/PCT#3"</f>
        <v>ACCT#3324/PCT#3</v>
      </c>
    </row>
    <row r="583" spans="1:8" x14ac:dyDescent="0.25">
      <c r="A583" t="s">
        <v>193</v>
      </c>
      <c r="B583">
        <v>188</v>
      </c>
      <c r="C583" s="2">
        <v>170.69</v>
      </c>
      <c r="D583" s="1">
        <v>43445</v>
      </c>
      <c r="E583" t="str">
        <f>"107215"</f>
        <v>107215</v>
      </c>
      <c r="F583" t="str">
        <f>"INV GC 107215"</f>
        <v>INV GC 107215</v>
      </c>
      <c r="G583" s="3">
        <v>170.69</v>
      </c>
      <c r="H583" t="str">
        <f>"INV GC 107215"</f>
        <v>INV GC 107215</v>
      </c>
    </row>
    <row r="584" spans="1:8" x14ac:dyDescent="0.25">
      <c r="E584" t="str">
        <f>""</f>
        <v/>
      </c>
      <c r="F584" t="str">
        <f>""</f>
        <v/>
      </c>
      <c r="H584" t="str">
        <f>"INV GC 107215"</f>
        <v>INV GC 107215</v>
      </c>
    </row>
    <row r="585" spans="1:8" x14ac:dyDescent="0.25">
      <c r="E585" t="str">
        <f>""</f>
        <v/>
      </c>
      <c r="F585" t="str">
        <f>""</f>
        <v/>
      </c>
      <c r="H585" t="str">
        <f>"INV GC 107215"</f>
        <v>INV GC 107215</v>
      </c>
    </row>
    <row r="586" spans="1:8" x14ac:dyDescent="0.25">
      <c r="A586" t="s">
        <v>193</v>
      </c>
      <c r="B586">
        <v>251</v>
      </c>
      <c r="C586" s="2">
        <v>163.84</v>
      </c>
      <c r="D586" s="1">
        <v>43462</v>
      </c>
      <c r="E586" t="str">
        <f>"107267"</f>
        <v>107267</v>
      </c>
      <c r="F586" t="str">
        <f>"INV GC 107267"</f>
        <v>INV GC 107267</v>
      </c>
      <c r="G586" s="3">
        <v>81.92</v>
      </c>
      <c r="H586" t="str">
        <f>"INV GC 107267"</f>
        <v>INV GC 107267</v>
      </c>
    </row>
    <row r="587" spans="1:8" x14ac:dyDescent="0.25">
      <c r="E587" t="str">
        <f>"107268"</f>
        <v>107268</v>
      </c>
      <c r="F587" t="str">
        <f>"INV GC 107268"</f>
        <v>INV GC 107268</v>
      </c>
      <c r="G587" s="3">
        <v>40.96</v>
      </c>
      <c r="H587" t="str">
        <f>"INV GC 107268"</f>
        <v>INV GC 107268</v>
      </c>
    </row>
    <row r="588" spans="1:8" x14ac:dyDescent="0.25">
      <c r="E588" t="str">
        <f>"107317"</f>
        <v>107317</v>
      </c>
      <c r="F588" t="str">
        <f>"INV GC 107317"</f>
        <v>INV GC 107317</v>
      </c>
      <c r="G588" s="3">
        <v>40.96</v>
      </c>
      <c r="H588" t="str">
        <f>"INV GC 107317"</f>
        <v>INV GC 107317</v>
      </c>
    </row>
    <row r="589" spans="1:8" x14ac:dyDescent="0.25">
      <c r="A589" t="s">
        <v>194</v>
      </c>
      <c r="B589">
        <v>268</v>
      </c>
      <c r="C589" s="2">
        <v>144.79</v>
      </c>
      <c r="D589" s="1">
        <v>43462</v>
      </c>
      <c r="E589" t="str">
        <f>"N55935"</f>
        <v>N55935</v>
      </c>
      <c r="F589" t="str">
        <f>"INV N55935"</f>
        <v>INV N55935</v>
      </c>
      <c r="G589" s="3">
        <v>144.79</v>
      </c>
      <c r="H589" t="str">
        <f>"INV N55935"</f>
        <v>INV N55935</v>
      </c>
    </row>
    <row r="590" spans="1:8" x14ac:dyDescent="0.25">
      <c r="E590" t="str">
        <f>""</f>
        <v/>
      </c>
      <c r="F590" t="str">
        <f>""</f>
        <v/>
      </c>
      <c r="H590" t="str">
        <f>"INV N55935"</f>
        <v>INV N55935</v>
      </c>
    </row>
    <row r="591" spans="1:8" x14ac:dyDescent="0.25">
      <c r="A591" t="s">
        <v>195</v>
      </c>
      <c r="B591">
        <v>79956</v>
      </c>
      <c r="C591" s="2">
        <v>775</v>
      </c>
      <c r="D591" s="1">
        <v>43444</v>
      </c>
      <c r="E591" t="str">
        <f>"1030"</f>
        <v>1030</v>
      </c>
      <c r="F591" t="str">
        <f>"TRANSPORT-S. HARTLEY"</f>
        <v>TRANSPORT-S. HARTLEY</v>
      </c>
      <c r="G591" s="3">
        <v>350</v>
      </c>
      <c r="H591" t="str">
        <f>"TRANSPORT-S. HARTLEY"</f>
        <v>TRANSPORT-S. HARTLEY</v>
      </c>
    </row>
    <row r="592" spans="1:8" x14ac:dyDescent="0.25">
      <c r="E592" t="str">
        <f>"1045"</f>
        <v>1045</v>
      </c>
      <c r="F592" t="str">
        <f>"TRANSPORT-P.L. BURKHARDT"</f>
        <v>TRANSPORT-P.L. BURKHARDT</v>
      </c>
      <c r="G592" s="3">
        <v>425</v>
      </c>
      <c r="H592" t="str">
        <f>"TRANSPORT-P.L. BURKHARDT"</f>
        <v>TRANSPORT-P.L. BURKHARDT</v>
      </c>
    </row>
    <row r="593" spans="1:8" x14ac:dyDescent="0.25">
      <c r="A593" t="s">
        <v>196</v>
      </c>
      <c r="B593">
        <v>79957</v>
      </c>
      <c r="C593" s="2">
        <v>460</v>
      </c>
      <c r="D593" s="1">
        <v>43444</v>
      </c>
      <c r="E593" t="str">
        <f>"201811305447"</f>
        <v>201811305447</v>
      </c>
      <c r="F593" t="str">
        <f>"FERAL HOGS"</f>
        <v>FERAL HOGS</v>
      </c>
      <c r="G593" s="3">
        <v>460</v>
      </c>
      <c r="H593" t="str">
        <f>"FERAL HOGS"</f>
        <v>FERAL HOGS</v>
      </c>
    </row>
    <row r="594" spans="1:8" x14ac:dyDescent="0.25">
      <c r="A594" t="s">
        <v>197</v>
      </c>
      <c r="B594">
        <v>79958</v>
      </c>
      <c r="C594" s="2">
        <v>114.67</v>
      </c>
      <c r="D594" s="1">
        <v>43444</v>
      </c>
      <c r="E594" t="str">
        <f>"9007800726"</f>
        <v>9007800726</v>
      </c>
      <c r="F594" t="str">
        <f>"INV 9007800726"</f>
        <v>INV 9007800726</v>
      </c>
      <c r="G594" s="3">
        <v>38.409999999999997</v>
      </c>
      <c r="H594" t="str">
        <f>"INV 9007800726"</f>
        <v>INV 9007800726</v>
      </c>
    </row>
    <row r="595" spans="1:8" x14ac:dyDescent="0.25">
      <c r="E595" t="str">
        <f>"9019690370"</f>
        <v>9019690370</v>
      </c>
      <c r="F595" t="str">
        <f>"INV 9019690370"</f>
        <v>INV 9019690370</v>
      </c>
      <c r="G595" s="3">
        <v>76.260000000000005</v>
      </c>
      <c r="H595" t="str">
        <f>"INV 9019690370"</f>
        <v>INV 9019690370</v>
      </c>
    </row>
    <row r="596" spans="1:8" x14ac:dyDescent="0.25">
      <c r="A596" t="s">
        <v>198</v>
      </c>
      <c r="B596">
        <v>252</v>
      </c>
      <c r="C596" s="2">
        <v>64550.66</v>
      </c>
      <c r="D596" s="1">
        <v>43462</v>
      </c>
      <c r="E596" t="str">
        <f>"INV0684733"</f>
        <v>INV0684733</v>
      </c>
      <c r="F596" t="str">
        <f>"INV 0684733"</f>
        <v>INV 0684733</v>
      </c>
      <c r="G596" s="3">
        <v>63600</v>
      </c>
      <c r="H596" t="str">
        <f>"INV 0684733"</f>
        <v>INV 0684733</v>
      </c>
    </row>
    <row r="597" spans="1:8" x14ac:dyDescent="0.25">
      <c r="E597" t="str">
        <f>"INV0686369"</f>
        <v>INV0686369</v>
      </c>
      <c r="F597" t="str">
        <f>"INV 0686369"</f>
        <v>INV 0686369</v>
      </c>
      <c r="G597" s="3">
        <v>807.71</v>
      </c>
      <c r="H597" t="str">
        <f>"INV 0686369"</f>
        <v>INV 0686369</v>
      </c>
    </row>
    <row r="598" spans="1:8" x14ac:dyDescent="0.25">
      <c r="E598" t="str">
        <f>"INV0686584"</f>
        <v>INV0686584</v>
      </c>
      <c r="F598" t="str">
        <f>"INV 0686584"</f>
        <v>INV 0686584</v>
      </c>
      <c r="G598" s="3">
        <v>142.94999999999999</v>
      </c>
      <c r="H598" t="str">
        <f>"INV 0686584"</f>
        <v>INV 0686584</v>
      </c>
    </row>
    <row r="599" spans="1:8" x14ac:dyDescent="0.25">
      <c r="A599" t="s">
        <v>199</v>
      </c>
      <c r="B599">
        <v>80299</v>
      </c>
      <c r="C599" s="2">
        <v>55</v>
      </c>
      <c r="D599" s="1">
        <v>43465</v>
      </c>
      <c r="E599" t="str">
        <f>"201812316070"</f>
        <v>201812316070</v>
      </c>
      <c r="F599" t="str">
        <f>"SUIT NO 7400 / SERVICE"</f>
        <v>SUIT NO 7400 / SERVICE</v>
      </c>
      <c r="G599" s="3">
        <v>55</v>
      </c>
      <c r="H599" t="str">
        <f>"SUIT NO 7400 / SERVICE"</f>
        <v>SUIT NO 7400 / SERVICE</v>
      </c>
    </row>
    <row r="600" spans="1:8" x14ac:dyDescent="0.25">
      <c r="A600" t="s">
        <v>200</v>
      </c>
      <c r="B600">
        <v>202</v>
      </c>
      <c r="C600" s="2">
        <v>404.58</v>
      </c>
      <c r="D600" s="1">
        <v>43445</v>
      </c>
      <c r="E600" t="str">
        <f>"1589798"</f>
        <v>1589798</v>
      </c>
      <c r="F600" t="str">
        <f>"Inv# 1589798"</f>
        <v>Inv# 1589798</v>
      </c>
      <c r="G600" s="3">
        <v>404.58</v>
      </c>
      <c r="H600" t="str">
        <f>"Inv# 1589798"</f>
        <v>Inv# 1589798</v>
      </c>
    </row>
    <row r="601" spans="1:8" x14ac:dyDescent="0.25">
      <c r="A601" t="s">
        <v>200</v>
      </c>
      <c r="B601">
        <v>266</v>
      </c>
      <c r="C601" s="2">
        <v>4165.75</v>
      </c>
      <c r="D601" s="1">
        <v>43462</v>
      </c>
      <c r="E601" t="str">
        <f>"1598695"</f>
        <v>1598695</v>
      </c>
      <c r="F601" t="str">
        <f>"INV 1598695"</f>
        <v>INV 1598695</v>
      </c>
      <c r="G601" s="3">
        <v>2309.1</v>
      </c>
      <c r="H601" t="str">
        <f>"INV 1598695"</f>
        <v>INV 1598695</v>
      </c>
    </row>
    <row r="602" spans="1:8" x14ac:dyDescent="0.25">
      <c r="E602" t="str">
        <f>"1602314"</f>
        <v>1602314</v>
      </c>
      <c r="F602" t="str">
        <f>"GULF COAST PAPER CO. INC."</f>
        <v>GULF COAST PAPER CO. INC.</v>
      </c>
      <c r="G602" s="3">
        <v>1856.65</v>
      </c>
      <c r="H602" t="str">
        <f>"GP89480"</f>
        <v>GP89480</v>
      </c>
    </row>
    <row r="603" spans="1:8" x14ac:dyDescent="0.25">
      <c r="E603" t="str">
        <f>""</f>
        <v/>
      </c>
      <c r="F603" t="str">
        <f>""</f>
        <v/>
      </c>
      <c r="H603" t="str">
        <f>"PG19375"</f>
        <v>PG19375</v>
      </c>
    </row>
    <row r="604" spans="1:8" x14ac:dyDescent="0.25">
      <c r="E604" t="str">
        <f>""</f>
        <v/>
      </c>
      <c r="F604" t="str">
        <f>""</f>
        <v/>
      </c>
      <c r="H604" t="str">
        <f>"GP42714"</f>
        <v>GP42714</v>
      </c>
    </row>
    <row r="605" spans="1:8" x14ac:dyDescent="0.25">
      <c r="E605" t="str">
        <f>""</f>
        <v/>
      </c>
      <c r="F605" t="str">
        <f>""</f>
        <v/>
      </c>
      <c r="H605" t="str">
        <f>"63CL"</f>
        <v>63CL</v>
      </c>
    </row>
    <row r="606" spans="1:8" x14ac:dyDescent="0.25">
      <c r="E606" t="str">
        <f>""</f>
        <v/>
      </c>
      <c r="F606" t="str">
        <f>""</f>
        <v/>
      </c>
      <c r="H606" t="str">
        <f>"32ROUNDC"</f>
        <v>32ROUNDC</v>
      </c>
    </row>
    <row r="607" spans="1:8" x14ac:dyDescent="0.25">
      <c r="E607" t="str">
        <f>""</f>
        <v/>
      </c>
      <c r="F607" t="str">
        <f>""</f>
        <v/>
      </c>
      <c r="H607" t="str">
        <f>"13TOFFC"</f>
        <v>13TOFFC</v>
      </c>
    </row>
    <row r="608" spans="1:8" x14ac:dyDescent="0.25">
      <c r="E608" t="str">
        <f>""</f>
        <v/>
      </c>
      <c r="F608" t="str">
        <f>""</f>
        <v/>
      </c>
      <c r="H608" t="str">
        <f>"GP12798"</f>
        <v>GP12798</v>
      </c>
    </row>
    <row r="609" spans="1:8" x14ac:dyDescent="0.25">
      <c r="E609" t="str">
        <f>""</f>
        <v/>
      </c>
      <c r="F609" t="str">
        <f>""</f>
        <v/>
      </c>
      <c r="H609" t="str">
        <f>"MGH6"</f>
        <v>MGH6</v>
      </c>
    </row>
    <row r="610" spans="1:8" x14ac:dyDescent="0.25">
      <c r="E610" t="str">
        <f>""</f>
        <v/>
      </c>
      <c r="F610" t="str">
        <f>""</f>
        <v/>
      </c>
      <c r="H610" t="str">
        <f>"A11203"</f>
        <v>A11203</v>
      </c>
    </row>
    <row r="611" spans="1:8" x14ac:dyDescent="0.25">
      <c r="E611" t="str">
        <f>""</f>
        <v/>
      </c>
      <c r="F611" t="str">
        <f>""</f>
        <v/>
      </c>
      <c r="H611" t="str">
        <f>"GP20389"</f>
        <v>GP20389</v>
      </c>
    </row>
    <row r="612" spans="1:8" x14ac:dyDescent="0.25">
      <c r="E612" t="str">
        <f>""</f>
        <v/>
      </c>
      <c r="F612" t="str">
        <f>""</f>
        <v/>
      </c>
      <c r="H612" t="str">
        <f>"CREWBOWLCLN"</f>
        <v>CREWBOWLCLN</v>
      </c>
    </row>
    <row r="613" spans="1:8" x14ac:dyDescent="0.25">
      <c r="E613" t="str">
        <f>""</f>
        <v/>
      </c>
      <c r="F613" t="str">
        <f>""</f>
        <v/>
      </c>
      <c r="H613" t="str">
        <f>"BWKGEMHMI"</f>
        <v>BWKGEMHMI</v>
      </c>
    </row>
    <row r="614" spans="1:8" x14ac:dyDescent="0.25">
      <c r="E614" t="str">
        <f>""</f>
        <v/>
      </c>
      <c r="F614" t="str">
        <f>""</f>
        <v/>
      </c>
      <c r="H614" t="str">
        <f>"BWKGEMSAP"</f>
        <v>BWKGEMSAP</v>
      </c>
    </row>
    <row r="615" spans="1:8" x14ac:dyDescent="0.25">
      <c r="E615" t="str">
        <f>""</f>
        <v/>
      </c>
      <c r="F615" t="str">
        <f>""</f>
        <v/>
      </c>
      <c r="H615" t="str">
        <f>"BCFAB"</f>
        <v>BCFAB</v>
      </c>
    </row>
    <row r="616" spans="1:8" x14ac:dyDescent="0.25">
      <c r="E616" t="str">
        <f>""</f>
        <v/>
      </c>
      <c r="F616" t="str">
        <f>""</f>
        <v/>
      </c>
      <c r="H616" t="str">
        <f>"BCCM"</f>
        <v>BCCM</v>
      </c>
    </row>
    <row r="617" spans="1:8" x14ac:dyDescent="0.25">
      <c r="E617" t="str">
        <f>""</f>
        <v/>
      </c>
      <c r="F617" t="str">
        <f>""</f>
        <v/>
      </c>
      <c r="H617" t="str">
        <f>"DVO04437"</f>
        <v>DVO04437</v>
      </c>
    </row>
    <row r="618" spans="1:8" x14ac:dyDescent="0.25">
      <c r="A618" t="s">
        <v>201</v>
      </c>
      <c r="B618">
        <v>80167</v>
      </c>
      <c r="C618" s="2">
        <v>86.54</v>
      </c>
      <c r="D618" s="1">
        <v>43461</v>
      </c>
      <c r="E618" t="str">
        <f>"201812135819"</f>
        <v>201812135819</v>
      </c>
      <c r="F618" t="str">
        <f>"REIMBURSEMENT-JACKET/PCT#1"</f>
        <v>REIMBURSEMENT-JACKET/PCT#1</v>
      </c>
      <c r="G618" s="3">
        <v>86.54</v>
      </c>
      <c r="H618" t="str">
        <f>"REIMBURSEMENT-JACKET/PCT#1"</f>
        <v>REIMBURSEMENT-JACKET/PCT#1</v>
      </c>
    </row>
    <row r="619" spans="1:8" x14ac:dyDescent="0.25">
      <c r="A619" t="s">
        <v>202</v>
      </c>
      <c r="B619">
        <v>79959</v>
      </c>
      <c r="C619" s="2">
        <v>1425</v>
      </c>
      <c r="D619" s="1">
        <v>43444</v>
      </c>
      <c r="E619" t="str">
        <f>"00018098"</f>
        <v>00018098</v>
      </c>
      <c r="F619" t="str">
        <f>"PROJ#033387.005/PCT#3"</f>
        <v>PROJ#033387.005/PCT#3</v>
      </c>
      <c r="G619" s="3">
        <v>455</v>
      </c>
      <c r="H619" t="str">
        <f>"PROJ#033387.005/PCT#3"</f>
        <v>PROJ#033387.005/PCT#3</v>
      </c>
    </row>
    <row r="620" spans="1:8" x14ac:dyDescent="0.25">
      <c r="E620" t="str">
        <f>"00018099"</f>
        <v>00018099</v>
      </c>
      <c r="F620" t="str">
        <f>"PROJ#033387.006/ENGINEERING SV"</f>
        <v>PROJ#033387.006/ENGINEERING SV</v>
      </c>
      <c r="G620" s="3">
        <v>455</v>
      </c>
      <c r="H620" t="str">
        <f>"PROJ#033387.006/ENGINEERING SV"</f>
        <v>PROJ#033387.006/ENGINEERING SV</v>
      </c>
    </row>
    <row r="621" spans="1:8" x14ac:dyDescent="0.25">
      <c r="E621" t="str">
        <f>"00018100"</f>
        <v>00018100</v>
      </c>
      <c r="F621" t="str">
        <f>"PROJ#033387.007/PCT#3"</f>
        <v>PROJ#033387.007/PCT#3</v>
      </c>
      <c r="G621" s="3">
        <v>515</v>
      </c>
      <c r="H621" t="str">
        <f>"PROJ#033387.007/PCT#3"</f>
        <v>PROJ#033387.007/PCT#3</v>
      </c>
    </row>
    <row r="622" spans="1:8" x14ac:dyDescent="0.25">
      <c r="A622" t="s">
        <v>202</v>
      </c>
      <c r="B622">
        <v>80168</v>
      </c>
      <c r="C622" s="2">
        <v>3230</v>
      </c>
      <c r="D622" s="1">
        <v>43461</v>
      </c>
      <c r="E622" t="str">
        <f>"00018964"</f>
        <v>00018964</v>
      </c>
      <c r="F622" t="str">
        <f>"PROJ#032285.006/PCT#2"</f>
        <v>PROJ#032285.006/PCT#2</v>
      </c>
      <c r="G622" s="3">
        <v>3230</v>
      </c>
      <c r="H622" t="str">
        <f>"PROJ#032285.006/PCT#2"</f>
        <v>PROJ#032285.006/PCT#2</v>
      </c>
    </row>
    <row r="623" spans="1:8" x14ac:dyDescent="0.25">
      <c r="A623" t="s">
        <v>203</v>
      </c>
      <c r="B623">
        <v>189</v>
      </c>
      <c r="C623" s="2">
        <v>165.82</v>
      </c>
      <c r="D623" s="1">
        <v>43445</v>
      </c>
      <c r="E623" t="str">
        <f>"557370"</f>
        <v>557370</v>
      </c>
      <c r="F623" t="str">
        <f>"557370"</f>
        <v>557370</v>
      </c>
      <c r="G623" s="3">
        <v>165.82</v>
      </c>
      <c r="H623" t="str">
        <f>"557370"</f>
        <v>557370</v>
      </c>
    </row>
    <row r="624" spans="1:8" x14ac:dyDescent="0.25">
      <c r="A624" t="s">
        <v>204</v>
      </c>
      <c r="B624">
        <v>80169</v>
      </c>
      <c r="C624" s="2">
        <v>481</v>
      </c>
      <c r="D624" s="1">
        <v>43461</v>
      </c>
      <c r="E624" t="str">
        <f>"000268545"</f>
        <v>000268545</v>
      </c>
      <c r="F624" t="str">
        <f>"ACCT#BAS0001/PCT#3"</f>
        <v>ACCT#BAS0001/PCT#3</v>
      </c>
      <c r="G624" s="3">
        <v>481</v>
      </c>
      <c r="H624" t="str">
        <f>"ACCT#BAS0001/PCT#3"</f>
        <v>ACCT#BAS0001/PCT#3</v>
      </c>
    </row>
    <row r="625" spans="1:9" x14ac:dyDescent="0.25">
      <c r="A625" t="s">
        <v>205</v>
      </c>
      <c r="B625">
        <v>79960</v>
      </c>
      <c r="C625" s="2">
        <v>366.95</v>
      </c>
      <c r="D625" s="1">
        <v>43444</v>
      </c>
      <c r="E625" t="str">
        <f>"61884"</f>
        <v>61884</v>
      </c>
      <c r="F625" t="str">
        <f>"Headset base &amp; remote PTT"</f>
        <v>Headset base &amp; remote PTT</v>
      </c>
      <c r="G625" s="3">
        <v>366.95</v>
      </c>
      <c r="H625" t="str">
        <f>"1CA12CD-S"</f>
        <v>1CA12CD-S</v>
      </c>
    </row>
    <row r="626" spans="1:9" x14ac:dyDescent="0.25">
      <c r="E626" t="str">
        <f>""</f>
        <v/>
      </c>
      <c r="F626" t="str">
        <f>""</f>
        <v/>
      </c>
      <c r="H626" t="str">
        <f>"Freight"</f>
        <v>Freight</v>
      </c>
    </row>
    <row r="627" spans="1:9" x14ac:dyDescent="0.25">
      <c r="A627" t="s">
        <v>206</v>
      </c>
      <c r="B627">
        <v>79961</v>
      </c>
      <c r="C627" s="2">
        <v>628.97</v>
      </c>
      <c r="D627" s="1">
        <v>43444</v>
      </c>
      <c r="E627" t="str">
        <f>"PJ21151"</f>
        <v>PJ21151</v>
      </c>
      <c r="F627" t="str">
        <f>"ACCT#68930/ANIMAL SERVICES"</f>
        <v>ACCT#68930/ANIMAL SERVICES</v>
      </c>
      <c r="G627" s="3">
        <v>21.96</v>
      </c>
      <c r="H627" t="str">
        <f>"ACCT#68930/ANIMAL SERVICES"</f>
        <v>ACCT#68930/ANIMAL SERVICES</v>
      </c>
    </row>
    <row r="628" spans="1:9" x14ac:dyDescent="0.25">
      <c r="E628" t="str">
        <f>"PJ40091"</f>
        <v>PJ40091</v>
      </c>
      <c r="F628" t="str">
        <f>"ACCT#68930/ANIMAL SERVICES"</f>
        <v>ACCT#68930/ANIMAL SERVICES</v>
      </c>
      <c r="G628" s="3">
        <v>158.84</v>
      </c>
      <c r="H628" t="str">
        <f>"ACCT#68930/ANIMAL SERVICES"</f>
        <v>ACCT#68930/ANIMAL SERVICES</v>
      </c>
    </row>
    <row r="629" spans="1:9" x14ac:dyDescent="0.25">
      <c r="E629" t="str">
        <f>"PK12047"</f>
        <v>PK12047</v>
      </c>
      <c r="F629" t="str">
        <f>"ACCT#68930/ANIMAL SERVICES"</f>
        <v>ACCT#68930/ANIMAL SERVICES</v>
      </c>
      <c r="G629" s="3">
        <v>448.17</v>
      </c>
      <c r="H629" t="str">
        <f>"ACCT#68930/ANIMAL SERVICES"</f>
        <v>ACCT#68930/ANIMAL SERVICES</v>
      </c>
    </row>
    <row r="630" spans="1:9" x14ac:dyDescent="0.25">
      <c r="E630" t="str">
        <f>""</f>
        <v/>
      </c>
      <c r="F630" t="str">
        <f>""</f>
        <v/>
      </c>
      <c r="H630" t="str">
        <f>"ACCT#68930/ANIMAL SERVICES"</f>
        <v>ACCT#68930/ANIMAL SERVICES</v>
      </c>
    </row>
    <row r="631" spans="1:9" x14ac:dyDescent="0.25">
      <c r="A631" t="s">
        <v>206</v>
      </c>
      <c r="B631">
        <v>80170</v>
      </c>
      <c r="C631" s="2">
        <v>186.93</v>
      </c>
      <c r="D631" s="1">
        <v>43461</v>
      </c>
      <c r="E631" t="str">
        <f>"PL66647"</f>
        <v>PL66647</v>
      </c>
      <c r="F631" t="str">
        <f>"ACCT#68930/ANIMAL SHELTER"</f>
        <v>ACCT#68930/ANIMAL SHELTER</v>
      </c>
      <c r="G631" s="3">
        <v>146.4</v>
      </c>
      <c r="H631" t="str">
        <f>"ACCT#68930/ANIMAL SHELTER"</f>
        <v>ACCT#68930/ANIMAL SHELTER</v>
      </c>
    </row>
    <row r="632" spans="1:9" x14ac:dyDescent="0.25">
      <c r="E632" t="str">
        <f>"PL69188"</f>
        <v>PL69188</v>
      </c>
      <c r="F632" t="str">
        <f>"ACCT#68930/ANIMAL SHELTER"</f>
        <v>ACCT#68930/ANIMAL SHELTER</v>
      </c>
      <c r="G632" s="3">
        <v>40.53</v>
      </c>
      <c r="H632" t="str">
        <f>"ACCT#68930/ANIMAL SHELTER"</f>
        <v>ACCT#68930/ANIMAL SHELTER</v>
      </c>
    </row>
    <row r="633" spans="1:9" x14ac:dyDescent="0.25">
      <c r="A633" t="s">
        <v>207</v>
      </c>
      <c r="B633">
        <v>79962</v>
      </c>
      <c r="C633" s="2">
        <v>213.54</v>
      </c>
      <c r="D633" s="1">
        <v>43444</v>
      </c>
      <c r="E633" t="str">
        <f>"0005378556-IN"</f>
        <v>0005378556-IN</v>
      </c>
      <c r="F633" t="str">
        <f>"INV 0005378556-IN"</f>
        <v>INV 0005378556-IN</v>
      </c>
      <c r="G633" s="3">
        <v>213.54</v>
      </c>
      <c r="H633" t="str">
        <f>"INV 0005378556-IN"</f>
        <v>INV 0005378556-IN</v>
      </c>
    </row>
    <row r="634" spans="1:9" x14ac:dyDescent="0.25">
      <c r="A634" t="s">
        <v>208</v>
      </c>
      <c r="B634">
        <v>80171</v>
      </c>
      <c r="C634" s="2">
        <v>100</v>
      </c>
      <c r="D634" s="1">
        <v>43461</v>
      </c>
      <c r="E634" t="s">
        <v>209</v>
      </c>
      <c r="F634" t="s">
        <v>210</v>
      </c>
      <c r="G634" s="3" t="str">
        <f>"RESTITUTION-MICHAEL FELTS"</f>
        <v>RESTITUTION-MICHAEL FELTS</v>
      </c>
      <c r="H634" t="str">
        <f>"210-0000"</f>
        <v>210-0000</v>
      </c>
      <c r="I634" t="str">
        <f>""</f>
        <v/>
      </c>
    </row>
    <row r="635" spans="1:9" x14ac:dyDescent="0.25">
      <c r="A635" t="s">
        <v>211</v>
      </c>
      <c r="B635">
        <v>80172</v>
      </c>
      <c r="C635" s="2">
        <v>837.5</v>
      </c>
      <c r="D635" s="1">
        <v>43461</v>
      </c>
      <c r="E635" t="str">
        <f>"201812145825"</f>
        <v>201812145825</v>
      </c>
      <c r="F635" t="str">
        <f>"HERTZ CORPORATION"</f>
        <v>HERTZ CORPORATION</v>
      </c>
      <c r="G635" s="3">
        <v>837.5</v>
      </c>
      <c r="H635" t="str">
        <f>"Truck Rental"</f>
        <v>Truck Rental</v>
      </c>
    </row>
    <row r="636" spans="1:9" x14ac:dyDescent="0.25">
      <c r="E636" t="str">
        <f>""</f>
        <v/>
      </c>
      <c r="F636" t="str">
        <f>""</f>
        <v/>
      </c>
      <c r="H636" t="str">
        <f>"Truck Rental"</f>
        <v>Truck Rental</v>
      </c>
    </row>
    <row r="637" spans="1:9" x14ac:dyDescent="0.25">
      <c r="E637" t="str">
        <f>""</f>
        <v/>
      </c>
      <c r="F637" t="str">
        <f>""</f>
        <v/>
      </c>
      <c r="H637" t="str">
        <f>"Truck Rental"</f>
        <v>Truck Rental</v>
      </c>
    </row>
    <row r="638" spans="1:9" x14ac:dyDescent="0.25">
      <c r="E638" t="str">
        <f>""</f>
        <v/>
      </c>
      <c r="F638" t="str">
        <f>""</f>
        <v/>
      </c>
      <c r="H638" t="str">
        <f>"Truck Rental"</f>
        <v>Truck Rental</v>
      </c>
    </row>
    <row r="639" spans="1:9" x14ac:dyDescent="0.25">
      <c r="A639" t="s">
        <v>212</v>
      </c>
      <c r="B639">
        <v>253</v>
      </c>
      <c r="C639" s="2">
        <v>650</v>
      </c>
      <c r="D639" s="1">
        <v>43462</v>
      </c>
      <c r="E639" t="str">
        <f>"201812195948"</f>
        <v>201812195948</v>
      </c>
      <c r="F639" t="str">
        <f>"JANUARY SERVICE"</f>
        <v>JANUARY SERVICE</v>
      </c>
      <c r="G639" s="3">
        <v>650</v>
      </c>
      <c r="H639" t="str">
        <f>""</f>
        <v/>
      </c>
    </row>
    <row r="640" spans="1:9" x14ac:dyDescent="0.25">
      <c r="A640" t="s">
        <v>213</v>
      </c>
      <c r="B640">
        <v>79963</v>
      </c>
      <c r="C640" s="2">
        <v>675</v>
      </c>
      <c r="D640" s="1">
        <v>43444</v>
      </c>
      <c r="E640" t="str">
        <f>"201811305431"</f>
        <v>201811305431</v>
      </c>
      <c r="F640" t="str">
        <f>"17-18635"</f>
        <v>17-18635</v>
      </c>
      <c r="G640" s="3">
        <v>175</v>
      </c>
      <c r="H640" t="str">
        <f>"17-18635"</f>
        <v>17-18635</v>
      </c>
    </row>
    <row r="641" spans="1:8" x14ac:dyDescent="0.25">
      <c r="E641" t="str">
        <f>"201812045548"</f>
        <v>201812045548</v>
      </c>
      <c r="F641" t="str">
        <f>"56 443"</f>
        <v>56 443</v>
      </c>
      <c r="G641" s="3">
        <v>250</v>
      </c>
      <c r="H641" t="str">
        <f>"56 443"</f>
        <v>56 443</v>
      </c>
    </row>
    <row r="642" spans="1:8" x14ac:dyDescent="0.25">
      <c r="E642" t="str">
        <f>"201812045549"</f>
        <v>201812045549</v>
      </c>
      <c r="F642" t="str">
        <f>"55 843"</f>
        <v>55 843</v>
      </c>
      <c r="G642" s="3">
        <v>250</v>
      </c>
      <c r="H642" t="str">
        <f>"55 843"</f>
        <v>55 843</v>
      </c>
    </row>
    <row r="643" spans="1:8" x14ac:dyDescent="0.25">
      <c r="A643" t="s">
        <v>213</v>
      </c>
      <c r="B643">
        <v>80173</v>
      </c>
      <c r="C643" s="2">
        <v>1750</v>
      </c>
      <c r="D643" s="1">
        <v>43461</v>
      </c>
      <c r="E643" t="str">
        <f>"201812115692"</f>
        <v>201812115692</v>
      </c>
      <c r="F643" t="str">
        <f>"55780"</f>
        <v>55780</v>
      </c>
      <c r="G643" s="3">
        <v>250</v>
      </c>
      <c r="H643" t="str">
        <f>"55780"</f>
        <v>55780</v>
      </c>
    </row>
    <row r="644" spans="1:8" x14ac:dyDescent="0.25">
      <c r="E644" t="str">
        <f>"201812185894"</f>
        <v>201812185894</v>
      </c>
      <c r="F644" t="str">
        <f>"J-3152"</f>
        <v>J-3152</v>
      </c>
      <c r="G644" s="3">
        <v>100</v>
      </c>
      <c r="H644" t="str">
        <f>"J-3152"</f>
        <v>J-3152</v>
      </c>
    </row>
    <row r="645" spans="1:8" x14ac:dyDescent="0.25">
      <c r="E645" t="str">
        <f>"201812185895"</f>
        <v>201812185895</v>
      </c>
      <c r="F645" t="str">
        <f>"NO CAUSE # LISTED"</f>
        <v>NO CAUSE # LISTED</v>
      </c>
      <c r="G645" s="3">
        <v>100</v>
      </c>
      <c r="H645" t="str">
        <f>"NO CAUSE # LISTED"</f>
        <v>NO CAUSE # LISTED</v>
      </c>
    </row>
    <row r="646" spans="1:8" x14ac:dyDescent="0.25">
      <c r="E646" t="str">
        <f>"201812185897"</f>
        <v>201812185897</v>
      </c>
      <c r="F646" t="str">
        <f>"NO CAUSE # LISTED"</f>
        <v>NO CAUSE # LISTED</v>
      </c>
      <c r="G646" s="3">
        <v>100</v>
      </c>
      <c r="H646" t="str">
        <f>"NO CAUSE # LISTED"</f>
        <v>NO CAUSE # LISTED</v>
      </c>
    </row>
    <row r="647" spans="1:8" x14ac:dyDescent="0.25">
      <c r="E647" t="str">
        <f>"201812185899"</f>
        <v>201812185899</v>
      </c>
      <c r="F647" t="str">
        <f>"18-18864"</f>
        <v>18-18864</v>
      </c>
      <c r="G647" s="3">
        <v>175</v>
      </c>
      <c r="H647" t="str">
        <f>"18-18864"</f>
        <v>18-18864</v>
      </c>
    </row>
    <row r="648" spans="1:8" x14ac:dyDescent="0.25">
      <c r="E648" t="str">
        <f>"201812185900"</f>
        <v>201812185900</v>
      </c>
      <c r="F648" t="str">
        <f>"18-19299"</f>
        <v>18-19299</v>
      </c>
      <c r="G648" s="3">
        <v>175</v>
      </c>
      <c r="H648" t="str">
        <f>"18-19299"</f>
        <v>18-19299</v>
      </c>
    </row>
    <row r="649" spans="1:8" x14ac:dyDescent="0.25">
      <c r="E649" t="str">
        <f>"201812185901"</f>
        <v>201812185901</v>
      </c>
      <c r="F649" t="str">
        <f>"06-11142"</f>
        <v>06-11142</v>
      </c>
      <c r="G649" s="3">
        <v>100</v>
      </c>
      <c r="H649" t="str">
        <f>"06-11142"</f>
        <v>06-11142</v>
      </c>
    </row>
    <row r="650" spans="1:8" x14ac:dyDescent="0.25">
      <c r="E650" t="str">
        <f>"201812195927"</f>
        <v>201812195927</v>
      </c>
      <c r="F650" t="str">
        <f>"56 263 / 100118-121318"</f>
        <v>56 263 / 100118-121318</v>
      </c>
      <c r="G650" s="3">
        <v>250</v>
      </c>
      <c r="H650" t="str">
        <f>"56 263 / 100118-121318"</f>
        <v>56 263 / 100118-121318</v>
      </c>
    </row>
    <row r="651" spans="1:8" x14ac:dyDescent="0.25">
      <c r="E651" t="str">
        <f>"201812195928"</f>
        <v>201812195928</v>
      </c>
      <c r="F651" t="str">
        <f>"56 030 / 100118-121318"</f>
        <v>56 030 / 100118-121318</v>
      </c>
      <c r="G651" s="3">
        <v>250</v>
      </c>
      <c r="H651" t="str">
        <f>"56 030 / 100118-121318"</f>
        <v>56 030 / 100118-121318</v>
      </c>
    </row>
    <row r="652" spans="1:8" x14ac:dyDescent="0.25">
      <c r="E652" t="str">
        <f>"201812195929"</f>
        <v>201812195929</v>
      </c>
      <c r="F652" t="str">
        <f>"56 235 / 100118-121318"</f>
        <v>56 235 / 100118-121318</v>
      </c>
      <c r="G652" s="3">
        <v>250</v>
      </c>
      <c r="H652" t="str">
        <f>"56 235 / 100118-121318"</f>
        <v>56 235 / 100118-121318</v>
      </c>
    </row>
    <row r="653" spans="1:8" x14ac:dyDescent="0.25">
      <c r="A653" t="s">
        <v>214</v>
      </c>
      <c r="B653">
        <v>80174</v>
      </c>
      <c r="C653" s="2">
        <v>225</v>
      </c>
      <c r="D653" s="1">
        <v>43461</v>
      </c>
      <c r="E653" t="str">
        <f>"201812195945"</f>
        <v>201812195945</v>
      </c>
      <c r="F653" t="str">
        <f>"PER DIEM"</f>
        <v>PER DIEM</v>
      </c>
      <c r="G653" s="3">
        <v>225</v>
      </c>
      <c r="H653" t="str">
        <f>"PER DIEM"</f>
        <v>PER DIEM</v>
      </c>
    </row>
    <row r="654" spans="1:8" x14ac:dyDescent="0.25">
      <c r="A654" t="s">
        <v>215</v>
      </c>
      <c r="B654">
        <v>80175</v>
      </c>
      <c r="C654" s="2">
        <v>294.13</v>
      </c>
      <c r="D654" s="1">
        <v>43461</v>
      </c>
      <c r="E654" t="str">
        <f>"PIKP0080561"</f>
        <v>PIKP0080561</v>
      </c>
      <c r="F654" t="str">
        <f>"CUST#0129150/PCT#3"</f>
        <v>CUST#0129150/PCT#3</v>
      </c>
      <c r="G654" s="3">
        <v>294.13</v>
      </c>
      <c r="H654" t="str">
        <f>"CUST#0129150/PCT#3"</f>
        <v>CUST#0129150/PCT#3</v>
      </c>
    </row>
    <row r="655" spans="1:8" x14ac:dyDescent="0.25">
      <c r="A655" t="s">
        <v>216</v>
      </c>
      <c r="B655">
        <v>79964</v>
      </c>
      <c r="C655" s="2">
        <v>5509.54</v>
      </c>
      <c r="D655" s="1">
        <v>43444</v>
      </c>
      <c r="E655" t="str">
        <f>"201812045562"</f>
        <v>201812045562</v>
      </c>
      <c r="F655" t="str">
        <f>"Acct# 3780"</f>
        <v>Acct# 3780</v>
      </c>
      <c r="G655" s="3">
        <v>5509.54</v>
      </c>
      <c r="H655" t="str">
        <f>"Inv# 904867"</f>
        <v>Inv# 904867</v>
      </c>
    </row>
    <row r="656" spans="1:8" x14ac:dyDescent="0.25">
      <c r="E656" t="str">
        <f>""</f>
        <v/>
      </c>
      <c r="F656" t="str">
        <f>""</f>
        <v/>
      </c>
      <c r="H656" t="str">
        <f>"Inv# 6026808"</f>
        <v>Inv# 6026808</v>
      </c>
    </row>
    <row r="657" spans="5:8" x14ac:dyDescent="0.25">
      <c r="E657" t="str">
        <f>""</f>
        <v/>
      </c>
      <c r="F657" t="str">
        <f>""</f>
        <v/>
      </c>
      <c r="H657" t="str">
        <f>"Inv# 6561386"</f>
        <v>Inv# 6561386</v>
      </c>
    </row>
    <row r="658" spans="5:8" x14ac:dyDescent="0.25">
      <c r="E658" t="str">
        <f>""</f>
        <v/>
      </c>
      <c r="F658" t="str">
        <f>""</f>
        <v/>
      </c>
      <c r="H658" t="str">
        <f>"Inv# 6561387"</f>
        <v>Inv# 6561387</v>
      </c>
    </row>
    <row r="659" spans="5:8" x14ac:dyDescent="0.25">
      <c r="E659" t="str">
        <f>""</f>
        <v/>
      </c>
      <c r="F659" t="str">
        <f>""</f>
        <v/>
      </c>
      <c r="H659" t="str">
        <f>"Inv# 2527951"</f>
        <v>Inv# 2527951</v>
      </c>
    </row>
    <row r="660" spans="5:8" x14ac:dyDescent="0.25">
      <c r="E660" t="str">
        <f>""</f>
        <v/>
      </c>
      <c r="F660" t="str">
        <f>""</f>
        <v/>
      </c>
      <c r="H660" t="str">
        <f>"Inv# 9027583"</f>
        <v>Inv# 9027583</v>
      </c>
    </row>
    <row r="661" spans="5:8" x14ac:dyDescent="0.25">
      <c r="E661" t="str">
        <f>""</f>
        <v/>
      </c>
      <c r="F661" t="str">
        <f>""</f>
        <v/>
      </c>
      <c r="H661" t="str">
        <f>"Inv# 9027584"</f>
        <v>Inv# 9027584</v>
      </c>
    </row>
    <row r="662" spans="5:8" x14ac:dyDescent="0.25">
      <c r="E662" t="str">
        <f>""</f>
        <v/>
      </c>
      <c r="F662" t="str">
        <f>""</f>
        <v/>
      </c>
      <c r="H662" t="str">
        <f>"Inv# 9027587"</f>
        <v>Inv# 9027587</v>
      </c>
    </row>
    <row r="663" spans="5:8" x14ac:dyDescent="0.25">
      <c r="E663" t="str">
        <f>""</f>
        <v/>
      </c>
      <c r="F663" t="str">
        <f>""</f>
        <v/>
      </c>
      <c r="H663" t="str">
        <f>"Inv# 9728668"</f>
        <v>Inv# 9728668</v>
      </c>
    </row>
    <row r="664" spans="5:8" x14ac:dyDescent="0.25">
      <c r="E664" t="str">
        <f>""</f>
        <v/>
      </c>
      <c r="F664" t="str">
        <f>""</f>
        <v/>
      </c>
      <c r="H664" t="str">
        <f>"Inv# 10206969"</f>
        <v>Inv# 10206969</v>
      </c>
    </row>
    <row r="665" spans="5:8" x14ac:dyDescent="0.25">
      <c r="E665" t="str">
        <f>""</f>
        <v/>
      </c>
      <c r="F665" t="str">
        <f>""</f>
        <v/>
      </c>
      <c r="H665" t="str">
        <f>"Inv# 5021423"</f>
        <v>Inv# 5021423</v>
      </c>
    </row>
    <row r="666" spans="5:8" x14ac:dyDescent="0.25">
      <c r="E666" t="str">
        <f>""</f>
        <v/>
      </c>
      <c r="F666" t="str">
        <f>""</f>
        <v/>
      </c>
      <c r="H666" t="str">
        <f>"Inv# 5021428"</f>
        <v>Inv# 5021428</v>
      </c>
    </row>
    <row r="667" spans="5:8" x14ac:dyDescent="0.25">
      <c r="E667" t="str">
        <f>""</f>
        <v/>
      </c>
      <c r="F667" t="str">
        <f>""</f>
        <v/>
      </c>
      <c r="H667" t="str">
        <f>"5021438"</f>
        <v>5021438</v>
      </c>
    </row>
    <row r="668" spans="5:8" x14ac:dyDescent="0.25">
      <c r="E668" t="str">
        <f>""</f>
        <v/>
      </c>
      <c r="F668" t="str">
        <f>""</f>
        <v/>
      </c>
      <c r="H668" t="str">
        <f>"inv# 8141813"</f>
        <v>inv# 8141813</v>
      </c>
    </row>
    <row r="669" spans="5:8" x14ac:dyDescent="0.25">
      <c r="E669" t="str">
        <f>""</f>
        <v/>
      </c>
      <c r="F669" t="str">
        <f>""</f>
        <v/>
      </c>
      <c r="H669" t="str">
        <f>"inv# 7141819"</f>
        <v>inv# 7141819</v>
      </c>
    </row>
    <row r="670" spans="5:8" x14ac:dyDescent="0.25">
      <c r="E670" t="str">
        <f>""</f>
        <v/>
      </c>
      <c r="F670" t="str">
        <f>""</f>
        <v/>
      </c>
      <c r="H670" t="str">
        <f>"inv# 8022175"</f>
        <v>inv# 8022175</v>
      </c>
    </row>
    <row r="671" spans="5:8" x14ac:dyDescent="0.25">
      <c r="E671" t="str">
        <f>""</f>
        <v/>
      </c>
      <c r="F671" t="str">
        <f>""</f>
        <v/>
      </c>
      <c r="H671" t="str">
        <f>"Inv# 1020683"</f>
        <v>Inv# 1020683</v>
      </c>
    </row>
    <row r="672" spans="5:8" x14ac:dyDescent="0.25">
      <c r="E672" t="str">
        <f>""</f>
        <v/>
      </c>
      <c r="F672" t="str">
        <f>""</f>
        <v/>
      </c>
      <c r="H672" t="str">
        <f>"Inv# 9589701"</f>
        <v>Inv# 9589701</v>
      </c>
    </row>
    <row r="673" spans="5:8" x14ac:dyDescent="0.25">
      <c r="E673" t="str">
        <f>""</f>
        <v/>
      </c>
      <c r="F673" t="str">
        <f>""</f>
        <v/>
      </c>
      <c r="H673" t="str">
        <f>"Inv# 7591386"</f>
        <v>Inv# 7591386</v>
      </c>
    </row>
    <row r="674" spans="5:8" x14ac:dyDescent="0.25">
      <c r="E674" t="str">
        <f>""</f>
        <v/>
      </c>
      <c r="F674" t="str">
        <f>""</f>
        <v/>
      </c>
      <c r="H674" t="str">
        <f>"inv# 7574394"</f>
        <v>inv# 7574394</v>
      </c>
    </row>
    <row r="675" spans="5:8" x14ac:dyDescent="0.25">
      <c r="E675" t="str">
        <f>""</f>
        <v/>
      </c>
      <c r="F675" t="str">
        <f>""</f>
        <v/>
      </c>
      <c r="H675" t="str">
        <f>"Inv# 1562402"</f>
        <v>Inv# 1562402</v>
      </c>
    </row>
    <row r="676" spans="5:8" x14ac:dyDescent="0.25">
      <c r="E676" t="str">
        <f>""</f>
        <v/>
      </c>
      <c r="F676" t="str">
        <f>""</f>
        <v/>
      </c>
      <c r="H676" t="str">
        <f>"inv# 8574366"</f>
        <v>inv# 8574366</v>
      </c>
    </row>
    <row r="677" spans="5:8" x14ac:dyDescent="0.25">
      <c r="E677" t="str">
        <f>""</f>
        <v/>
      </c>
      <c r="F677" t="str">
        <f>""</f>
        <v/>
      </c>
      <c r="H677" t="str">
        <f>"inv# 7574394"</f>
        <v>inv# 7574394</v>
      </c>
    </row>
    <row r="678" spans="5:8" x14ac:dyDescent="0.25">
      <c r="E678" t="str">
        <f>""</f>
        <v/>
      </c>
      <c r="F678" t="str">
        <f>""</f>
        <v/>
      </c>
      <c r="H678" t="str">
        <f>"Inv# 5572204"</f>
        <v>Inv# 5572204</v>
      </c>
    </row>
    <row r="679" spans="5:8" x14ac:dyDescent="0.25">
      <c r="E679" t="str">
        <f>""</f>
        <v/>
      </c>
      <c r="F679" t="str">
        <f>""</f>
        <v/>
      </c>
      <c r="H679" t="str">
        <f>"Inv# 5591463"</f>
        <v>Inv# 5591463</v>
      </c>
    </row>
    <row r="680" spans="5:8" x14ac:dyDescent="0.25">
      <c r="E680" t="str">
        <f>""</f>
        <v/>
      </c>
      <c r="F680" t="str">
        <f>""</f>
        <v/>
      </c>
      <c r="H680" t="str">
        <f>"inv# 5573811"</f>
        <v>inv# 5573811</v>
      </c>
    </row>
    <row r="681" spans="5:8" x14ac:dyDescent="0.25">
      <c r="E681" t="str">
        <f>""</f>
        <v/>
      </c>
      <c r="F681" t="str">
        <f>""</f>
        <v/>
      </c>
      <c r="H681" t="str">
        <f>"Inv# 4014584"</f>
        <v>Inv# 4014584</v>
      </c>
    </row>
    <row r="682" spans="5:8" x14ac:dyDescent="0.25">
      <c r="E682" t="str">
        <f>""</f>
        <v/>
      </c>
      <c r="F682" t="str">
        <f>""</f>
        <v/>
      </c>
      <c r="H682" t="str">
        <f>"Inv# 5105032"</f>
        <v>Inv# 5105032</v>
      </c>
    </row>
    <row r="683" spans="5:8" x14ac:dyDescent="0.25">
      <c r="E683" t="str">
        <f>""</f>
        <v/>
      </c>
      <c r="F683" t="str">
        <f>""</f>
        <v/>
      </c>
      <c r="H683" t="str">
        <f>"Inv# 5945526"</f>
        <v>Inv# 5945526</v>
      </c>
    </row>
    <row r="684" spans="5:8" x14ac:dyDescent="0.25">
      <c r="E684" t="str">
        <f>""</f>
        <v/>
      </c>
      <c r="F684" t="str">
        <f>""</f>
        <v/>
      </c>
      <c r="H684" t="str">
        <f>"inv# 5573812"</f>
        <v>inv# 5573812</v>
      </c>
    </row>
    <row r="685" spans="5:8" x14ac:dyDescent="0.25">
      <c r="E685" t="str">
        <f>""</f>
        <v/>
      </c>
      <c r="F685" t="str">
        <f>""</f>
        <v/>
      </c>
      <c r="H685" t="str">
        <f>"inv# 3021670"</f>
        <v>inv# 3021670</v>
      </c>
    </row>
    <row r="686" spans="5:8" x14ac:dyDescent="0.25">
      <c r="E686" t="str">
        <f>""</f>
        <v/>
      </c>
      <c r="F686" t="str">
        <f>""</f>
        <v/>
      </c>
      <c r="H686" t="str">
        <f>"inv# 7974188"</f>
        <v>inv# 7974188</v>
      </c>
    </row>
    <row r="687" spans="5:8" x14ac:dyDescent="0.25">
      <c r="E687" t="str">
        <f>""</f>
        <v/>
      </c>
      <c r="F687" t="str">
        <f>""</f>
        <v/>
      </c>
      <c r="H687" t="str">
        <f>"Inv# 4091048"</f>
        <v>Inv# 4091048</v>
      </c>
    </row>
    <row r="688" spans="5:8" x14ac:dyDescent="0.25">
      <c r="E688" t="str">
        <f>""</f>
        <v/>
      </c>
      <c r="F688" t="str">
        <f>""</f>
        <v/>
      </c>
      <c r="H688" t="str">
        <f>"Inv# 8027707"</f>
        <v>Inv# 8027707</v>
      </c>
    </row>
    <row r="689" spans="1:8" x14ac:dyDescent="0.25">
      <c r="E689" t="str">
        <f>""</f>
        <v/>
      </c>
      <c r="F689" t="str">
        <f>""</f>
        <v/>
      </c>
      <c r="H689" t="str">
        <f>"Inv# 91699"</f>
        <v>Inv# 91699</v>
      </c>
    </row>
    <row r="690" spans="1:8" x14ac:dyDescent="0.25">
      <c r="E690" t="str">
        <f>""</f>
        <v/>
      </c>
      <c r="F690" t="str">
        <f>""</f>
        <v/>
      </c>
      <c r="H690" t="str">
        <f>"Inv# 9572637"</f>
        <v>Inv# 9572637</v>
      </c>
    </row>
    <row r="691" spans="1:8" x14ac:dyDescent="0.25">
      <c r="E691" t="str">
        <f>""</f>
        <v/>
      </c>
      <c r="F691" t="str">
        <f>""</f>
        <v/>
      </c>
      <c r="H691" t="str">
        <f>"Inv# 8014982"</f>
        <v>Inv# 8014982</v>
      </c>
    </row>
    <row r="692" spans="1:8" x14ac:dyDescent="0.25">
      <c r="E692" t="str">
        <f>""</f>
        <v/>
      </c>
      <c r="F692" t="str">
        <f>""</f>
        <v/>
      </c>
      <c r="H692" t="str">
        <f>"Inv# 6020060"</f>
        <v>Inv# 6020060</v>
      </c>
    </row>
    <row r="693" spans="1:8" x14ac:dyDescent="0.25">
      <c r="E693" t="str">
        <f>""</f>
        <v/>
      </c>
      <c r="F693" t="str">
        <f>""</f>
        <v/>
      </c>
      <c r="H693" t="str">
        <f>"Inv# 9562556"</f>
        <v>Inv# 9562556</v>
      </c>
    </row>
    <row r="694" spans="1:8" x14ac:dyDescent="0.25">
      <c r="E694" t="str">
        <f>""</f>
        <v/>
      </c>
      <c r="F694" t="str">
        <f>""</f>
        <v/>
      </c>
      <c r="H694" t="str">
        <f>"Inv# 6562801"</f>
        <v>Inv# 6562801</v>
      </c>
    </row>
    <row r="695" spans="1:8" x14ac:dyDescent="0.25">
      <c r="E695" t="str">
        <f>""</f>
        <v/>
      </c>
      <c r="F695" t="str">
        <f>""</f>
        <v/>
      </c>
      <c r="H695" t="str">
        <f>"inv# 7022247"</f>
        <v>inv# 7022247</v>
      </c>
    </row>
    <row r="696" spans="1:8" x14ac:dyDescent="0.25">
      <c r="E696" t="str">
        <f>""</f>
        <v/>
      </c>
      <c r="F696" t="str">
        <f>""</f>
        <v/>
      </c>
      <c r="H696" t="str">
        <f>"inv# 7022294"</f>
        <v>inv# 7022294</v>
      </c>
    </row>
    <row r="697" spans="1:8" x14ac:dyDescent="0.25">
      <c r="E697" t="str">
        <f>""</f>
        <v/>
      </c>
      <c r="F697" t="str">
        <f>""</f>
        <v/>
      </c>
      <c r="H697" t="str">
        <f>"inv# 7041262"</f>
        <v>inv# 7041262</v>
      </c>
    </row>
    <row r="698" spans="1:8" x14ac:dyDescent="0.25">
      <c r="E698" t="str">
        <f>""</f>
        <v/>
      </c>
      <c r="F698" t="str">
        <f>""</f>
        <v/>
      </c>
      <c r="H698" t="str">
        <f>"Inv# 7270939"</f>
        <v>Inv# 7270939</v>
      </c>
    </row>
    <row r="699" spans="1:8" x14ac:dyDescent="0.25">
      <c r="E699" t="str">
        <f>""</f>
        <v/>
      </c>
      <c r="F699" t="str">
        <f>""</f>
        <v/>
      </c>
      <c r="H699" t="str">
        <f>"Inv# 7141820"</f>
        <v>Inv# 7141820</v>
      </c>
    </row>
    <row r="700" spans="1:8" x14ac:dyDescent="0.25">
      <c r="A700" t="s">
        <v>217</v>
      </c>
      <c r="B700">
        <v>79884</v>
      </c>
      <c r="C700" s="2">
        <v>1963.96</v>
      </c>
      <c r="D700" s="1">
        <v>43441</v>
      </c>
      <c r="E700" t="str">
        <f>"S1812030006-00026"</f>
        <v>S1812030006-00026</v>
      </c>
      <c r="F700" t="str">
        <f>"ACCT#100402264 / 12032018"</f>
        <v>ACCT#100402264 / 12032018</v>
      </c>
      <c r="G700" s="3">
        <v>1963.96</v>
      </c>
      <c r="H700" t="str">
        <f>"ACCT#100402264 / 12032018"</f>
        <v>ACCT#100402264 / 12032018</v>
      </c>
    </row>
    <row r="701" spans="1:8" x14ac:dyDescent="0.25">
      <c r="E701" t="str">
        <f>""</f>
        <v/>
      </c>
      <c r="F701" t="str">
        <f>""</f>
        <v/>
      </c>
      <c r="H701" t="str">
        <f>"ACCT#100402264 / 12032018"</f>
        <v>ACCT#100402264 / 12032018</v>
      </c>
    </row>
    <row r="702" spans="1:8" x14ac:dyDescent="0.25">
      <c r="E702" t="str">
        <f>""</f>
        <v/>
      </c>
      <c r="F702" t="str">
        <f>""</f>
        <v/>
      </c>
      <c r="H702" t="str">
        <f>"ACCT#100402264 / 12032018"</f>
        <v>ACCT#100402264 / 12032018</v>
      </c>
    </row>
    <row r="703" spans="1:8" x14ac:dyDescent="0.25">
      <c r="A703" t="s">
        <v>218</v>
      </c>
      <c r="B703">
        <v>79965</v>
      </c>
      <c r="C703" s="2">
        <v>91.57</v>
      </c>
      <c r="D703" s="1">
        <v>43444</v>
      </c>
      <c r="E703" t="str">
        <f>"3038625934"</f>
        <v>3038625934</v>
      </c>
      <c r="F703" t="str">
        <f>"ACCT#187947/PARVO TESTS/ANIMAL"</f>
        <v>ACCT#187947/PARVO TESTS/ANIMAL</v>
      </c>
      <c r="G703" s="3">
        <v>91.57</v>
      </c>
      <c r="H703" t="str">
        <f>"ACCT#187947/PARVO TESTS/ANIMAL"</f>
        <v>ACCT#187947/PARVO TESTS/ANIMAL</v>
      </c>
    </row>
    <row r="704" spans="1:8" x14ac:dyDescent="0.25">
      <c r="A704" t="s">
        <v>219</v>
      </c>
      <c r="B704">
        <v>259</v>
      </c>
      <c r="C704" s="2">
        <v>2430</v>
      </c>
      <c r="D704" s="1">
        <v>43462</v>
      </c>
      <c r="E704" t="str">
        <f>"66968"</f>
        <v>66968</v>
      </c>
      <c r="F704" t="str">
        <f>"PROF SVCS JANUARY 2019"</f>
        <v>PROF SVCS JANUARY 2019</v>
      </c>
      <c r="G704" s="3">
        <v>2430</v>
      </c>
      <c r="H704" t="str">
        <f>"PROF SVCS JANUARY 2019"</f>
        <v>PROF SVCS JANUARY 2019</v>
      </c>
    </row>
    <row r="705" spans="1:8" x14ac:dyDescent="0.25">
      <c r="E705" t="str">
        <f>""</f>
        <v/>
      </c>
      <c r="F705" t="str">
        <f>""</f>
        <v/>
      </c>
      <c r="H705" t="str">
        <f>"PROF SVCS JANUARY 2019"</f>
        <v>PROF SVCS JANUARY 2019</v>
      </c>
    </row>
    <row r="706" spans="1:8" x14ac:dyDescent="0.25">
      <c r="A706" t="s">
        <v>220</v>
      </c>
      <c r="B706">
        <v>79966</v>
      </c>
      <c r="C706" s="2">
        <v>68.760000000000005</v>
      </c>
      <c r="D706" s="1">
        <v>43444</v>
      </c>
      <c r="E706" t="str">
        <f>"AHZZ575"</f>
        <v>AHZZ575</v>
      </c>
      <c r="F706" t="str">
        <f>"CUST ID:AX773/CNTY CLERK/DEC18"</f>
        <v>CUST ID:AX773/CNTY CLERK/DEC18</v>
      </c>
      <c r="G706" s="3">
        <v>68.760000000000005</v>
      </c>
      <c r="H706" t="str">
        <f>"CUST ID:AX773/CNTY CLERK/DEC18"</f>
        <v>CUST ID:AX773/CNTY CLERK/DEC18</v>
      </c>
    </row>
    <row r="707" spans="1:8" x14ac:dyDescent="0.25">
      <c r="A707" t="s">
        <v>221</v>
      </c>
      <c r="B707">
        <v>79967</v>
      </c>
      <c r="C707" s="2">
        <v>50</v>
      </c>
      <c r="D707" s="1">
        <v>43444</v>
      </c>
      <c r="E707" t="str">
        <f>"201812035483"</f>
        <v>201812035483</v>
      </c>
      <c r="F707" t="str">
        <f>"FERAL HOGS"</f>
        <v>FERAL HOGS</v>
      </c>
      <c r="G707" s="3">
        <v>50</v>
      </c>
      <c r="H707" t="str">
        <f>"FERAL HOGS"</f>
        <v>FERAL HOGS</v>
      </c>
    </row>
    <row r="708" spans="1:8" x14ac:dyDescent="0.25">
      <c r="A708" t="s">
        <v>222</v>
      </c>
      <c r="B708">
        <v>79968</v>
      </c>
      <c r="C708" s="2">
        <v>5</v>
      </c>
      <c r="D708" s="1">
        <v>43444</v>
      </c>
      <c r="E708" t="str">
        <f>"201812035485"</f>
        <v>201812035485</v>
      </c>
      <c r="F708" t="str">
        <f>"FERAL HOGS"</f>
        <v>FERAL HOGS</v>
      </c>
      <c r="G708" s="3">
        <v>5</v>
      </c>
      <c r="H708" t="str">
        <f>"FERAL HOGS"</f>
        <v>FERAL HOGS</v>
      </c>
    </row>
    <row r="709" spans="1:8" x14ac:dyDescent="0.25">
      <c r="A709" t="s">
        <v>223</v>
      </c>
      <c r="B709">
        <v>79969</v>
      </c>
      <c r="C709" s="2">
        <v>250</v>
      </c>
      <c r="D709" s="1">
        <v>43444</v>
      </c>
      <c r="E709" t="str">
        <f>"201812045553"</f>
        <v>201812045553</v>
      </c>
      <c r="F709" t="str">
        <f>"56 073"</f>
        <v>56 073</v>
      </c>
      <c r="G709" s="3">
        <v>250</v>
      </c>
      <c r="H709" t="str">
        <f>"56 073"</f>
        <v>56 073</v>
      </c>
    </row>
    <row r="710" spans="1:8" x14ac:dyDescent="0.25">
      <c r="A710" t="s">
        <v>224</v>
      </c>
      <c r="B710">
        <v>79970</v>
      </c>
      <c r="C710" s="2">
        <v>651.70000000000005</v>
      </c>
      <c r="D710" s="1">
        <v>43444</v>
      </c>
      <c r="E710" t="str">
        <f>"201811305437"</f>
        <v>201811305437</v>
      </c>
      <c r="F710" t="str">
        <f>"COURT REPORTING/MILEAGE"</f>
        <v>COURT REPORTING/MILEAGE</v>
      </c>
      <c r="G710" s="3">
        <v>651.70000000000005</v>
      </c>
      <c r="H710" t="str">
        <f>"COURT REPORTING/MILEAGE"</f>
        <v>COURT REPORTING/MILEAGE</v>
      </c>
    </row>
    <row r="711" spans="1:8" x14ac:dyDescent="0.25">
      <c r="A711" t="s">
        <v>225</v>
      </c>
      <c r="B711">
        <v>80176</v>
      </c>
      <c r="C711" s="2">
        <v>90</v>
      </c>
      <c r="D711" s="1">
        <v>43461</v>
      </c>
      <c r="E711" t="str">
        <f>"201812195943"</f>
        <v>201812195943</v>
      </c>
      <c r="F711" t="str">
        <f>"PER DIEM"</f>
        <v>PER DIEM</v>
      </c>
      <c r="G711" s="3">
        <v>90</v>
      </c>
      <c r="H711" t="str">
        <f>"PER DIEM"</f>
        <v>PER DIEM</v>
      </c>
    </row>
    <row r="712" spans="1:8" x14ac:dyDescent="0.25">
      <c r="A712" t="s">
        <v>226</v>
      </c>
      <c r="B712">
        <v>79971</v>
      </c>
      <c r="C712" s="2">
        <v>125</v>
      </c>
      <c r="D712" s="1">
        <v>43444</v>
      </c>
      <c r="E712" t="str">
        <f>"201811305454"</f>
        <v>201811305454</v>
      </c>
      <c r="F712" t="str">
        <f>"FERAL HOGS"</f>
        <v>FERAL HOGS</v>
      </c>
      <c r="G712" s="3">
        <v>125</v>
      </c>
      <c r="H712" t="str">
        <f>"FERAL HOGS"</f>
        <v>FERAL HOGS</v>
      </c>
    </row>
    <row r="713" spans="1:8" x14ac:dyDescent="0.25">
      <c r="A713" t="s">
        <v>227</v>
      </c>
      <c r="B713">
        <v>207</v>
      </c>
      <c r="C713" s="2">
        <v>1187.5</v>
      </c>
      <c r="D713" s="1">
        <v>43445</v>
      </c>
      <c r="E713" t="str">
        <f>"201811305424"</f>
        <v>201811305424</v>
      </c>
      <c r="F713" t="str">
        <f>"17-18119"</f>
        <v>17-18119</v>
      </c>
      <c r="G713" s="3">
        <v>100</v>
      </c>
      <c r="H713" t="str">
        <f>"17-18119"</f>
        <v>17-18119</v>
      </c>
    </row>
    <row r="714" spans="1:8" x14ac:dyDescent="0.25">
      <c r="E714" t="str">
        <f>"201812045540"</f>
        <v>201812045540</v>
      </c>
      <c r="F714" t="str">
        <f>"56 504"</f>
        <v>56 504</v>
      </c>
      <c r="G714" s="3">
        <v>250</v>
      </c>
      <c r="H714" t="str">
        <f>"56 504"</f>
        <v>56 504</v>
      </c>
    </row>
    <row r="715" spans="1:8" x14ac:dyDescent="0.25">
      <c r="E715" t="str">
        <f>"201812045541"</f>
        <v>201812045541</v>
      </c>
      <c r="F715" t="str">
        <f>"56 500"</f>
        <v>56 500</v>
      </c>
      <c r="G715" s="3">
        <v>250</v>
      </c>
      <c r="H715" t="str">
        <f>"56 500"</f>
        <v>56 500</v>
      </c>
    </row>
    <row r="716" spans="1:8" x14ac:dyDescent="0.25">
      <c r="E716" t="str">
        <f>"201812045542"</f>
        <v>201812045542</v>
      </c>
      <c r="F716" t="str">
        <f>"56 501"</f>
        <v>56 501</v>
      </c>
      <c r="G716" s="3">
        <v>250</v>
      </c>
      <c r="H716" t="str">
        <f>"56 501"</f>
        <v>56 501</v>
      </c>
    </row>
    <row r="717" spans="1:8" x14ac:dyDescent="0.25">
      <c r="E717" t="str">
        <f>"201812045543"</f>
        <v>201812045543</v>
      </c>
      <c r="F717" t="str">
        <f>"423-5164"</f>
        <v>423-5164</v>
      </c>
      <c r="G717" s="3">
        <v>337.5</v>
      </c>
      <c r="H717" t="str">
        <f>"423-5164"</f>
        <v>423-5164</v>
      </c>
    </row>
    <row r="718" spans="1:8" x14ac:dyDescent="0.25">
      <c r="A718" t="s">
        <v>227</v>
      </c>
      <c r="B718">
        <v>272</v>
      </c>
      <c r="C718" s="2">
        <v>675</v>
      </c>
      <c r="D718" s="1">
        <v>43462</v>
      </c>
      <c r="E718" t="str">
        <f>"201812135816"</f>
        <v>201812135816</v>
      </c>
      <c r="F718" t="str">
        <f>"CAUSE #: N/A"</f>
        <v>CAUSE #: N/A</v>
      </c>
      <c r="G718" s="3">
        <v>100</v>
      </c>
      <c r="H718" t="str">
        <f>"CAUSE #: N/A"</f>
        <v>CAUSE #: N/A</v>
      </c>
    </row>
    <row r="719" spans="1:8" x14ac:dyDescent="0.25">
      <c r="E719" t="str">
        <f>"201812135817"</f>
        <v>201812135817</v>
      </c>
      <c r="F719" t="str">
        <f>"N/A JUVENILE DETENTION HEARING"</f>
        <v>N/A JUVENILE DETENTION HEARING</v>
      </c>
      <c r="G719" s="3">
        <v>100</v>
      </c>
      <c r="H719" t="str">
        <f>"N/A JUVENILE DETENTION HEARING"</f>
        <v>N/A JUVENILE DETENTION HEARING</v>
      </c>
    </row>
    <row r="720" spans="1:8" x14ac:dyDescent="0.25">
      <c r="E720" t="str">
        <f>"201812185883"</f>
        <v>201812185883</v>
      </c>
      <c r="F720" t="str">
        <f>"18-19156"</f>
        <v>18-19156</v>
      </c>
      <c r="G720" s="3">
        <v>100</v>
      </c>
      <c r="H720" t="str">
        <f>"18-19156"</f>
        <v>18-19156</v>
      </c>
    </row>
    <row r="721" spans="1:9" x14ac:dyDescent="0.25">
      <c r="E721" t="str">
        <f>"201812195926"</f>
        <v>201812195926</v>
      </c>
      <c r="F721" t="str">
        <f>"56 305 / 121318"</f>
        <v>56 305 / 121318</v>
      </c>
      <c r="G721" s="3">
        <v>375</v>
      </c>
      <c r="H721" t="str">
        <f>"56 305 / 121318"</f>
        <v>56 305 / 121318</v>
      </c>
    </row>
    <row r="722" spans="1:9" x14ac:dyDescent="0.25">
      <c r="A722" t="s">
        <v>228</v>
      </c>
      <c r="B722">
        <v>80177</v>
      </c>
      <c r="C722" s="2">
        <v>200</v>
      </c>
      <c r="D722" s="1">
        <v>43461</v>
      </c>
      <c r="E722" t="s">
        <v>184</v>
      </c>
      <c r="F722" t="s">
        <v>229</v>
      </c>
      <c r="G722" s="3" t="str">
        <f>"RESTITUTION-MARTIN ALMS"</f>
        <v>RESTITUTION-MARTIN ALMS</v>
      </c>
      <c r="H722" t="str">
        <f>"210-0000"</f>
        <v>210-0000</v>
      </c>
      <c r="I722" t="str">
        <f>""</f>
        <v/>
      </c>
    </row>
    <row r="723" spans="1:9" x14ac:dyDescent="0.25">
      <c r="E723" t="s">
        <v>184</v>
      </c>
      <c r="F723" t="s">
        <v>230</v>
      </c>
      <c r="G723" s="3" t="str">
        <f>"RESTITUTION-MARTIN ALMS"</f>
        <v>RESTITUTION-MARTIN ALMS</v>
      </c>
      <c r="H723" t="str">
        <f>"210-0000"</f>
        <v>210-0000</v>
      </c>
      <c r="I723" t="str">
        <f>""</f>
        <v/>
      </c>
    </row>
    <row r="724" spans="1:9" x14ac:dyDescent="0.25">
      <c r="A724" t="s">
        <v>231</v>
      </c>
      <c r="B724">
        <v>80178</v>
      </c>
      <c r="C724" s="2">
        <v>16142</v>
      </c>
      <c r="D724" s="1">
        <v>43461</v>
      </c>
      <c r="E724" t="str">
        <f>"1082"</f>
        <v>1082</v>
      </c>
      <c r="F724" t="str">
        <f>"INV 1082"</f>
        <v>INV 1082</v>
      </c>
      <c r="G724" s="3">
        <v>16142</v>
      </c>
      <c r="H724" t="str">
        <f>"FUSHION SPOILER MOUN"</f>
        <v>FUSHION SPOILER MOUN</v>
      </c>
    </row>
    <row r="725" spans="1:9" x14ac:dyDescent="0.25">
      <c r="E725" t="str">
        <f>""</f>
        <v/>
      </c>
      <c r="F725" t="str">
        <f>""</f>
        <v/>
      </c>
      <c r="H725" t="str">
        <f>"FUSHION SURFACE MOUN"</f>
        <v>FUSHION SURFACE MOUN</v>
      </c>
    </row>
    <row r="726" spans="1:9" x14ac:dyDescent="0.25">
      <c r="E726" t="str">
        <f>""</f>
        <v/>
      </c>
      <c r="F726" t="str">
        <f>""</f>
        <v/>
      </c>
      <c r="H726" t="str">
        <f>"CANNON 120"</f>
        <v>CANNON 120</v>
      </c>
    </row>
    <row r="727" spans="1:9" x14ac:dyDescent="0.25">
      <c r="E727" t="str">
        <f>""</f>
        <v/>
      </c>
      <c r="F727" t="str">
        <f>""</f>
        <v/>
      </c>
      <c r="H727" t="str">
        <f>"PRO 200 WATT SIREN"</f>
        <v>PRO 200 WATT SIREN</v>
      </c>
    </row>
    <row r="728" spans="1:9" x14ac:dyDescent="0.25">
      <c r="E728" t="str">
        <f>""</f>
        <v/>
      </c>
      <c r="F728" t="str">
        <f>""</f>
        <v/>
      </c>
      <c r="H728" t="str">
        <f>"TRITON 100 WATT SIRE"</f>
        <v>TRITON 100 WATT SIRE</v>
      </c>
    </row>
    <row r="729" spans="1:9" x14ac:dyDescent="0.25">
      <c r="E729" t="str">
        <f>""</f>
        <v/>
      </c>
      <c r="F729" t="str">
        <f>""</f>
        <v/>
      </c>
      <c r="H729" t="str">
        <f>"4200 CONTROLLER"</f>
        <v>4200 CONTROLLER</v>
      </c>
    </row>
    <row r="730" spans="1:9" x14ac:dyDescent="0.25">
      <c r="E730" t="str">
        <f>""</f>
        <v/>
      </c>
      <c r="F730" t="str">
        <f>""</f>
        <v/>
      </c>
      <c r="H730" t="str">
        <f>"FUSION 49  LIGHT BAR"</f>
        <v>FUSION 49  LIGHT BAR</v>
      </c>
    </row>
    <row r="731" spans="1:9" x14ac:dyDescent="0.25">
      <c r="E731" t="str">
        <f>""</f>
        <v/>
      </c>
      <c r="F731" t="str">
        <f>""</f>
        <v/>
      </c>
      <c r="H731" t="str">
        <f>"LIGHT BAR STRAP KIT"</f>
        <v>LIGHT BAR STRAP KIT</v>
      </c>
    </row>
    <row r="732" spans="1:9" x14ac:dyDescent="0.25">
      <c r="A732" t="s">
        <v>232</v>
      </c>
      <c r="B732">
        <v>79972</v>
      </c>
      <c r="C732" s="2">
        <v>20</v>
      </c>
      <c r="D732" s="1">
        <v>43444</v>
      </c>
      <c r="E732" t="str">
        <f>"201811305452"</f>
        <v>201811305452</v>
      </c>
      <c r="F732" t="str">
        <f>"FERAL HOGS"</f>
        <v>FERAL HOGS</v>
      </c>
      <c r="G732" s="3">
        <v>20</v>
      </c>
      <c r="H732" t="str">
        <f>"FERAL HOGS"</f>
        <v>FERAL HOGS</v>
      </c>
    </row>
    <row r="733" spans="1:9" x14ac:dyDescent="0.25">
      <c r="A733" t="s">
        <v>233</v>
      </c>
      <c r="B733">
        <v>79973</v>
      </c>
      <c r="C733" s="2">
        <v>70</v>
      </c>
      <c r="D733" s="1">
        <v>43444</v>
      </c>
      <c r="E733" t="str">
        <f>"201811305461"</f>
        <v>201811305461</v>
      </c>
      <c r="F733" t="str">
        <f>"FERAL HOGS"</f>
        <v>FERAL HOGS</v>
      </c>
      <c r="G733" s="3">
        <v>70</v>
      </c>
      <c r="H733" t="str">
        <f>"FERAL HOGS"</f>
        <v>FERAL HOGS</v>
      </c>
    </row>
    <row r="734" spans="1:9" x14ac:dyDescent="0.25">
      <c r="A734" t="s">
        <v>234</v>
      </c>
      <c r="B734">
        <v>163</v>
      </c>
      <c r="C734" s="2">
        <v>288.88</v>
      </c>
      <c r="D734" s="1">
        <v>43445</v>
      </c>
      <c r="E734" t="str">
        <f>"452253"</f>
        <v>452253</v>
      </c>
      <c r="F734" t="str">
        <f>"FILTER PADS/FRAMES"</f>
        <v>FILTER PADS/FRAMES</v>
      </c>
      <c r="G734" s="3">
        <v>288.88</v>
      </c>
      <c r="H734" t="str">
        <f>"FILTER PADS/FRAMES"</f>
        <v>FILTER PADS/FRAMES</v>
      </c>
    </row>
    <row r="735" spans="1:9" x14ac:dyDescent="0.25">
      <c r="A735" t="s">
        <v>234</v>
      </c>
      <c r="B735">
        <v>215</v>
      </c>
      <c r="C735" s="2">
        <v>288.88</v>
      </c>
      <c r="D735" s="1">
        <v>43462</v>
      </c>
      <c r="E735" t="str">
        <f>"434011"</f>
        <v>434011</v>
      </c>
      <c r="F735" t="str">
        <f>"ORD#452253/FILTER PADS"</f>
        <v>ORD#452253/FILTER PADS</v>
      </c>
      <c r="G735" s="3">
        <v>288.88</v>
      </c>
      <c r="H735" t="str">
        <f>"ORD#452253/FILTER PADS"</f>
        <v>ORD#452253/FILTER PADS</v>
      </c>
    </row>
    <row r="736" spans="1:9" x14ac:dyDescent="0.25">
      <c r="A736" t="s">
        <v>235</v>
      </c>
      <c r="B736">
        <v>79974</v>
      </c>
      <c r="C736" s="2">
        <v>701.17</v>
      </c>
      <c r="D736" s="1">
        <v>43444</v>
      </c>
      <c r="E736" t="str">
        <f>"P75002"</f>
        <v>P75002</v>
      </c>
      <c r="F736" t="str">
        <f>"ACCT#7205006/ORD#195823"</f>
        <v>ACCT#7205006/ORD#195823</v>
      </c>
      <c r="G736" s="3">
        <v>150.66999999999999</v>
      </c>
      <c r="H736" t="str">
        <f>"ACCT#7205006/ORD#195823"</f>
        <v>ACCT#7205006/ORD#195823</v>
      </c>
    </row>
    <row r="737" spans="1:8" x14ac:dyDescent="0.25">
      <c r="E737" t="str">
        <f>"W99349"</f>
        <v>W99349</v>
      </c>
      <c r="F737" t="str">
        <f>"ACCT#7205008/PCT#1"</f>
        <v>ACCT#7205008/PCT#1</v>
      </c>
      <c r="G737" s="3">
        <v>550.5</v>
      </c>
      <c r="H737" t="str">
        <f>"ACCT#7205008/PCT#1"</f>
        <v>ACCT#7205008/PCT#1</v>
      </c>
    </row>
    <row r="738" spans="1:8" x14ac:dyDescent="0.25">
      <c r="A738" t="s">
        <v>236</v>
      </c>
      <c r="B738">
        <v>79975</v>
      </c>
      <c r="C738" s="2">
        <v>100</v>
      </c>
      <c r="D738" s="1">
        <v>43444</v>
      </c>
      <c r="E738" t="str">
        <f>"201811305455"</f>
        <v>201811305455</v>
      </c>
      <c r="F738" t="str">
        <f>"FERAL HOGS"</f>
        <v>FERAL HOGS</v>
      </c>
      <c r="G738" s="3">
        <v>100</v>
      </c>
      <c r="H738" t="str">
        <f>"FERAL HOGS"</f>
        <v>FERAL HOGS</v>
      </c>
    </row>
    <row r="739" spans="1:8" x14ac:dyDescent="0.25">
      <c r="A739" t="s">
        <v>237</v>
      </c>
      <c r="B739">
        <v>79976</v>
      </c>
      <c r="C739" s="2">
        <v>25</v>
      </c>
      <c r="D739" s="1">
        <v>43444</v>
      </c>
      <c r="E739" t="str">
        <f>"201812035476"</f>
        <v>201812035476</v>
      </c>
      <c r="F739" t="str">
        <f>"FERAL HOGS"</f>
        <v>FERAL HOGS</v>
      </c>
      <c r="G739" s="3">
        <v>25</v>
      </c>
      <c r="H739" t="str">
        <f>"FERAL HOGS"</f>
        <v>FERAL HOGS</v>
      </c>
    </row>
    <row r="740" spans="1:8" x14ac:dyDescent="0.25">
      <c r="A740" t="s">
        <v>237</v>
      </c>
      <c r="B740">
        <v>80179</v>
      </c>
      <c r="C740" s="2">
        <v>30</v>
      </c>
      <c r="D740" s="1">
        <v>43461</v>
      </c>
      <c r="E740" t="str">
        <f>"201812125741"</f>
        <v>201812125741</v>
      </c>
      <c r="F740" t="str">
        <f>"FERAL HOGS"</f>
        <v>FERAL HOGS</v>
      </c>
      <c r="G740" s="3">
        <v>30</v>
      </c>
      <c r="H740" t="str">
        <f>"FERAL HOGS"</f>
        <v>FERAL HOGS</v>
      </c>
    </row>
    <row r="741" spans="1:8" x14ac:dyDescent="0.25">
      <c r="A741" t="s">
        <v>238</v>
      </c>
      <c r="B741">
        <v>79977</v>
      </c>
      <c r="C741" s="2">
        <v>50</v>
      </c>
      <c r="D741" s="1">
        <v>43444</v>
      </c>
      <c r="E741" t="str">
        <f>"201811305446"</f>
        <v>201811305446</v>
      </c>
      <c r="F741" t="str">
        <f>"FERAL HOGS"</f>
        <v>FERAL HOGS</v>
      </c>
      <c r="G741" s="3">
        <v>50</v>
      </c>
      <c r="H741" t="str">
        <f>"FERAL HOGS"</f>
        <v>FERAL HOGS</v>
      </c>
    </row>
    <row r="742" spans="1:8" x14ac:dyDescent="0.25">
      <c r="A742" t="s">
        <v>239</v>
      </c>
      <c r="B742">
        <v>79978</v>
      </c>
      <c r="C742" s="2">
        <v>390</v>
      </c>
      <c r="D742" s="1">
        <v>43444</v>
      </c>
      <c r="E742" t="str">
        <f>"201812065579"</f>
        <v>201812065579</v>
      </c>
      <c r="F742" t="str">
        <f>"FOR 1FTYR14V8XPA89158"</f>
        <v>FOR 1FTYR14V8XPA89158</v>
      </c>
      <c r="G742" s="3">
        <v>390</v>
      </c>
      <c r="H742" t="str">
        <f>"FOR 1FTYR14V8XPA89158"</f>
        <v>FOR 1FTYR14V8XPA89158</v>
      </c>
    </row>
    <row r="743" spans="1:8" x14ac:dyDescent="0.25">
      <c r="A743" t="s">
        <v>240</v>
      </c>
      <c r="B743">
        <v>79979</v>
      </c>
      <c r="C743" s="2">
        <v>130</v>
      </c>
      <c r="D743" s="1">
        <v>43444</v>
      </c>
      <c r="E743" t="str">
        <f>"201812035474"</f>
        <v>201812035474</v>
      </c>
      <c r="F743" t="str">
        <f>"FERAL HOGS"</f>
        <v>FERAL HOGS</v>
      </c>
      <c r="G743" s="3">
        <v>130</v>
      </c>
      <c r="H743" t="str">
        <f>"FERAL HOGS"</f>
        <v>FERAL HOGS</v>
      </c>
    </row>
    <row r="744" spans="1:8" x14ac:dyDescent="0.25">
      <c r="A744" t="s">
        <v>241</v>
      </c>
      <c r="B744">
        <v>200</v>
      </c>
      <c r="C744" s="2">
        <v>1800</v>
      </c>
      <c r="D744" s="1">
        <v>43445</v>
      </c>
      <c r="E744" t="str">
        <f>"201811285313"</f>
        <v>201811285313</v>
      </c>
      <c r="F744" t="str">
        <f>"AC-2018-0917"</f>
        <v>AC-2018-0917</v>
      </c>
      <c r="G744" s="3">
        <v>400</v>
      </c>
      <c r="H744" t="str">
        <f>"AC-2018-0917"</f>
        <v>AC-2018-0917</v>
      </c>
    </row>
    <row r="745" spans="1:8" x14ac:dyDescent="0.25">
      <c r="E745" t="str">
        <f>"201811285314"</f>
        <v>201811285314</v>
      </c>
      <c r="F745" t="str">
        <f>"16232 16233 16234"</f>
        <v>16232 16233 16234</v>
      </c>
      <c r="G745" s="3">
        <v>1200</v>
      </c>
      <c r="H745" t="str">
        <f>"16232 16233 16234"</f>
        <v>16232 16233 16234</v>
      </c>
    </row>
    <row r="746" spans="1:8" x14ac:dyDescent="0.25">
      <c r="E746" t="str">
        <f>"201812045557"</f>
        <v>201812045557</v>
      </c>
      <c r="F746" t="str">
        <f>"18-19360 &amp; 18-19361"</f>
        <v>18-19360 &amp; 18-19361</v>
      </c>
      <c r="G746" s="3">
        <v>200</v>
      </c>
      <c r="H746" t="str">
        <f>"18-19360 &amp; 18-19361"</f>
        <v>18-19360 &amp; 18-19361</v>
      </c>
    </row>
    <row r="747" spans="1:8" x14ac:dyDescent="0.25">
      <c r="A747" t="s">
        <v>241</v>
      </c>
      <c r="B747">
        <v>264</v>
      </c>
      <c r="C747" s="2">
        <v>1400</v>
      </c>
      <c r="D747" s="1">
        <v>43462</v>
      </c>
      <c r="E747" t="str">
        <f>"201812125706"</f>
        <v>201812125706</v>
      </c>
      <c r="F747" t="str">
        <f>"15714"</f>
        <v>15714</v>
      </c>
      <c r="G747" s="3">
        <v>400</v>
      </c>
      <c r="H747" t="str">
        <f>"15714"</f>
        <v>15714</v>
      </c>
    </row>
    <row r="748" spans="1:8" x14ac:dyDescent="0.25">
      <c r="E748" t="str">
        <f>"201812145842"</f>
        <v>201812145842</v>
      </c>
      <c r="F748" t="str">
        <f>"423-6211"</f>
        <v>423-6211</v>
      </c>
      <c r="G748" s="3">
        <v>100</v>
      </c>
      <c r="H748" t="str">
        <f>"423-6211"</f>
        <v>423-6211</v>
      </c>
    </row>
    <row r="749" spans="1:8" x14ac:dyDescent="0.25">
      <c r="E749" t="str">
        <f>"201812145843"</f>
        <v>201812145843</v>
      </c>
      <c r="F749" t="str">
        <f>"02-0927-116"</f>
        <v>02-0927-116</v>
      </c>
      <c r="G749" s="3">
        <v>400</v>
      </c>
      <c r="H749" t="str">
        <f>"02-0927-116"</f>
        <v>02-0927-116</v>
      </c>
    </row>
    <row r="750" spans="1:8" x14ac:dyDescent="0.25">
      <c r="E750" t="str">
        <f>"201812195925"</f>
        <v>201812195925</v>
      </c>
      <c r="F750" t="str">
        <f>"AC2018-0921 / 121018"</f>
        <v>AC2018-0921 / 121018</v>
      </c>
      <c r="G750" s="3">
        <v>250</v>
      </c>
      <c r="H750" t="str">
        <f>"AC2018-0921 / 121018"</f>
        <v>AC2018-0921 / 121018</v>
      </c>
    </row>
    <row r="751" spans="1:8" x14ac:dyDescent="0.25">
      <c r="E751" t="str">
        <f>"201812195931"</f>
        <v>201812195931</v>
      </c>
      <c r="F751" t="str">
        <f>"1JP7128A / 091218-120318"</f>
        <v>1JP7128A / 091218-120318</v>
      </c>
      <c r="G751" s="3">
        <v>250</v>
      </c>
      <c r="H751" t="str">
        <f>"1JP7128A / 091218-120318"</f>
        <v>1JP7128A / 091218-120318</v>
      </c>
    </row>
    <row r="752" spans="1:8" x14ac:dyDescent="0.25">
      <c r="A752" t="s">
        <v>242</v>
      </c>
      <c r="B752">
        <v>79980</v>
      </c>
      <c r="C752" s="2">
        <v>50</v>
      </c>
      <c r="D752" s="1">
        <v>43444</v>
      </c>
      <c r="E752" t="str">
        <f>"201812035484"</f>
        <v>201812035484</v>
      </c>
      <c r="F752" t="str">
        <f>"FERAL HOGS"</f>
        <v>FERAL HOGS</v>
      </c>
      <c r="G752" s="3">
        <v>50</v>
      </c>
      <c r="H752" t="str">
        <f>"FERAL HOGS"</f>
        <v>FERAL HOGS</v>
      </c>
    </row>
    <row r="753" spans="1:9" x14ac:dyDescent="0.25">
      <c r="A753" t="s">
        <v>243</v>
      </c>
      <c r="B753">
        <v>79981</v>
      </c>
      <c r="C753" s="2">
        <v>50</v>
      </c>
      <c r="D753" s="1">
        <v>43444</v>
      </c>
      <c r="E753" t="str">
        <f>"201812065580"</f>
        <v>201812065580</v>
      </c>
      <c r="F753" t="str">
        <f>"PER DIEM"</f>
        <v>PER DIEM</v>
      </c>
      <c r="G753" s="3">
        <v>50</v>
      </c>
      <c r="H753" t="str">
        <f>"PER DIEM"</f>
        <v>PER DIEM</v>
      </c>
    </row>
    <row r="754" spans="1:9" x14ac:dyDescent="0.25">
      <c r="A754" t="s">
        <v>244</v>
      </c>
      <c r="B754">
        <v>79982</v>
      </c>
      <c r="C754" s="2">
        <v>1600</v>
      </c>
      <c r="D754" s="1">
        <v>43444</v>
      </c>
      <c r="E754" t="str">
        <f>"732956"</f>
        <v>732956</v>
      </c>
      <c r="F754" t="str">
        <f>"GUARD RAIL/LABOR"</f>
        <v>GUARD RAIL/LABOR</v>
      </c>
      <c r="G754" s="3">
        <v>1600</v>
      </c>
      <c r="H754" t="str">
        <f>"GUARD RAIL/LABOR"</f>
        <v>GUARD RAIL/LABOR</v>
      </c>
    </row>
    <row r="755" spans="1:9" x14ac:dyDescent="0.25">
      <c r="A755" t="s">
        <v>245</v>
      </c>
      <c r="B755">
        <v>80180</v>
      </c>
      <c r="C755" s="2">
        <v>235.47</v>
      </c>
      <c r="D755" s="1">
        <v>43461</v>
      </c>
      <c r="E755" t="str">
        <f>"201812125720"</f>
        <v>201812125720</v>
      </c>
      <c r="F755" t="str">
        <f>"ACCT#1520-BA2437"</f>
        <v>ACCT#1520-BA2437</v>
      </c>
      <c r="G755" s="3">
        <v>235.47</v>
      </c>
      <c r="H755" t="str">
        <f>"ACCT#1520-BA2437"</f>
        <v>ACCT#1520-BA2437</v>
      </c>
    </row>
    <row r="756" spans="1:9" x14ac:dyDescent="0.25">
      <c r="A756" t="s">
        <v>246</v>
      </c>
      <c r="B756">
        <v>80181</v>
      </c>
      <c r="C756" s="2">
        <v>30</v>
      </c>
      <c r="D756" s="1">
        <v>43461</v>
      </c>
      <c r="E756" t="s">
        <v>247</v>
      </c>
      <c r="F756" t="s">
        <v>248</v>
      </c>
      <c r="G756" s="3" t="str">
        <f>"RESTITUTION-C. FERRIS"</f>
        <v>RESTITUTION-C. FERRIS</v>
      </c>
      <c r="H756" t="str">
        <f>"210-0000"</f>
        <v>210-0000</v>
      </c>
      <c r="I756" t="str">
        <f>""</f>
        <v/>
      </c>
    </row>
    <row r="757" spans="1:9" x14ac:dyDescent="0.25">
      <c r="A757" t="s">
        <v>249</v>
      </c>
      <c r="B757">
        <v>80182</v>
      </c>
      <c r="C757" s="2">
        <v>280</v>
      </c>
      <c r="D757" s="1">
        <v>43461</v>
      </c>
      <c r="E757" t="str">
        <f>"228865"</f>
        <v>228865</v>
      </c>
      <c r="F757" t="str">
        <f>"TRASH PICK UP/PCT#1"</f>
        <v>TRASH PICK UP/PCT#1</v>
      </c>
      <c r="G757" s="3">
        <v>280</v>
      </c>
      <c r="H757" t="str">
        <f>"TRASH PICK UP/PCT#1"</f>
        <v>TRASH PICK UP/PCT#1</v>
      </c>
    </row>
    <row r="758" spans="1:9" x14ac:dyDescent="0.25">
      <c r="A758" t="s">
        <v>250</v>
      </c>
      <c r="B758">
        <v>190</v>
      </c>
      <c r="C758" s="2">
        <v>2617</v>
      </c>
      <c r="D758" s="1">
        <v>43445</v>
      </c>
      <c r="E758" t="str">
        <f>"139"</f>
        <v>139</v>
      </c>
      <c r="F758" t="str">
        <f>"TOWER RENT-JANUARY"</f>
        <v>TOWER RENT-JANUARY</v>
      </c>
      <c r="G758" s="3">
        <v>2617</v>
      </c>
      <c r="H758" t="str">
        <f>"TOWER RENT-JANUARY"</f>
        <v>TOWER RENT-JANUARY</v>
      </c>
    </row>
    <row r="759" spans="1:9" x14ac:dyDescent="0.25">
      <c r="A759" t="s">
        <v>251</v>
      </c>
      <c r="B759">
        <v>79983</v>
      </c>
      <c r="C759" s="2">
        <v>260</v>
      </c>
      <c r="D759" s="1">
        <v>43444</v>
      </c>
      <c r="E759" t="str">
        <f>"478"</f>
        <v>478</v>
      </c>
      <c r="F759" t="str">
        <f>"PORTABLE TOILET/HANDICAP"</f>
        <v>PORTABLE TOILET/HANDICAP</v>
      </c>
      <c r="G759" s="3">
        <v>260</v>
      </c>
      <c r="H759" t="str">
        <f>"PORTABLE TOILET/HANDICAP"</f>
        <v>PORTABLE TOILET/HANDICAP</v>
      </c>
    </row>
    <row r="760" spans="1:9" x14ac:dyDescent="0.25">
      <c r="A760" t="s">
        <v>252</v>
      </c>
      <c r="B760">
        <v>167</v>
      </c>
      <c r="C760" s="2">
        <v>1319.38</v>
      </c>
      <c r="D760" s="1">
        <v>43445</v>
      </c>
      <c r="E760" t="str">
        <f>"806709"</f>
        <v>806709</v>
      </c>
      <c r="F760" t="str">
        <f>"CUST#10222/SERVICE/LABOR/DA DO"</f>
        <v>CUST#10222/SERVICE/LABOR/DA DO</v>
      </c>
      <c r="G760" s="3">
        <v>348.3</v>
      </c>
      <c r="H760" t="str">
        <f>"CUST#10222/SERVICE/LABOR/DA DO"</f>
        <v>CUST#10222/SERVICE/LABOR/DA DO</v>
      </c>
    </row>
    <row r="761" spans="1:9" x14ac:dyDescent="0.25">
      <c r="E761" t="str">
        <f>"807460"</f>
        <v>807460</v>
      </c>
      <c r="F761" t="str">
        <f>"CUST#10222/SERVICE/LABOR"</f>
        <v>CUST#10222/SERVICE/LABOR</v>
      </c>
      <c r="G761" s="3">
        <v>404.1</v>
      </c>
      <c r="H761" t="str">
        <f>"CUST#10222/SERVICE/LABOR"</f>
        <v>CUST#10222/SERVICE/LABOR</v>
      </c>
    </row>
    <row r="762" spans="1:9" x14ac:dyDescent="0.25">
      <c r="E762" t="str">
        <f>"807545"</f>
        <v>807545</v>
      </c>
      <c r="F762" t="str">
        <f>"CUST#10222/IT DEPT"</f>
        <v>CUST#10222/IT DEPT</v>
      </c>
      <c r="G762" s="3">
        <v>566.98</v>
      </c>
      <c r="H762" t="str">
        <f>"CUST#10222/IT DEPT"</f>
        <v>CUST#10222/IT DEPT</v>
      </c>
    </row>
    <row r="763" spans="1:9" x14ac:dyDescent="0.25">
      <c r="A763" t="s">
        <v>253</v>
      </c>
      <c r="B763">
        <v>79984</v>
      </c>
      <c r="C763" s="2">
        <v>69.260000000000005</v>
      </c>
      <c r="D763" s="1">
        <v>43444</v>
      </c>
      <c r="E763" t="str">
        <f>"X301030619:01"</f>
        <v>X301030619:01</v>
      </c>
      <c r="F763" t="str">
        <f>"ACCT#104994/PCT#2"</f>
        <v>ACCT#104994/PCT#2</v>
      </c>
      <c r="G763" s="3">
        <v>69.260000000000005</v>
      </c>
      <c r="H763" t="str">
        <f>"ACCT#104994/PCT#2"</f>
        <v>ACCT#104994/PCT#2</v>
      </c>
    </row>
    <row r="764" spans="1:9" x14ac:dyDescent="0.25">
      <c r="A764" t="s">
        <v>253</v>
      </c>
      <c r="B764">
        <v>80183</v>
      </c>
      <c r="C764" s="2">
        <v>2294.14</v>
      </c>
      <c r="D764" s="1">
        <v>43461</v>
      </c>
      <c r="E764" t="str">
        <f>"R301003873-01"</f>
        <v>R301003873-01</v>
      </c>
      <c r="F764" t="str">
        <f>"MISC REPAIRS / PCT #1"</f>
        <v>MISC REPAIRS / PCT #1</v>
      </c>
      <c r="G764" s="3">
        <v>1502.98</v>
      </c>
      <c r="H764" t="str">
        <f>"MISC REPAIRS / PCT #1"</f>
        <v>MISC REPAIRS / PCT #1</v>
      </c>
    </row>
    <row r="765" spans="1:9" x14ac:dyDescent="0.25">
      <c r="E765" t="str">
        <f>"X301030627:01"</f>
        <v>X301030627:01</v>
      </c>
      <c r="F765" t="str">
        <f>"ACCT#104992/PCT#1"</f>
        <v>ACCT#104992/PCT#1</v>
      </c>
      <c r="G765" s="3">
        <v>791.16</v>
      </c>
      <c r="H765" t="str">
        <f>"ACCT#104992/PCT#1"</f>
        <v>ACCT#104992/PCT#1</v>
      </c>
    </row>
    <row r="766" spans="1:9" x14ac:dyDescent="0.25">
      <c r="A766" t="s">
        <v>254</v>
      </c>
      <c r="B766">
        <v>79985</v>
      </c>
      <c r="C766" s="2">
        <v>69.87</v>
      </c>
      <c r="D766" s="1">
        <v>43444</v>
      </c>
      <c r="E766" t="str">
        <f>"FOCS148746"</f>
        <v>FOCS148746</v>
      </c>
      <c r="F766" t="str">
        <f>"INV FOCS148746 UNIT 1668"</f>
        <v>INV FOCS148746 UNIT 1668</v>
      </c>
      <c r="G766" s="3">
        <v>69.87</v>
      </c>
      <c r="H766" t="str">
        <f>"INV FOCS148746 UNIT 1668"</f>
        <v>INV FOCS148746 UNIT 1668</v>
      </c>
    </row>
    <row r="767" spans="1:9" x14ac:dyDescent="0.25">
      <c r="A767" t="s">
        <v>255</v>
      </c>
      <c r="B767">
        <v>79986</v>
      </c>
      <c r="C767" s="2">
        <v>2367.38</v>
      </c>
      <c r="D767" s="1">
        <v>43444</v>
      </c>
      <c r="E767" t="str">
        <f>"201812045566"</f>
        <v>201812045566</v>
      </c>
      <c r="F767" t="str">
        <f>"ACCT#1650/GEN SVCS"</f>
        <v>ACCT#1650/GEN SVCS</v>
      </c>
      <c r="G767" s="3">
        <v>7.39</v>
      </c>
      <c r="H767" t="str">
        <f>"ACCT#1650/GEN SVCS"</f>
        <v>ACCT#1650/GEN SVCS</v>
      </c>
    </row>
    <row r="768" spans="1:9" x14ac:dyDescent="0.25">
      <c r="E768" t="str">
        <f>"201812045567"</f>
        <v>201812045567</v>
      </c>
      <c r="F768" t="str">
        <f>"ACCT#1650/PCT#1"</f>
        <v>ACCT#1650/PCT#1</v>
      </c>
      <c r="G768" s="3">
        <v>398.81</v>
      </c>
      <c r="H768" t="str">
        <f>"ACCT#1650/PCT#1"</f>
        <v>ACCT#1650/PCT#1</v>
      </c>
    </row>
    <row r="769" spans="1:8" x14ac:dyDescent="0.25">
      <c r="E769" t="str">
        <f>"201812045568"</f>
        <v>201812045568</v>
      </c>
      <c r="F769" t="str">
        <f>"ACCT#1750/PCT#3"</f>
        <v>ACCT#1750/PCT#3</v>
      </c>
      <c r="G769" s="3">
        <v>1102.57</v>
      </c>
      <c r="H769" t="str">
        <f>"ACCT#1750/PCT#3"</f>
        <v>ACCT#1750/PCT#3</v>
      </c>
    </row>
    <row r="770" spans="1:8" x14ac:dyDescent="0.25">
      <c r="E770" t="str">
        <f>"201812045570"</f>
        <v>201812045570</v>
      </c>
      <c r="F770" t="str">
        <f>"ACCT#1800/PCT#4"</f>
        <v>ACCT#1800/PCT#4</v>
      </c>
      <c r="G770" s="3">
        <v>858.61</v>
      </c>
      <c r="H770" t="str">
        <f>"ACCT#1800/PCT#4"</f>
        <v>ACCT#1800/PCT#4</v>
      </c>
    </row>
    <row r="771" spans="1:8" x14ac:dyDescent="0.25">
      <c r="A771" t="s">
        <v>256</v>
      </c>
      <c r="B771">
        <v>80184</v>
      </c>
      <c r="C771" s="2">
        <v>531.1</v>
      </c>
      <c r="D771" s="1">
        <v>43461</v>
      </c>
      <c r="E771" t="str">
        <f>"3244871404"</f>
        <v>3244871404</v>
      </c>
      <c r="F771" t="str">
        <f>"LODGING"</f>
        <v>LODGING</v>
      </c>
      <c r="G771" s="3">
        <v>531.1</v>
      </c>
      <c r="H771" t="str">
        <f>"LODGING"</f>
        <v>LODGING</v>
      </c>
    </row>
    <row r="772" spans="1:8" x14ac:dyDescent="0.25">
      <c r="A772" t="s">
        <v>257</v>
      </c>
      <c r="B772">
        <v>79987</v>
      </c>
      <c r="C772" s="2">
        <v>2874.02</v>
      </c>
      <c r="D772" s="1">
        <v>43444</v>
      </c>
      <c r="E772" t="str">
        <f>"201812045571"</f>
        <v>201812045571</v>
      </c>
      <c r="F772" t="str">
        <f>"INV 11140202"</f>
        <v>INV 11140202</v>
      </c>
      <c r="G772" s="3">
        <v>2874.02</v>
      </c>
      <c r="H772" t="str">
        <f>"INV 11140202"</f>
        <v>INV 11140202</v>
      </c>
    </row>
    <row r="773" spans="1:8" x14ac:dyDescent="0.25">
      <c r="E773" t="str">
        <f>""</f>
        <v/>
      </c>
      <c r="F773" t="str">
        <f>""</f>
        <v/>
      </c>
      <c r="H773" t="str">
        <f>"INV 11209489"</f>
        <v>INV 11209489</v>
      </c>
    </row>
    <row r="774" spans="1:8" x14ac:dyDescent="0.25">
      <c r="E774" t="str">
        <f>""</f>
        <v/>
      </c>
      <c r="F774" t="str">
        <f>""</f>
        <v/>
      </c>
      <c r="H774" t="str">
        <f>"INV 11288543"</f>
        <v>INV 11288543</v>
      </c>
    </row>
    <row r="775" spans="1:8" x14ac:dyDescent="0.25">
      <c r="A775" t="s">
        <v>257</v>
      </c>
      <c r="B775">
        <v>80185</v>
      </c>
      <c r="C775" s="2">
        <v>2992.66</v>
      </c>
      <c r="D775" s="1">
        <v>43461</v>
      </c>
      <c r="E775" t="str">
        <f>"12058673-1218605"</f>
        <v>12058673-1218605</v>
      </c>
      <c r="F775" t="str">
        <f>"INV 12058673"</f>
        <v>INV 12058673</v>
      </c>
      <c r="G775" s="3">
        <v>2992.66</v>
      </c>
      <c r="H775" t="str">
        <f>"INV 12058673"</f>
        <v>INV 12058673</v>
      </c>
    </row>
    <row r="776" spans="1:8" x14ac:dyDescent="0.25">
      <c r="E776" t="str">
        <f>""</f>
        <v/>
      </c>
      <c r="F776" t="str">
        <f>""</f>
        <v/>
      </c>
      <c r="H776" t="str">
        <f>"INV 12062142"</f>
        <v>INV 12062142</v>
      </c>
    </row>
    <row r="777" spans="1:8" x14ac:dyDescent="0.25">
      <c r="E777" t="str">
        <f>""</f>
        <v/>
      </c>
      <c r="F777" t="str">
        <f>""</f>
        <v/>
      </c>
      <c r="H777" t="str">
        <f>"INV 12128605"</f>
        <v>INV 12128605</v>
      </c>
    </row>
    <row r="778" spans="1:8" x14ac:dyDescent="0.25">
      <c r="A778" t="s">
        <v>258</v>
      </c>
      <c r="B778">
        <v>80186</v>
      </c>
      <c r="C778" s="2">
        <v>150</v>
      </c>
      <c r="D778" s="1">
        <v>43461</v>
      </c>
      <c r="E778" t="str">
        <f>"201812175848"</f>
        <v>201812175848</v>
      </c>
      <c r="F778" t="str">
        <f>"CLEANING/PCT#2"</f>
        <v>CLEANING/PCT#2</v>
      </c>
      <c r="G778" s="3">
        <v>150</v>
      </c>
      <c r="H778" t="str">
        <f>"CLEANING/PCT#2"</f>
        <v>CLEANING/PCT#2</v>
      </c>
    </row>
    <row r="779" spans="1:8" x14ac:dyDescent="0.25">
      <c r="A779" t="s">
        <v>259</v>
      </c>
      <c r="B779">
        <v>222</v>
      </c>
      <c r="C779" s="2">
        <v>3479.6</v>
      </c>
      <c r="D779" s="1">
        <v>43462</v>
      </c>
      <c r="E779" t="str">
        <f>"201812125700"</f>
        <v>201812125700</v>
      </c>
      <c r="F779" t="str">
        <f>"423-4575"</f>
        <v>423-4575</v>
      </c>
      <c r="G779" s="3">
        <v>699.6</v>
      </c>
      <c r="H779" t="str">
        <f>"423-4575"</f>
        <v>423-4575</v>
      </c>
    </row>
    <row r="780" spans="1:8" x14ac:dyDescent="0.25">
      <c r="E780" t="str">
        <f>"201812135782"</f>
        <v>201812135782</v>
      </c>
      <c r="F780" t="str">
        <f>"423-4452"</f>
        <v>423-4452</v>
      </c>
      <c r="G780" s="3">
        <v>257.5</v>
      </c>
      <c r="H780" t="str">
        <f>"423-4452"</f>
        <v>423-4452</v>
      </c>
    </row>
    <row r="781" spans="1:8" x14ac:dyDescent="0.25">
      <c r="E781" t="str">
        <f>"201812135783"</f>
        <v>201812135783</v>
      </c>
      <c r="F781" t="str">
        <f>"423-4921"</f>
        <v>423-4921</v>
      </c>
      <c r="G781" s="3">
        <v>535</v>
      </c>
      <c r="H781" t="str">
        <f>"423-4921"</f>
        <v>423-4921</v>
      </c>
    </row>
    <row r="782" spans="1:8" x14ac:dyDescent="0.25">
      <c r="E782" t="str">
        <f>"201812135784"</f>
        <v>201812135784</v>
      </c>
      <c r="F782" t="str">
        <f>"423-1015"</f>
        <v>423-1015</v>
      </c>
      <c r="G782" s="3">
        <v>392.5</v>
      </c>
      <c r="H782" t="str">
        <f>"423-1015"</f>
        <v>423-1015</v>
      </c>
    </row>
    <row r="783" spans="1:8" x14ac:dyDescent="0.25">
      <c r="E783" t="str">
        <f>"201812135785"</f>
        <v>201812135785</v>
      </c>
      <c r="F783" t="str">
        <f>"423-2436"</f>
        <v>423-2436</v>
      </c>
      <c r="G783" s="3">
        <v>462.5</v>
      </c>
      <c r="H783" t="str">
        <f>"423-2436"</f>
        <v>423-2436</v>
      </c>
    </row>
    <row r="784" spans="1:8" x14ac:dyDescent="0.25">
      <c r="E784" t="str">
        <f>"201812195934"</f>
        <v>201812195934</v>
      </c>
      <c r="F784" t="str">
        <f>"14-16754 / 092518-121818"</f>
        <v>14-16754 / 092518-121818</v>
      </c>
      <c r="G784" s="3">
        <v>1132.5</v>
      </c>
      <c r="H784" t="str">
        <f>"14-16754 / 092518-121818"</f>
        <v>14-16754 / 092518-121818</v>
      </c>
    </row>
    <row r="785" spans="1:8" x14ac:dyDescent="0.25">
      <c r="A785" t="s">
        <v>260</v>
      </c>
      <c r="B785">
        <v>80187</v>
      </c>
      <c r="C785" s="2">
        <v>5890</v>
      </c>
      <c r="D785" s="1">
        <v>43461</v>
      </c>
      <c r="E785" t="str">
        <f>"248493"</f>
        <v>248493</v>
      </c>
      <c r="F785" t="str">
        <f>"Inv# 248493"</f>
        <v>Inv# 248493</v>
      </c>
      <c r="G785" s="3">
        <v>5890</v>
      </c>
      <c r="H785" t="str">
        <f>"package"</f>
        <v>package</v>
      </c>
    </row>
    <row r="786" spans="1:8" x14ac:dyDescent="0.25">
      <c r="A786" t="s">
        <v>261</v>
      </c>
      <c r="B786">
        <v>80188</v>
      </c>
      <c r="C786" s="2">
        <v>275.89</v>
      </c>
      <c r="D786" s="1">
        <v>43461</v>
      </c>
      <c r="E786" t="str">
        <f>"201812125768"</f>
        <v>201812125768</v>
      </c>
      <c r="F786" t="str">
        <f>"TIRE SVCS/PCT#4"</f>
        <v>TIRE SVCS/PCT#4</v>
      </c>
      <c r="G786" s="3">
        <v>275.89</v>
      </c>
      <c r="H786" t="str">
        <f>"TIRE SVCS/PCT#4"</f>
        <v>TIRE SVCS/PCT#4</v>
      </c>
    </row>
    <row r="787" spans="1:8" x14ac:dyDescent="0.25">
      <c r="A787" t="s">
        <v>262</v>
      </c>
      <c r="B787">
        <v>79885</v>
      </c>
      <c r="C787" s="2">
        <v>117.14</v>
      </c>
      <c r="D787" s="1">
        <v>43441</v>
      </c>
      <c r="E787" t="str">
        <f>"201812075613"</f>
        <v>201812075613</v>
      </c>
      <c r="F787" t="str">
        <f>"ACCT#1-09-00072-02 1 /11262018"</f>
        <v>ACCT#1-09-00072-02 1 /11262018</v>
      </c>
      <c r="G787" s="3">
        <v>117.14</v>
      </c>
      <c r="H787" t="str">
        <f>"ACCT#1-09-00072-02 1 /11262018"</f>
        <v>ACCT#1-09-00072-02 1 /11262018</v>
      </c>
    </row>
    <row r="788" spans="1:8" x14ac:dyDescent="0.25">
      <c r="A788" t="s">
        <v>262</v>
      </c>
      <c r="B788">
        <v>80289</v>
      </c>
      <c r="C788" s="2">
        <v>50.25</v>
      </c>
      <c r="D788" s="1">
        <v>43462</v>
      </c>
      <c r="E788" t="str">
        <f>"201812286053"</f>
        <v>201812286053</v>
      </c>
      <c r="F788" t="str">
        <f>"ACCT#1-09-00072-02 1/12212018"</f>
        <v>ACCT#1-09-00072-02 1/12212018</v>
      </c>
      <c r="G788" s="3">
        <v>50.25</v>
      </c>
      <c r="H788" t="str">
        <f>"ACCT#1-09-00072-02 1/12212018"</f>
        <v>ACCT#1-09-00072-02 1/12212018</v>
      </c>
    </row>
    <row r="789" spans="1:8" x14ac:dyDescent="0.25">
      <c r="A789" t="s">
        <v>263</v>
      </c>
      <c r="B789">
        <v>80189</v>
      </c>
      <c r="C789" s="2">
        <v>788.75</v>
      </c>
      <c r="D789" s="1">
        <v>43461</v>
      </c>
      <c r="E789" t="str">
        <f>"1211621-20181130"</f>
        <v>1211621-20181130</v>
      </c>
      <c r="F789" t="str">
        <f>"BILLING ID:1211621/HEALTH SVCS"</f>
        <v>BILLING ID:1211621/HEALTH SVCS</v>
      </c>
      <c r="G789" s="3">
        <v>254.6</v>
      </c>
      <c r="H789" t="str">
        <f>"BILLING ID:1211621/HEALTH SVCS"</f>
        <v>BILLING ID:1211621/HEALTH SVCS</v>
      </c>
    </row>
    <row r="790" spans="1:8" x14ac:dyDescent="0.25">
      <c r="E790" t="str">
        <f>"1361725-20181130"</f>
        <v>1361725-20181130</v>
      </c>
      <c r="F790" t="str">
        <f>"BILLING ID:1361725/INDIGENT HE"</f>
        <v>BILLING ID:1361725/INDIGENT HE</v>
      </c>
      <c r="G790" s="3">
        <v>101.6</v>
      </c>
      <c r="H790" t="str">
        <f>"BILLING ID:1361725/INDIGENT HE"</f>
        <v>BILLING ID:1361725/INDIGENT HE</v>
      </c>
    </row>
    <row r="791" spans="1:8" x14ac:dyDescent="0.25">
      <c r="E791" t="str">
        <f>"1394645-20181130"</f>
        <v>1394645-20181130</v>
      </c>
      <c r="F791" t="str">
        <f>"BILLING ID:1394645/COUNTY CLER"</f>
        <v>BILLING ID:1394645/COUNTY CLER</v>
      </c>
      <c r="G791" s="3">
        <v>60.75</v>
      </c>
      <c r="H791" t="str">
        <f>"BILLING ID:1394645/COUNTY CLER"</f>
        <v>BILLING ID:1394645/COUNTY CLER</v>
      </c>
    </row>
    <row r="792" spans="1:8" x14ac:dyDescent="0.25">
      <c r="E792" t="str">
        <f>"1420944-20181130"</f>
        <v>1420944-20181130</v>
      </c>
      <c r="F792" t="str">
        <f>"BILLING ID:1420944/SHERIFF OFF"</f>
        <v>BILLING ID:1420944/SHERIFF OFF</v>
      </c>
      <c r="G792" s="3">
        <v>321.8</v>
      </c>
      <c r="H792" t="str">
        <f>"BILLING ID:1420944/SHERIFF OFF"</f>
        <v>BILLING ID:1420944/SHERIFF OFF</v>
      </c>
    </row>
    <row r="793" spans="1:8" x14ac:dyDescent="0.25">
      <c r="E793" t="str">
        <f>"1489870-20181130"</f>
        <v>1489870-20181130</v>
      </c>
      <c r="F793" t="str">
        <f>"BILLING ID:1489870/DIST CLERK"</f>
        <v>BILLING ID:1489870/DIST CLERK</v>
      </c>
      <c r="G793" s="3">
        <v>50</v>
      </c>
      <c r="H793" t="str">
        <f>"BILLING ID:1489870/DIST CLERK"</f>
        <v>BILLING ID:1489870/DIST CLERK</v>
      </c>
    </row>
    <row r="794" spans="1:8" x14ac:dyDescent="0.25">
      <c r="A794" t="s">
        <v>264</v>
      </c>
      <c r="B794">
        <v>80190</v>
      </c>
      <c r="C794" s="2">
        <v>1706.97</v>
      </c>
      <c r="D794" s="1">
        <v>43461</v>
      </c>
      <c r="E794" t="str">
        <f>"1495612"</f>
        <v>1495612</v>
      </c>
      <c r="F794" t="str">
        <f>"ACCT#15717/TIRE SVCS"</f>
        <v>ACCT#15717/TIRE SVCS</v>
      </c>
      <c r="G794" s="3">
        <v>1706.97</v>
      </c>
      <c r="H794" t="str">
        <f>"ACCT#15717/TIRE SVCS"</f>
        <v>ACCT#15717/TIRE SVCS</v>
      </c>
    </row>
    <row r="795" spans="1:8" x14ac:dyDescent="0.25">
      <c r="A795" t="s">
        <v>265</v>
      </c>
      <c r="B795">
        <v>196</v>
      </c>
      <c r="C795" s="2">
        <v>7.5</v>
      </c>
      <c r="D795" s="1">
        <v>43445</v>
      </c>
      <c r="E795" t="str">
        <f>"201812045515"</f>
        <v>201812045515</v>
      </c>
      <c r="F795" t="str">
        <f>"VEHICLE REGIST-2007 FRHT/PCT#2"</f>
        <v>VEHICLE REGIST-2007 FRHT/PCT#2</v>
      </c>
      <c r="G795" s="3">
        <v>7.5</v>
      </c>
      <c r="H795" t="str">
        <f>"VEHICLE REGIST-2007 FRHT/PCT#2"</f>
        <v>VEHICLE REGIST-2007 FRHT/PCT#2</v>
      </c>
    </row>
    <row r="796" spans="1:8" x14ac:dyDescent="0.25">
      <c r="A796" t="s">
        <v>265</v>
      </c>
      <c r="B796">
        <v>258</v>
      </c>
      <c r="C796" s="2">
        <v>133</v>
      </c>
      <c r="D796" s="1">
        <v>43462</v>
      </c>
      <c r="E796" t="str">
        <f>"201812125765"</f>
        <v>201812125765</v>
      </c>
      <c r="F796" t="str">
        <f>"VEHICLE REGIST-2018 PTRBLT/P3"</f>
        <v>VEHICLE REGIST-2018 PTRBLT/P3</v>
      </c>
      <c r="G796" s="3">
        <v>22</v>
      </c>
      <c r="H796" t="str">
        <f>"VEHICLE REGIST-2018 PTRBLT/P3"</f>
        <v>VEHICLE REGIST-2018 PTRBLT/P3</v>
      </c>
    </row>
    <row r="797" spans="1:8" x14ac:dyDescent="0.25">
      <c r="E797" t="str">
        <f>"201812135786"</f>
        <v>201812135786</v>
      </c>
      <c r="F797" t="str">
        <f>"VEHICLE REGISTRATIONS/PCT#3"</f>
        <v>VEHICLE REGISTRATIONS/PCT#3</v>
      </c>
      <c r="G797" s="3">
        <v>66.5</v>
      </c>
      <c r="H797" t="str">
        <f>"VEHICLE REGISTRATIONS/PCT#3"</f>
        <v>VEHICLE REGISTRATIONS/PCT#3</v>
      </c>
    </row>
    <row r="798" spans="1:8" x14ac:dyDescent="0.25">
      <c r="E798" t="str">
        <f>"201812135787"</f>
        <v>201812135787</v>
      </c>
      <c r="F798" t="str">
        <f>"VEHICLE REGISTRATION/PCT#2"</f>
        <v>VEHICLE REGISTRATION/PCT#2</v>
      </c>
      <c r="G798" s="3">
        <v>22</v>
      </c>
      <c r="H798" t="str">
        <f>"VEHICLE REGISTRATION/PCT#2"</f>
        <v>VEHICLE REGISTRATION/PCT#2</v>
      </c>
    </row>
    <row r="799" spans="1:8" x14ac:dyDescent="0.25">
      <c r="E799" t="str">
        <f>"201812195938"</f>
        <v>201812195938</v>
      </c>
      <c r="F799" t="str">
        <f>"VEHICLE REGISTRATIONS / SO"</f>
        <v>VEHICLE REGISTRATIONS / SO</v>
      </c>
      <c r="G799" s="3">
        <v>22.5</v>
      </c>
      <c r="H799" t="str">
        <f>"VEHICLE REGISTRATIONS / SO"</f>
        <v>VEHICLE REGISTRATIONS / SO</v>
      </c>
    </row>
    <row r="800" spans="1:8" x14ac:dyDescent="0.25">
      <c r="A800" t="s">
        <v>265</v>
      </c>
      <c r="B800">
        <v>79988</v>
      </c>
      <c r="C800" s="2">
        <v>100</v>
      </c>
      <c r="D800" s="1">
        <v>43444</v>
      </c>
      <c r="E800" t="str">
        <f>"201811275295"</f>
        <v>201811275295</v>
      </c>
      <c r="F800" t="str">
        <f>"REIMBURSE COUNTERFEIT $100"</f>
        <v>REIMBURSE COUNTERFEIT $100</v>
      </c>
      <c r="G800" s="3">
        <v>100</v>
      </c>
      <c r="H800" t="str">
        <f>"REIMBURSE COUNTERFEIT $100"</f>
        <v>REIMBURSE COUNTERFEIT $100</v>
      </c>
    </row>
    <row r="801" spans="1:8" x14ac:dyDescent="0.25">
      <c r="A801" t="s">
        <v>266</v>
      </c>
      <c r="B801">
        <v>80191</v>
      </c>
      <c r="C801" s="2">
        <v>250</v>
      </c>
      <c r="D801" s="1">
        <v>43461</v>
      </c>
      <c r="E801" t="str">
        <f>"201812135800"</f>
        <v>201812135800</v>
      </c>
      <c r="F801" t="str">
        <f>"56 111"</f>
        <v>56 111</v>
      </c>
      <c r="G801" s="3">
        <v>250</v>
      </c>
      <c r="H801" t="str">
        <f>"56 111"</f>
        <v>56 111</v>
      </c>
    </row>
    <row r="802" spans="1:8" x14ac:dyDescent="0.25">
      <c r="A802" t="s">
        <v>267</v>
      </c>
      <c r="B802">
        <v>79989</v>
      </c>
      <c r="C802" s="2">
        <v>175</v>
      </c>
      <c r="D802" s="1">
        <v>43444</v>
      </c>
      <c r="E802" t="str">
        <f>"201812035469"</f>
        <v>201812035469</v>
      </c>
      <c r="F802" t="str">
        <f>"FERAL HOGS"</f>
        <v>FERAL HOGS</v>
      </c>
      <c r="G802" s="3">
        <v>45</v>
      </c>
      <c r="H802" t="str">
        <f>"FERAL HOGS"</f>
        <v>FERAL HOGS</v>
      </c>
    </row>
    <row r="803" spans="1:8" x14ac:dyDescent="0.25">
      <c r="E803" t="str">
        <f>"201812035470"</f>
        <v>201812035470</v>
      </c>
      <c r="F803" t="str">
        <f>"FERAL HOGS"</f>
        <v>FERAL HOGS</v>
      </c>
      <c r="G803" s="3">
        <v>130</v>
      </c>
      <c r="H803" t="str">
        <f>"FERAL HOGS"</f>
        <v>FERAL HOGS</v>
      </c>
    </row>
    <row r="804" spans="1:8" x14ac:dyDescent="0.25">
      <c r="A804" t="s">
        <v>268</v>
      </c>
      <c r="B804">
        <v>234</v>
      </c>
      <c r="C804" s="2">
        <v>13927.13</v>
      </c>
      <c r="D804" s="1">
        <v>43462</v>
      </c>
      <c r="E804" t="str">
        <f>"201812145826"</f>
        <v>201812145826</v>
      </c>
      <c r="F804" t="str">
        <f>"GRANT REIMBURSEMENT"</f>
        <v>GRANT REIMBURSEMENT</v>
      </c>
      <c r="G804" s="3">
        <v>13927.13</v>
      </c>
      <c r="H804" t="str">
        <f>"GRANT REIMBURSEMENT"</f>
        <v>GRANT REIMBURSEMENT</v>
      </c>
    </row>
    <row r="805" spans="1:8" x14ac:dyDescent="0.25">
      <c r="A805" t="s">
        <v>269</v>
      </c>
      <c r="B805">
        <v>233</v>
      </c>
      <c r="C805" s="2">
        <v>2500</v>
      </c>
      <c r="D805" s="1">
        <v>43462</v>
      </c>
      <c r="E805" t="str">
        <f>"LS-2017FORD-BCSO"</f>
        <v>LS-2017FORD-BCSO</v>
      </c>
      <c r="F805" t="str">
        <f>"INV LS-2017FORD-BCSO"</f>
        <v>INV LS-2017FORD-BCSO</v>
      </c>
      <c r="G805" s="3">
        <v>2500</v>
      </c>
      <c r="H805" t="str">
        <f>"INV LS-2017FORD-BCSO"</f>
        <v>INV LS-2017FORD-BCSO</v>
      </c>
    </row>
    <row r="806" spans="1:8" x14ac:dyDescent="0.25">
      <c r="A806" t="s">
        <v>270</v>
      </c>
      <c r="B806">
        <v>80192</v>
      </c>
      <c r="C806" s="2">
        <v>54.41</v>
      </c>
      <c r="D806" s="1">
        <v>43461</v>
      </c>
      <c r="E806" t="str">
        <f>"201812195968"</f>
        <v>201812195968</v>
      </c>
      <c r="F806" t="str">
        <f>"INDIGENT HEALTH"</f>
        <v>INDIGENT HEALTH</v>
      </c>
      <c r="G806" s="3">
        <v>54.41</v>
      </c>
      <c r="H806" t="str">
        <f>"INDIGENT HEALTH"</f>
        <v>INDIGENT HEALTH</v>
      </c>
    </row>
    <row r="807" spans="1:8" x14ac:dyDescent="0.25">
      <c r="A807" t="s">
        <v>271</v>
      </c>
      <c r="B807">
        <v>181</v>
      </c>
      <c r="C807" s="2">
        <v>559</v>
      </c>
      <c r="D807" s="1">
        <v>43445</v>
      </c>
      <c r="E807" t="str">
        <f>"201812045524"</f>
        <v>201812045524</v>
      </c>
      <c r="F807" t="str">
        <f>"TRASH REMOVAL 11/26-11/30/PCT4"</f>
        <v>TRASH REMOVAL 11/26-11/30/PCT4</v>
      </c>
      <c r="G807" s="3">
        <v>247</v>
      </c>
      <c r="H807" t="str">
        <f>"TRASH REMOVAL 11/26-11/30/PCT4"</f>
        <v>TRASH REMOVAL 11/26-11/30/PCT4</v>
      </c>
    </row>
    <row r="808" spans="1:8" x14ac:dyDescent="0.25">
      <c r="E808" t="str">
        <f>"201812045525"</f>
        <v>201812045525</v>
      </c>
      <c r="F808" t="str">
        <f>"TRASH REMOVAL 12/3-12/7/PCT#4"</f>
        <v>TRASH REMOVAL 12/3-12/7/PCT#4</v>
      </c>
      <c r="G808" s="3">
        <v>312</v>
      </c>
      <c r="H808" t="str">
        <f>"TRASH REMOVAL 12/3-12/7/PCT#4"</f>
        <v>TRASH REMOVAL 12/3-12/7/PCT#4</v>
      </c>
    </row>
    <row r="809" spans="1:8" x14ac:dyDescent="0.25">
      <c r="A809" t="s">
        <v>271</v>
      </c>
      <c r="B809">
        <v>241</v>
      </c>
      <c r="C809" s="2">
        <v>669.5</v>
      </c>
      <c r="D809" s="1">
        <v>43462</v>
      </c>
      <c r="E809" t="str">
        <f>"201812185855"</f>
        <v>201812185855</v>
      </c>
      <c r="F809" t="str">
        <f>"TRASH REMOVAL 12/10-12/21/PCT4"</f>
        <v>TRASH REMOVAL 12/10-12/21/PCT4</v>
      </c>
      <c r="G809" s="3">
        <v>669.5</v>
      </c>
      <c r="H809" t="str">
        <f>"TRASH REMOVAL 12/10-12/21/PCT4"</f>
        <v>TRASH REMOVAL 12/10-12/21/PCT4</v>
      </c>
    </row>
    <row r="810" spans="1:8" x14ac:dyDescent="0.25">
      <c r="A810" t="s">
        <v>272</v>
      </c>
      <c r="B810">
        <v>79990</v>
      </c>
      <c r="C810" s="2">
        <v>70</v>
      </c>
      <c r="D810" s="1">
        <v>43444</v>
      </c>
      <c r="E810" t="str">
        <f>"201811305440"</f>
        <v>201811305440</v>
      </c>
      <c r="F810" t="str">
        <f>"FERAL HOGS"</f>
        <v>FERAL HOGS</v>
      </c>
      <c r="G810" s="3">
        <v>70</v>
      </c>
      <c r="H810" t="str">
        <f>"FERAL HOGS"</f>
        <v>FERAL HOGS</v>
      </c>
    </row>
    <row r="811" spans="1:8" x14ac:dyDescent="0.25">
      <c r="A811" t="s">
        <v>273</v>
      </c>
      <c r="B811">
        <v>80193</v>
      </c>
      <c r="C811" s="2">
        <v>100</v>
      </c>
      <c r="D811" s="1">
        <v>43461</v>
      </c>
      <c r="E811" t="str">
        <f>"201812125742"</f>
        <v>201812125742</v>
      </c>
      <c r="F811" t="str">
        <f>"FERAL HOGS"</f>
        <v>FERAL HOGS</v>
      </c>
      <c r="G811" s="3">
        <v>100</v>
      </c>
      <c r="H811" t="str">
        <f>"FERAL HOGS"</f>
        <v>FERAL HOGS</v>
      </c>
    </row>
    <row r="812" spans="1:8" x14ac:dyDescent="0.25">
      <c r="A812" t="s">
        <v>274</v>
      </c>
      <c r="B812">
        <v>80194</v>
      </c>
      <c r="C812" s="2">
        <v>2334.63</v>
      </c>
      <c r="D812" s="1">
        <v>43461</v>
      </c>
      <c r="E812" t="str">
        <f>"BC-BB552-3"</f>
        <v>BC-BB552-3</v>
      </c>
      <c r="F812" t="str">
        <f>"2010 FHRT REPAIRS/PCT#3"</f>
        <v>2010 FHRT REPAIRS/PCT#3</v>
      </c>
      <c r="G812" s="3">
        <v>1291.24</v>
      </c>
      <c r="H812" t="str">
        <f>"2010 FHRT REPAIRS/PCT#3"</f>
        <v>2010 FHRT REPAIRS/PCT#3</v>
      </c>
    </row>
    <row r="813" spans="1:8" x14ac:dyDescent="0.25">
      <c r="E813" t="str">
        <f>"BC-YR162997"</f>
        <v>BC-YR162997</v>
      </c>
      <c r="F813" t="str">
        <f>"1999 CHEV REPAIRS/PCT#3"</f>
        <v>1999 CHEV REPAIRS/PCT#3</v>
      </c>
      <c r="G813" s="3">
        <v>1043.3900000000001</v>
      </c>
      <c r="H813" t="str">
        <f>"1999 CHEV REPAIRS/PCT#3"</f>
        <v>1999 CHEV REPAIRS/PCT#3</v>
      </c>
    </row>
    <row r="814" spans="1:8" x14ac:dyDescent="0.25">
      <c r="A814" t="s">
        <v>275</v>
      </c>
      <c r="B814">
        <v>80195</v>
      </c>
      <c r="C814" s="2">
        <v>255.64</v>
      </c>
      <c r="D814" s="1">
        <v>43461</v>
      </c>
      <c r="E814" t="str">
        <f>"201812145820"</f>
        <v>201812145820</v>
      </c>
      <c r="F814" t="str">
        <f>"Acct# 9906938692"</f>
        <v>Acct# 9906938692</v>
      </c>
      <c r="G814" s="3">
        <v>255.64</v>
      </c>
      <c r="H814" t="str">
        <f>"Inv# 912444"</f>
        <v>Inv# 912444</v>
      </c>
    </row>
    <row r="815" spans="1:8" x14ac:dyDescent="0.25">
      <c r="E815" t="str">
        <f>""</f>
        <v/>
      </c>
      <c r="F815" t="str">
        <f>""</f>
        <v/>
      </c>
      <c r="H815" t="str">
        <f>"Inv# 902209"</f>
        <v>Inv# 902209</v>
      </c>
    </row>
    <row r="816" spans="1:8" x14ac:dyDescent="0.25">
      <c r="E816" t="str">
        <f>""</f>
        <v/>
      </c>
      <c r="F816" t="str">
        <f>""</f>
        <v/>
      </c>
      <c r="H816" t="str">
        <f>"Inv# 913173"</f>
        <v>Inv# 913173</v>
      </c>
    </row>
    <row r="817" spans="1:8" x14ac:dyDescent="0.25">
      <c r="A817" t="s">
        <v>276</v>
      </c>
      <c r="B817">
        <v>79991</v>
      </c>
      <c r="C817" s="2">
        <v>65</v>
      </c>
      <c r="D817" s="1">
        <v>43444</v>
      </c>
      <c r="E817" t="str">
        <f>"201811305457"</f>
        <v>201811305457</v>
      </c>
      <c r="F817" t="str">
        <f>"FERAL HOGS"</f>
        <v>FERAL HOGS</v>
      </c>
      <c r="G817" s="3">
        <v>65</v>
      </c>
      <c r="H817" t="str">
        <f>"FERAL HOGS"</f>
        <v>FERAL HOGS</v>
      </c>
    </row>
    <row r="818" spans="1:8" x14ac:dyDescent="0.25">
      <c r="A818" t="s">
        <v>277</v>
      </c>
      <c r="B818">
        <v>79992</v>
      </c>
      <c r="C818" s="2">
        <v>225</v>
      </c>
      <c r="D818" s="1">
        <v>43444</v>
      </c>
      <c r="E818" t="str">
        <f>"12058"</f>
        <v>12058</v>
      </c>
      <c r="F818" t="str">
        <f>"CARPET CLEANING/GEN SVCS"</f>
        <v>CARPET CLEANING/GEN SVCS</v>
      </c>
      <c r="G818" s="3">
        <v>225</v>
      </c>
      <c r="H818" t="str">
        <f>"CARPET CLEANING/GEN SVCS"</f>
        <v>CARPET CLEANING/GEN SVCS</v>
      </c>
    </row>
    <row r="819" spans="1:8" x14ac:dyDescent="0.25">
      <c r="A819" t="s">
        <v>277</v>
      </c>
      <c r="B819">
        <v>80196</v>
      </c>
      <c r="C819" s="2">
        <v>2225</v>
      </c>
      <c r="D819" s="1">
        <v>43461</v>
      </c>
      <c r="E819" t="str">
        <f>"12193"</f>
        <v>12193</v>
      </c>
      <c r="F819" t="str">
        <f>"PRIORITY SVC/SCRUB/WAX"</f>
        <v>PRIORITY SVC/SCRUB/WAX</v>
      </c>
      <c r="G819" s="3">
        <v>1975</v>
      </c>
      <c r="H819" t="str">
        <f>"PRIORITY SVC/SCRUB/WAX"</f>
        <v>PRIORITY SVC/SCRUB/WAX</v>
      </c>
    </row>
    <row r="820" spans="1:8" x14ac:dyDescent="0.25">
      <c r="E820" t="str">
        <f>"12228"</f>
        <v>12228</v>
      </c>
      <c r="F820" t="str">
        <f>"CLEANING/COURTHOUSE COMPLEX"</f>
        <v>CLEANING/COURTHOUSE COMPLEX</v>
      </c>
      <c r="G820" s="3">
        <v>250</v>
      </c>
      <c r="H820" t="str">
        <f>"CLEANING/COURTHOUSE COMPLEX"</f>
        <v>CLEANING/COURTHOUSE COMPLEX</v>
      </c>
    </row>
    <row r="821" spans="1:8" x14ac:dyDescent="0.25">
      <c r="A821" t="s">
        <v>278</v>
      </c>
      <c r="B821">
        <v>79993</v>
      </c>
      <c r="C821" s="2">
        <v>41.42</v>
      </c>
      <c r="D821" s="1">
        <v>43444</v>
      </c>
      <c r="E821" t="str">
        <f>"201812035486"</f>
        <v>201812035486</v>
      </c>
      <c r="F821" t="str">
        <f>"MILEAGE REIMBURSEMENT"</f>
        <v>MILEAGE REIMBURSEMENT</v>
      </c>
      <c r="G821" s="3">
        <v>41.42</v>
      </c>
      <c r="H821" t="str">
        <f>"MILEAGE REIMBURSEMENT"</f>
        <v>MILEAGE REIMBURSEMENT</v>
      </c>
    </row>
    <row r="822" spans="1:8" x14ac:dyDescent="0.25">
      <c r="A822" t="s">
        <v>279</v>
      </c>
      <c r="B822">
        <v>79994</v>
      </c>
      <c r="C822" s="2">
        <v>109</v>
      </c>
      <c r="D822" s="1">
        <v>43444</v>
      </c>
      <c r="E822" t="str">
        <f>"18-1031-16515-1668"</f>
        <v>18-1031-16515-1668</v>
      </c>
      <c r="F822" t="str">
        <f>"16 515  16 682"</f>
        <v>16 515  16 682</v>
      </c>
      <c r="G822" s="3">
        <v>109</v>
      </c>
      <c r="H822" t="str">
        <f>"16 515  16 682"</f>
        <v>16 515  16 682</v>
      </c>
    </row>
    <row r="823" spans="1:8" x14ac:dyDescent="0.25">
      <c r="A823" t="s">
        <v>280</v>
      </c>
      <c r="B823">
        <v>80197</v>
      </c>
      <c r="C823" s="2">
        <v>394.69</v>
      </c>
      <c r="D823" s="1">
        <v>43461</v>
      </c>
      <c r="E823" t="str">
        <f>"201812185854"</f>
        <v>201812185854</v>
      </c>
      <c r="F823" t="str">
        <f>"CIVIL COURT 12142018"</f>
        <v>CIVIL COURT 12142018</v>
      </c>
      <c r="G823" s="3">
        <v>394.69</v>
      </c>
      <c r="H823" t="str">
        <f>"CIVIL COURT 12142018"</f>
        <v>CIVIL COURT 12142018</v>
      </c>
    </row>
    <row r="824" spans="1:8" x14ac:dyDescent="0.25">
      <c r="A824" t="s">
        <v>281</v>
      </c>
      <c r="B824">
        <v>80198</v>
      </c>
      <c r="C824" s="2">
        <v>390</v>
      </c>
      <c r="D824" s="1">
        <v>43461</v>
      </c>
      <c r="E824" t="str">
        <f>"201812195962"</f>
        <v>201812195962</v>
      </c>
      <c r="F824" t="str">
        <f>"INDIGENT HEALTH"</f>
        <v>INDIGENT HEALTH</v>
      </c>
      <c r="G824" s="3">
        <v>390</v>
      </c>
      <c r="H824" t="str">
        <f>"INDIGENT HEALTH"</f>
        <v>INDIGENT HEALTH</v>
      </c>
    </row>
    <row r="825" spans="1:8" x14ac:dyDescent="0.25">
      <c r="A825" t="s">
        <v>282</v>
      </c>
      <c r="B825">
        <v>79995</v>
      </c>
      <c r="C825" s="2">
        <v>75</v>
      </c>
      <c r="D825" s="1">
        <v>43444</v>
      </c>
      <c r="E825" t="str">
        <f>"201811305451"</f>
        <v>201811305451</v>
      </c>
      <c r="F825" t="str">
        <f>"FERAL HOGS"</f>
        <v>FERAL HOGS</v>
      </c>
      <c r="G825" s="3">
        <v>75</v>
      </c>
      <c r="H825" t="str">
        <f>"FERAL HOGS"</f>
        <v>FERAL HOGS</v>
      </c>
    </row>
    <row r="826" spans="1:8" x14ac:dyDescent="0.25">
      <c r="A826" t="s">
        <v>283</v>
      </c>
      <c r="B826">
        <v>80199</v>
      </c>
      <c r="C826" s="2">
        <v>734.77</v>
      </c>
      <c r="D826" s="1">
        <v>43461</v>
      </c>
      <c r="E826" t="str">
        <f>"201812195969"</f>
        <v>201812195969</v>
      </c>
      <c r="F826" t="str">
        <f>"INDIGENT HEALTH"</f>
        <v>INDIGENT HEALTH</v>
      </c>
      <c r="G826" s="3">
        <v>734.77</v>
      </c>
      <c r="H826" t="str">
        <f>"INDIGENT HEALTH"</f>
        <v>INDIGENT HEALTH</v>
      </c>
    </row>
    <row r="827" spans="1:8" x14ac:dyDescent="0.25">
      <c r="E827" t="str">
        <f>""</f>
        <v/>
      </c>
      <c r="F827" t="str">
        <f>""</f>
        <v/>
      </c>
      <c r="H827" t="str">
        <f>"INDIGENT HEALTH"</f>
        <v>INDIGENT HEALTH</v>
      </c>
    </row>
    <row r="828" spans="1:8" x14ac:dyDescent="0.25">
      <c r="E828" t="str">
        <f>""</f>
        <v/>
      </c>
      <c r="F828" t="str">
        <f>""</f>
        <v/>
      </c>
      <c r="H828" t="str">
        <f>"INDIGENT HEALTH"</f>
        <v>INDIGENT HEALTH</v>
      </c>
    </row>
    <row r="829" spans="1:8" x14ac:dyDescent="0.25">
      <c r="A829" t="s">
        <v>284</v>
      </c>
      <c r="B829">
        <v>80200</v>
      </c>
      <c r="C829" s="2">
        <v>495</v>
      </c>
      <c r="D829" s="1">
        <v>43461</v>
      </c>
      <c r="E829" t="str">
        <f>"1824-002084"</f>
        <v>1824-002084</v>
      </c>
      <c r="F829" t="str">
        <f>"TRANSPORT-C.Q. CHE"</f>
        <v>TRANSPORT-C.Q. CHE</v>
      </c>
      <c r="G829" s="3">
        <v>495</v>
      </c>
      <c r="H829" t="str">
        <f>"TRANSPORT-C.Q. CHE"</f>
        <v>TRANSPORT-C.Q. CHE</v>
      </c>
    </row>
    <row r="830" spans="1:8" x14ac:dyDescent="0.25">
      <c r="A830" t="s">
        <v>285</v>
      </c>
      <c r="B830">
        <v>79996</v>
      </c>
      <c r="C830" s="2">
        <v>80</v>
      </c>
      <c r="D830" s="1">
        <v>43444</v>
      </c>
      <c r="E830" t="str">
        <f>"201812035472"</f>
        <v>201812035472</v>
      </c>
      <c r="F830" t="str">
        <f>"FERAL HOGS"</f>
        <v>FERAL HOGS</v>
      </c>
      <c r="G830" s="3">
        <v>80</v>
      </c>
      <c r="H830" t="str">
        <f>"FERAL HOGS"</f>
        <v>FERAL HOGS</v>
      </c>
    </row>
    <row r="831" spans="1:8" x14ac:dyDescent="0.25">
      <c r="A831" t="s">
        <v>286</v>
      </c>
      <c r="B831">
        <v>231</v>
      </c>
      <c r="C831" s="2">
        <v>1000</v>
      </c>
      <c r="D831" s="1">
        <v>43462</v>
      </c>
      <c r="E831" t="str">
        <f>"201812195917"</f>
        <v>201812195917</v>
      </c>
      <c r="F831" t="str">
        <f>"56 428 - 121018"</f>
        <v>56 428 - 121018</v>
      </c>
      <c r="G831" s="3">
        <v>250</v>
      </c>
      <c r="H831" t="str">
        <f>"56 428 - 121018"</f>
        <v>56 428 - 121018</v>
      </c>
    </row>
    <row r="832" spans="1:8" x14ac:dyDescent="0.25">
      <c r="E832" t="str">
        <f>"201812195918"</f>
        <v>201812195918</v>
      </c>
      <c r="F832" t="str">
        <f>"55 530 - 121018"</f>
        <v>55 530 - 121018</v>
      </c>
      <c r="G832" s="3">
        <v>250</v>
      </c>
      <c r="H832" t="str">
        <f>"55 530 - 121018"</f>
        <v>55 530 - 121018</v>
      </c>
    </row>
    <row r="833" spans="1:8" x14ac:dyDescent="0.25">
      <c r="E833" t="str">
        <f>"201812195919"</f>
        <v>201812195919</v>
      </c>
      <c r="F833" t="str">
        <f>"56 120 / 12102018"</f>
        <v>56 120 / 12102018</v>
      </c>
      <c r="G833" s="3">
        <v>250</v>
      </c>
      <c r="H833" t="str">
        <f>"56 120 / 12102018"</f>
        <v>56 120 / 12102018</v>
      </c>
    </row>
    <row r="834" spans="1:8" x14ac:dyDescent="0.25">
      <c r="E834" t="str">
        <f>"201812195920"</f>
        <v>201812195920</v>
      </c>
      <c r="F834" t="str">
        <f>"56 456 / 111418"</f>
        <v>56 456 / 111418</v>
      </c>
      <c r="G834" s="3">
        <v>250</v>
      </c>
      <c r="H834" t="str">
        <f>"56 456 / 111418"</f>
        <v>56 456 / 111418</v>
      </c>
    </row>
    <row r="835" spans="1:8" x14ac:dyDescent="0.25">
      <c r="A835" t="s">
        <v>287</v>
      </c>
      <c r="B835">
        <v>80201</v>
      </c>
      <c r="C835" s="2">
        <v>217.6</v>
      </c>
      <c r="D835" s="1">
        <v>43461</v>
      </c>
      <c r="E835" t="str">
        <f>"18734779"</f>
        <v>18734779</v>
      </c>
      <c r="F835" t="str">
        <f>"CUST#41472/PCT#1"</f>
        <v>CUST#41472/PCT#1</v>
      </c>
      <c r="G835" s="3">
        <v>22.23</v>
      </c>
      <c r="H835" t="str">
        <f>"CUST#41472/PCT#1"</f>
        <v>CUST#41472/PCT#1</v>
      </c>
    </row>
    <row r="836" spans="1:8" x14ac:dyDescent="0.25">
      <c r="E836" t="str">
        <f>"18734939"</f>
        <v>18734939</v>
      </c>
      <c r="F836" t="str">
        <f>"INV 18734939"</f>
        <v>INV 18734939</v>
      </c>
      <c r="G836" s="3">
        <v>50.64</v>
      </c>
      <c r="H836" t="str">
        <f>"INV 18734939"</f>
        <v>INV 18734939</v>
      </c>
    </row>
    <row r="837" spans="1:8" x14ac:dyDescent="0.25">
      <c r="E837" t="str">
        <f>"18743073"</f>
        <v>18743073</v>
      </c>
      <c r="F837" t="str">
        <f>"CUST#S9547/PCT#1"</f>
        <v>CUST#S9547/PCT#1</v>
      </c>
      <c r="G837" s="3">
        <v>105</v>
      </c>
      <c r="H837" t="str">
        <f>"CUST#S9547/PCT#1"</f>
        <v>CUST#S9547/PCT#1</v>
      </c>
    </row>
    <row r="838" spans="1:8" x14ac:dyDescent="0.25">
      <c r="E838" t="str">
        <f>"201812125770"</f>
        <v>201812125770</v>
      </c>
      <c r="F838" t="str">
        <f>"CUST#45057/PCT#4"</f>
        <v>CUST#45057/PCT#4</v>
      </c>
      <c r="G838" s="3">
        <v>39.729999999999997</v>
      </c>
      <c r="H838" t="str">
        <f>"CUST#45057/PCT#4"</f>
        <v>CUST#45057/PCT#4</v>
      </c>
    </row>
    <row r="839" spans="1:8" x14ac:dyDescent="0.25">
      <c r="A839" t="s">
        <v>288</v>
      </c>
      <c r="B839">
        <v>254</v>
      </c>
      <c r="C839" s="2">
        <v>46.69</v>
      </c>
      <c r="D839" s="1">
        <v>43462</v>
      </c>
      <c r="E839" t="str">
        <f>"664837"</f>
        <v>664837</v>
      </c>
      <c r="F839" t="str">
        <f>"ACCT#0900-98011130/NUTS/BOLTS"</f>
        <v>ACCT#0900-98011130/NUTS/BOLTS</v>
      </c>
      <c r="G839" s="3">
        <v>46.69</v>
      </c>
      <c r="H839" t="str">
        <f>"ACCT#0900-98011130/NUTS/BOLTS"</f>
        <v>ACCT#0900-98011130/NUTS/BOLTS</v>
      </c>
    </row>
    <row r="840" spans="1:8" x14ac:dyDescent="0.25">
      <c r="A840" t="s">
        <v>289</v>
      </c>
      <c r="B840">
        <v>79997</v>
      </c>
      <c r="C840" s="2">
        <v>18214.32</v>
      </c>
      <c r="D840" s="1">
        <v>43444</v>
      </c>
      <c r="E840" t="str">
        <f>"12149"</f>
        <v>12149</v>
      </c>
      <c r="F840" t="str">
        <f t="shared" ref="F840:F847" si="8">"ABST FEE"</f>
        <v>ABST FEE</v>
      </c>
      <c r="G840" s="3">
        <v>175</v>
      </c>
      <c r="H840" t="str">
        <f t="shared" ref="H840:H847" si="9">"ABST FEE"</f>
        <v>ABST FEE</v>
      </c>
    </row>
    <row r="841" spans="1:8" x14ac:dyDescent="0.25">
      <c r="E841" t="str">
        <f>"12726"</f>
        <v>12726</v>
      </c>
      <c r="F841" t="str">
        <f t="shared" si="8"/>
        <v>ABST FEE</v>
      </c>
      <c r="G841" s="3">
        <v>225</v>
      </c>
      <c r="H841" t="str">
        <f t="shared" si="9"/>
        <v>ABST FEE</v>
      </c>
    </row>
    <row r="842" spans="1:8" x14ac:dyDescent="0.25">
      <c r="E842" t="str">
        <f>"12854"</f>
        <v>12854</v>
      </c>
      <c r="F842" t="str">
        <f t="shared" si="8"/>
        <v>ABST FEE</v>
      </c>
      <c r="G842" s="3">
        <v>225</v>
      </c>
      <c r="H842" t="str">
        <f t="shared" si="9"/>
        <v>ABST FEE</v>
      </c>
    </row>
    <row r="843" spans="1:8" x14ac:dyDescent="0.25">
      <c r="E843" t="str">
        <f>"12875  10/26/18"</f>
        <v>12875  10/26/18</v>
      </c>
      <c r="F843" t="str">
        <f t="shared" si="8"/>
        <v>ABST FEE</v>
      </c>
      <c r="G843" s="3">
        <v>83</v>
      </c>
      <c r="H843" t="str">
        <f t="shared" si="9"/>
        <v>ABST FEE</v>
      </c>
    </row>
    <row r="844" spans="1:8" x14ac:dyDescent="0.25">
      <c r="E844" t="str">
        <f>"12887"</f>
        <v>12887</v>
      </c>
      <c r="F844" t="str">
        <f t="shared" si="8"/>
        <v>ABST FEE</v>
      </c>
      <c r="G844" s="3">
        <v>225</v>
      </c>
      <c r="H844" t="str">
        <f t="shared" si="9"/>
        <v>ABST FEE</v>
      </c>
    </row>
    <row r="845" spans="1:8" x14ac:dyDescent="0.25">
      <c r="E845" t="str">
        <f>"12899"</f>
        <v>12899</v>
      </c>
      <c r="F845" t="str">
        <f t="shared" si="8"/>
        <v>ABST FEE</v>
      </c>
      <c r="G845" s="3">
        <v>225</v>
      </c>
      <c r="H845" t="str">
        <f t="shared" si="9"/>
        <v>ABST FEE</v>
      </c>
    </row>
    <row r="846" spans="1:8" x14ac:dyDescent="0.25">
      <c r="E846" t="str">
        <f>"12965"</f>
        <v>12965</v>
      </c>
      <c r="F846" t="str">
        <f t="shared" si="8"/>
        <v>ABST FEE</v>
      </c>
      <c r="G846" s="3">
        <v>225</v>
      </c>
      <c r="H846" t="str">
        <f t="shared" si="9"/>
        <v>ABST FEE</v>
      </c>
    </row>
    <row r="847" spans="1:8" x14ac:dyDescent="0.25">
      <c r="E847" t="str">
        <f>"12970"</f>
        <v>12970</v>
      </c>
      <c r="F847" t="str">
        <f t="shared" si="8"/>
        <v>ABST FEE</v>
      </c>
      <c r="G847" s="3">
        <v>225</v>
      </c>
      <c r="H847" t="str">
        <f t="shared" si="9"/>
        <v>ABST FEE</v>
      </c>
    </row>
    <row r="848" spans="1:8" x14ac:dyDescent="0.25">
      <c r="E848" t="str">
        <f>"201812065590"</f>
        <v>201812065590</v>
      </c>
      <c r="F848" t="str">
        <f>"DELINQUENT TAX - NOVEMBER 2018"</f>
        <v>DELINQUENT TAX - NOVEMBER 2018</v>
      </c>
      <c r="G848" s="3">
        <v>16606.32</v>
      </c>
      <c r="H848" t="str">
        <f>"DELINQUENT TAX - NOVEMBER 2018"</f>
        <v>DELINQUENT TAX - NOVEMBER 2018</v>
      </c>
    </row>
    <row r="849" spans="1:8" x14ac:dyDescent="0.25">
      <c r="A849" t="s">
        <v>290</v>
      </c>
      <c r="B849">
        <v>80202</v>
      </c>
      <c r="C849" s="2">
        <v>3070.29</v>
      </c>
      <c r="D849" s="1">
        <v>43461</v>
      </c>
      <c r="E849" t="str">
        <f>"201812195979"</f>
        <v>201812195979</v>
      </c>
      <c r="F849" t="str">
        <f>"INDIGENT HEALTH"</f>
        <v>INDIGENT HEALTH</v>
      </c>
      <c r="G849" s="3">
        <v>3070.29</v>
      </c>
      <c r="H849" t="str">
        <f>"INDIGENT HEALTH"</f>
        <v>INDIGENT HEALTH</v>
      </c>
    </row>
    <row r="850" spans="1:8" x14ac:dyDescent="0.25">
      <c r="A850" t="s">
        <v>291</v>
      </c>
      <c r="B850">
        <v>79998</v>
      </c>
      <c r="C850" s="2">
        <v>2500</v>
      </c>
      <c r="D850" s="1">
        <v>43444</v>
      </c>
      <c r="E850" t="str">
        <f>"201812065586"</f>
        <v>201812065586</v>
      </c>
      <c r="F850" t="str">
        <f>"VET SURGICAL SVCS/ANIMAL SVCS"</f>
        <v>VET SURGICAL SVCS/ANIMAL SVCS</v>
      </c>
      <c r="G850" s="3">
        <v>500</v>
      </c>
      <c r="H850" t="str">
        <f>"VET SURGICAL SVCS/ANIMAL SVCS"</f>
        <v>VET SURGICAL SVCS/ANIMAL SVCS</v>
      </c>
    </row>
    <row r="851" spans="1:8" x14ac:dyDescent="0.25">
      <c r="E851" t="str">
        <f>"201812065587"</f>
        <v>201812065587</v>
      </c>
      <c r="F851" t="str">
        <f>"VET SURGICAL SVCS/ANIMAL SVCS"</f>
        <v>VET SURGICAL SVCS/ANIMAL SVCS</v>
      </c>
      <c r="G851" s="3">
        <v>2000</v>
      </c>
      <c r="H851" t="str">
        <f>"VET SURGICAL SVCS/ANIMAL SVCS"</f>
        <v>VET SURGICAL SVCS/ANIMAL SVCS</v>
      </c>
    </row>
    <row r="852" spans="1:8" x14ac:dyDescent="0.25">
      <c r="A852" t="s">
        <v>291</v>
      </c>
      <c r="B852">
        <v>80203</v>
      </c>
      <c r="C852" s="2">
        <v>1500</v>
      </c>
      <c r="D852" s="1">
        <v>43461</v>
      </c>
      <c r="E852" t="str">
        <f>"201812185860"</f>
        <v>201812185860</v>
      </c>
      <c r="F852" t="str">
        <f>"VET SURGICAL SVCS/DEC 2018"</f>
        <v>VET SURGICAL SVCS/DEC 2018</v>
      </c>
      <c r="G852" s="3">
        <v>1500</v>
      </c>
      <c r="H852" t="str">
        <f>"VET SURGICAL SVCS/DEC 2018"</f>
        <v>VET SURGICAL SVCS/DEC 2018</v>
      </c>
    </row>
    <row r="853" spans="1:8" x14ac:dyDescent="0.25">
      <c r="A853" t="s">
        <v>292</v>
      </c>
      <c r="B853">
        <v>79999</v>
      </c>
      <c r="C853" s="2">
        <v>120</v>
      </c>
      <c r="D853" s="1">
        <v>43444</v>
      </c>
      <c r="E853" t="str">
        <f>"201811305448"</f>
        <v>201811305448</v>
      </c>
      <c r="F853" t="str">
        <f>"FERAL HOGS"</f>
        <v>FERAL HOGS</v>
      </c>
      <c r="G853" s="3">
        <v>120</v>
      </c>
      <c r="H853" t="str">
        <f>"FERAL HOGS"</f>
        <v>FERAL HOGS</v>
      </c>
    </row>
    <row r="854" spans="1:8" x14ac:dyDescent="0.25">
      <c r="A854" t="s">
        <v>293</v>
      </c>
      <c r="B854">
        <v>80000</v>
      </c>
      <c r="C854" s="2">
        <v>5</v>
      </c>
      <c r="D854" s="1">
        <v>43444</v>
      </c>
      <c r="E854" t="str">
        <f>"201811305442"</f>
        <v>201811305442</v>
      </c>
      <c r="F854" t="str">
        <f>"FERAL HOGS"</f>
        <v>FERAL HOGS</v>
      </c>
      <c r="G854" s="3">
        <v>5</v>
      </c>
      <c r="H854" t="str">
        <f>"FERAL HOGS"</f>
        <v>FERAL HOGS</v>
      </c>
    </row>
    <row r="855" spans="1:8" x14ac:dyDescent="0.25">
      <c r="A855" t="s">
        <v>294</v>
      </c>
      <c r="B855">
        <v>191</v>
      </c>
      <c r="C855" s="2">
        <v>370</v>
      </c>
      <c r="D855" s="1">
        <v>43445</v>
      </c>
      <c r="E855" t="str">
        <f>"18-052"</f>
        <v>18-052</v>
      </c>
      <c r="F855" t="str">
        <f>"16 211"</f>
        <v>16 211</v>
      </c>
      <c r="G855" s="3">
        <v>55</v>
      </c>
      <c r="H855" t="str">
        <f>"16 211"</f>
        <v>16 211</v>
      </c>
    </row>
    <row r="856" spans="1:8" x14ac:dyDescent="0.25">
      <c r="E856" t="str">
        <f>"18-054"</f>
        <v>18-054</v>
      </c>
      <c r="F856" t="str">
        <f>"423-5082"</f>
        <v>423-5082</v>
      </c>
      <c r="G856" s="3">
        <v>100</v>
      </c>
      <c r="H856" t="str">
        <f>"423-5082"</f>
        <v>423-5082</v>
      </c>
    </row>
    <row r="857" spans="1:8" x14ac:dyDescent="0.25">
      <c r="E857" t="str">
        <f>"18-055"</f>
        <v>18-055</v>
      </c>
      <c r="F857" t="str">
        <f>"423-5340"</f>
        <v>423-5340</v>
      </c>
      <c r="G857" s="3">
        <v>50</v>
      </c>
      <c r="H857" t="str">
        <f>"423-5340"</f>
        <v>423-5340</v>
      </c>
    </row>
    <row r="858" spans="1:8" x14ac:dyDescent="0.25">
      <c r="E858" t="str">
        <f>"18-057"</f>
        <v>18-057</v>
      </c>
      <c r="F858" t="str">
        <f>"16 211"</f>
        <v>16 211</v>
      </c>
      <c r="G858" s="3">
        <v>165</v>
      </c>
      <c r="H858" t="str">
        <f>"16 211"</f>
        <v>16 211</v>
      </c>
    </row>
    <row r="859" spans="1:8" x14ac:dyDescent="0.25">
      <c r="A859" t="s">
        <v>295</v>
      </c>
      <c r="B859">
        <v>80001</v>
      </c>
      <c r="C859" s="2">
        <v>345</v>
      </c>
      <c r="D859" s="1">
        <v>43444</v>
      </c>
      <c r="E859" t="str">
        <f>"201811305453"</f>
        <v>201811305453</v>
      </c>
      <c r="F859" t="str">
        <f>"FERAL HOGS"</f>
        <v>FERAL HOGS</v>
      </c>
      <c r="G859" s="3">
        <v>210</v>
      </c>
      <c r="H859" t="str">
        <f>"FERAL HOGS"</f>
        <v>FERAL HOGS</v>
      </c>
    </row>
    <row r="860" spans="1:8" x14ac:dyDescent="0.25">
      <c r="E860" t="str">
        <f>"201812035473"</f>
        <v>201812035473</v>
      </c>
      <c r="F860" t="str">
        <f>"FERAL HOGS"</f>
        <v>FERAL HOGS</v>
      </c>
      <c r="G860" s="3">
        <v>135</v>
      </c>
      <c r="H860" t="str">
        <f>"FERAL HOGS"</f>
        <v>FERAL HOGS</v>
      </c>
    </row>
    <row r="861" spans="1:8" x14ac:dyDescent="0.25">
      <c r="A861" t="s">
        <v>296</v>
      </c>
      <c r="B861">
        <v>80204</v>
      </c>
      <c r="C861" s="2">
        <v>3959.35</v>
      </c>
      <c r="D861" s="1">
        <v>43461</v>
      </c>
      <c r="E861" t="str">
        <f>"18600"</f>
        <v>18600</v>
      </c>
      <c r="F861" t="str">
        <f>"FREIGHT SALES/PCT#2"</f>
        <v>FREIGHT SALES/PCT#2</v>
      </c>
      <c r="G861" s="3">
        <v>3959.35</v>
      </c>
      <c r="H861" t="str">
        <f>"FREIGHT SALES/PCT#2"</f>
        <v>FREIGHT SALES/PCT#2</v>
      </c>
    </row>
    <row r="862" spans="1:8" x14ac:dyDescent="0.25">
      <c r="A862" t="s">
        <v>297</v>
      </c>
      <c r="B862">
        <v>80205</v>
      </c>
      <c r="C862" s="2">
        <v>5</v>
      </c>
      <c r="D862" s="1">
        <v>43461</v>
      </c>
      <c r="E862" t="str">
        <f>"201812125755"</f>
        <v>201812125755</v>
      </c>
      <c r="F862" t="str">
        <f>"FERAL HOGS"</f>
        <v>FERAL HOGS</v>
      </c>
      <c r="G862" s="3">
        <v>5</v>
      </c>
      <c r="H862" t="str">
        <f>"FERAL HOGS"</f>
        <v>FERAL HOGS</v>
      </c>
    </row>
    <row r="863" spans="1:8" x14ac:dyDescent="0.25">
      <c r="A863" t="s">
        <v>298</v>
      </c>
      <c r="B863">
        <v>192</v>
      </c>
      <c r="C863" s="2">
        <v>21.25</v>
      </c>
      <c r="D863" s="1">
        <v>43445</v>
      </c>
      <c r="E863" t="str">
        <f>"127025"</f>
        <v>127025</v>
      </c>
      <c r="F863" t="str">
        <f>"INV 127025"</f>
        <v>INV 127025</v>
      </c>
      <c r="G863" s="3">
        <v>21.25</v>
      </c>
      <c r="H863" t="str">
        <f>"INV 127025"</f>
        <v>INV 127025</v>
      </c>
    </row>
    <row r="864" spans="1:8" x14ac:dyDescent="0.25">
      <c r="A864" t="s">
        <v>298</v>
      </c>
      <c r="B864">
        <v>255</v>
      </c>
      <c r="C864" s="2">
        <v>360.8</v>
      </c>
      <c r="D864" s="1">
        <v>43462</v>
      </c>
      <c r="E864" t="str">
        <f>"125663"</f>
        <v>125663</v>
      </c>
      <c r="F864" t="str">
        <f>"INV 125663"</f>
        <v>INV 125663</v>
      </c>
      <c r="G864" s="3">
        <v>314.55</v>
      </c>
      <c r="H864" t="str">
        <f>"INV 125663"</f>
        <v>INV 125663</v>
      </c>
    </row>
    <row r="865" spans="1:8" x14ac:dyDescent="0.25">
      <c r="E865" t="str">
        <f>"127515"</f>
        <v>127515</v>
      </c>
      <c r="F865" t="str">
        <f>"INV 127515"</f>
        <v>INV 127515</v>
      </c>
      <c r="G865" s="3">
        <v>46.25</v>
      </c>
      <c r="H865" t="str">
        <f>"INV 127515"</f>
        <v>INV 127515</v>
      </c>
    </row>
    <row r="866" spans="1:8" x14ac:dyDescent="0.25">
      <c r="A866" t="s">
        <v>299</v>
      </c>
      <c r="B866">
        <v>79872</v>
      </c>
      <c r="C866" s="2">
        <v>40</v>
      </c>
      <c r="D866" s="1">
        <v>43441</v>
      </c>
      <c r="E866" t="str">
        <f>"201812075614"</f>
        <v>201812075614</v>
      </c>
      <c r="F866" t="str">
        <f>"Miscellane"</f>
        <v>Miscellane</v>
      </c>
      <c r="G866" s="3">
        <v>40</v>
      </c>
      <c r="H866" t="str">
        <f>"GERALD RAY STRONG"</f>
        <v>GERALD RAY STRONG</v>
      </c>
    </row>
    <row r="867" spans="1:8" x14ac:dyDescent="0.25">
      <c r="A867" t="s">
        <v>300</v>
      </c>
      <c r="B867">
        <v>79873</v>
      </c>
      <c r="C867" s="2">
        <v>40</v>
      </c>
      <c r="D867" s="1">
        <v>43441</v>
      </c>
      <c r="E867" t="str">
        <f>"201812075615"</f>
        <v>201812075615</v>
      </c>
      <c r="F867" t="str">
        <f>"Miscell"</f>
        <v>Miscell</v>
      </c>
      <c r="G867" s="3">
        <v>40</v>
      </c>
      <c r="H867" t="str">
        <f>"DUSTIN JOSIAH HAINES"</f>
        <v>DUSTIN JOSIAH HAINES</v>
      </c>
    </row>
    <row r="868" spans="1:8" x14ac:dyDescent="0.25">
      <c r="A868" t="s">
        <v>301</v>
      </c>
      <c r="B868">
        <v>79874</v>
      </c>
      <c r="C868" s="2">
        <v>40</v>
      </c>
      <c r="D868" s="1">
        <v>43441</v>
      </c>
      <c r="E868" t="str">
        <f>"201812075616"</f>
        <v>201812075616</v>
      </c>
      <c r="F868" t="str">
        <f>"Miscellan"</f>
        <v>Miscellan</v>
      </c>
      <c r="G868" s="3">
        <v>40</v>
      </c>
      <c r="H868" t="str">
        <f>"JULIA DAVIS SULSAR"</f>
        <v>JULIA DAVIS SULSAR</v>
      </c>
    </row>
    <row r="869" spans="1:8" x14ac:dyDescent="0.25">
      <c r="A869" t="s">
        <v>302</v>
      </c>
      <c r="B869">
        <v>79875</v>
      </c>
      <c r="C869" s="2">
        <v>40</v>
      </c>
      <c r="D869" s="1">
        <v>43441</v>
      </c>
      <c r="E869" t="str">
        <f>"201812075617"</f>
        <v>201812075617</v>
      </c>
      <c r="F869" t="str">
        <f>"Mis"</f>
        <v>Mis</v>
      </c>
      <c r="G869" s="3">
        <v>40</v>
      </c>
      <c r="H869" t="str">
        <f>"KERRI LYNETTE WASHINGTON"</f>
        <v>KERRI LYNETTE WASHINGTON</v>
      </c>
    </row>
    <row r="870" spans="1:8" x14ac:dyDescent="0.25">
      <c r="A870" t="s">
        <v>303</v>
      </c>
      <c r="B870">
        <v>79876</v>
      </c>
      <c r="C870" s="2">
        <v>40</v>
      </c>
      <c r="D870" s="1">
        <v>43441</v>
      </c>
      <c r="E870" t="str">
        <f>"201812075618"</f>
        <v>201812075618</v>
      </c>
      <c r="F870" t="str">
        <f>"Miscellaneous"</f>
        <v>Miscellaneous</v>
      </c>
      <c r="G870" s="3">
        <v>40</v>
      </c>
      <c r="H870" t="str">
        <f>"SHARI JO WYATT"</f>
        <v>SHARI JO WYATT</v>
      </c>
    </row>
    <row r="871" spans="1:8" x14ac:dyDescent="0.25">
      <c r="A871" t="s">
        <v>304</v>
      </c>
      <c r="B871">
        <v>79877</v>
      </c>
      <c r="C871" s="2">
        <v>40</v>
      </c>
      <c r="D871" s="1">
        <v>43441</v>
      </c>
      <c r="E871" t="str">
        <f>"201812075619"</f>
        <v>201812075619</v>
      </c>
      <c r="F871" t="str">
        <f>"Miscell"</f>
        <v>Miscell</v>
      </c>
      <c r="G871" s="3">
        <v>40</v>
      </c>
      <c r="H871" t="str">
        <f>"HILLARY MARIE KVAMME"</f>
        <v>HILLARY MARIE KVAMME</v>
      </c>
    </row>
    <row r="872" spans="1:8" x14ac:dyDescent="0.25">
      <c r="A872" t="s">
        <v>305</v>
      </c>
      <c r="B872">
        <v>79878</v>
      </c>
      <c r="C872" s="2">
        <v>40</v>
      </c>
      <c r="D872" s="1">
        <v>43441</v>
      </c>
      <c r="E872" t="str">
        <f>"201812075620"</f>
        <v>201812075620</v>
      </c>
      <c r="F872" t="str">
        <f>"Miscella"</f>
        <v>Miscella</v>
      </c>
      <c r="G872" s="3">
        <v>40</v>
      </c>
      <c r="H872" t="str">
        <f>"DONNA BESS SCHUBERT"</f>
        <v>DONNA BESS SCHUBERT</v>
      </c>
    </row>
    <row r="873" spans="1:8" x14ac:dyDescent="0.25">
      <c r="A873" t="s">
        <v>306</v>
      </c>
      <c r="B873">
        <v>79879</v>
      </c>
      <c r="C873" s="2">
        <v>40</v>
      </c>
      <c r="D873" s="1">
        <v>43441</v>
      </c>
      <c r="E873" t="str">
        <f>"201812075621"</f>
        <v>201812075621</v>
      </c>
      <c r="F873" t="str">
        <f>"Miscellane"</f>
        <v>Miscellane</v>
      </c>
      <c r="G873" s="3">
        <v>40</v>
      </c>
      <c r="H873" t="str">
        <f>"DONNA RAE NONDORF"</f>
        <v>DONNA RAE NONDORF</v>
      </c>
    </row>
    <row r="874" spans="1:8" x14ac:dyDescent="0.25">
      <c r="A874" t="s">
        <v>307</v>
      </c>
      <c r="B874">
        <v>79880</v>
      </c>
      <c r="C874" s="2">
        <v>40</v>
      </c>
      <c r="D874" s="1">
        <v>43441</v>
      </c>
      <c r="E874" t="str">
        <f>"201812075622"</f>
        <v>201812075622</v>
      </c>
      <c r="F874" t="str">
        <f>"Miscellaneou"</f>
        <v>Miscellaneou</v>
      </c>
      <c r="G874" s="3">
        <v>40</v>
      </c>
      <c r="H874" t="str">
        <f>"DAVID GOSTECNIK"</f>
        <v>DAVID GOSTECNIK</v>
      </c>
    </row>
    <row r="875" spans="1:8" x14ac:dyDescent="0.25">
      <c r="A875" t="s">
        <v>299</v>
      </c>
      <c r="B875">
        <v>80290</v>
      </c>
      <c r="C875" s="2">
        <v>40</v>
      </c>
      <c r="D875" s="1">
        <v>43465</v>
      </c>
      <c r="E875" t="str">
        <f>"201812316061"</f>
        <v>201812316061</v>
      </c>
      <c r="F875" t="str">
        <f>"Miscellane"</f>
        <v>Miscellane</v>
      </c>
      <c r="G875" s="3">
        <v>40</v>
      </c>
      <c r="H875" t="str">
        <f>"GERALD RAY STRONG"</f>
        <v>GERALD RAY STRONG</v>
      </c>
    </row>
    <row r="876" spans="1:8" x14ac:dyDescent="0.25">
      <c r="A876" t="s">
        <v>300</v>
      </c>
      <c r="B876">
        <v>80291</v>
      </c>
      <c r="C876" s="2">
        <v>40</v>
      </c>
      <c r="D876" s="1">
        <v>43465</v>
      </c>
      <c r="E876" t="str">
        <f>"201812316062"</f>
        <v>201812316062</v>
      </c>
      <c r="F876" t="str">
        <f>"Miscell"</f>
        <v>Miscell</v>
      </c>
      <c r="G876" s="3">
        <v>40</v>
      </c>
      <c r="H876" t="str">
        <f>"DUSTIN JOSIAH HAINES"</f>
        <v>DUSTIN JOSIAH HAINES</v>
      </c>
    </row>
    <row r="877" spans="1:8" x14ac:dyDescent="0.25">
      <c r="A877" t="s">
        <v>301</v>
      </c>
      <c r="B877">
        <v>80292</v>
      </c>
      <c r="C877" s="2">
        <v>40</v>
      </c>
      <c r="D877" s="1">
        <v>43465</v>
      </c>
      <c r="E877" t="str">
        <f>"201812316063"</f>
        <v>201812316063</v>
      </c>
      <c r="F877" t="str">
        <f>"Miscellan"</f>
        <v>Miscellan</v>
      </c>
      <c r="G877" s="3">
        <v>40</v>
      </c>
      <c r="H877" t="str">
        <f>"JULIA DAVIS SULSAR"</f>
        <v>JULIA DAVIS SULSAR</v>
      </c>
    </row>
    <row r="878" spans="1:8" x14ac:dyDescent="0.25">
      <c r="A878" t="s">
        <v>302</v>
      </c>
      <c r="B878">
        <v>80293</v>
      </c>
      <c r="C878" s="2">
        <v>40</v>
      </c>
      <c r="D878" s="1">
        <v>43465</v>
      </c>
      <c r="E878" t="str">
        <f>"201812316064"</f>
        <v>201812316064</v>
      </c>
      <c r="F878" t="str">
        <f>"Mis"</f>
        <v>Mis</v>
      </c>
      <c r="G878" s="3">
        <v>40</v>
      </c>
      <c r="H878" t="str">
        <f>"KERRI LYNETTE WASHINGTON"</f>
        <v>KERRI LYNETTE WASHINGTON</v>
      </c>
    </row>
    <row r="879" spans="1:8" x14ac:dyDescent="0.25">
      <c r="A879" t="s">
        <v>303</v>
      </c>
      <c r="B879">
        <v>80294</v>
      </c>
      <c r="C879" s="2">
        <v>40</v>
      </c>
      <c r="D879" s="1">
        <v>43465</v>
      </c>
      <c r="E879" t="str">
        <f>"201812316065"</f>
        <v>201812316065</v>
      </c>
      <c r="F879" t="str">
        <f>"Miscellaneous"</f>
        <v>Miscellaneous</v>
      </c>
      <c r="G879" s="3">
        <v>40</v>
      </c>
      <c r="H879" t="str">
        <f>"SHARI JO WYATT"</f>
        <v>SHARI JO WYATT</v>
      </c>
    </row>
    <row r="880" spans="1:8" x14ac:dyDescent="0.25">
      <c r="A880" t="s">
        <v>304</v>
      </c>
      <c r="B880">
        <v>80295</v>
      </c>
      <c r="C880" s="2">
        <v>40</v>
      </c>
      <c r="D880" s="1">
        <v>43465</v>
      </c>
      <c r="E880" t="str">
        <f>"201812316066"</f>
        <v>201812316066</v>
      </c>
      <c r="F880" t="str">
        <f>"Miscell"</f>
        <v>Miscell</v>
      </c>
      <c r="G880" s="3">
        <v>40</v>
      </c>
      <c r="H880" t="str">
        <f>"HILLARY MARIE KVAMME"</f>
        <v>HILLARY MARIE KVAMME</v>
      </c>
    </row>
    <row r="881" spans="1:8" x14ac:dyDescent="0.25">
      <c r="A881" t="s">
        <v>305</v>
      </c>
      <c r="B881">
        <v>80296</v>
      </c>
      <c r="C881" s="2">
        <v>40</v>
      </c>
      <c r="D881" s="1">
        <v>43465</v>
      </c>
      <c r="E881" t="str">
        <f>"201812316067"</f>
        <v>201812316067</v>
      </c>
      <c r="F881" t="str">
        <f>"Miscella"</f>
        <v>Miscella</v>
      </c>
      <c r="G881" s="3">
        <v>40</v>
      </c>
      <c r="H881" t="str">
        <f>"DONNA BESS SCHUBERT"</f>
        <v>DONNA BESS SCHUBERT</v>
      </c>
    </row>
    <row r="882" spans="1:8" x14ac:dyDescent="0.25">
      <c r="A882" t="s">
        <v>306</v>
      </c>
      <c r="B882">
        <v>80297</v>
      </c>
      <c r="C882" s="2">
        <v>40</v>
      </c>
      <c r="D882" s="1">
        <v>43465</v>
      </c>
      <c r="E882" t="str">
        <f>"201812316068"</f>
        <v>201812316068</v>
      </c>
      <c r="F882" t="str">
        <f>"Miscellane"</f>
        <v>Miscellane</v>
      </c>
      <c r="G882" s="3">
        <v>40</v>
      </c>
      <c r="H882" t="str">
        <f>"DONNA RAE NONDORF"</f>
        <v>DONNA RAE NONDORF</v>
      </c>
    </row>
    <row r="883" spans="1:8" x14ac:dyDescent="0.25">
      <c r="A883" t="s">
        <v>307</v>
      </c>
      <c r="B883">
        <v>80298</v>
      </c>
      <c r="C883" s="2">
        <v>40</v>
      </c>
      <c r="D883" s="1">
        <v>43465</v>
      </c>
      <c r="E883" t="str">
        <f>"201812316069"</f>
        <v>201812316069</v>
      </c>
      <c r="F883" t="str">
        <f>"Miscellaneou"</f>
        <v>Miscellaneou</v>
      </c>
      <c r="G883" s="3">
        <v>40</v>
      </c>
      <c r="H883" t="str">
        <f>"DAVID GOSTECNIK"</f>
        <v>DAVID GOSTECNIK</v>
      </c>
    </row>
    <row r="884" spans="1:8" x14ac:dyDescent="0.25">
      <c r="A884" t="s">
        <v>308</v>
      </c>
      <c r="B884">
        <v>80002</v>
      </c>
      <c r="C884" s="2">
        <v>489.1</v>
      </c>
      <c r="D884" s="1">
        <v>43444</v>
      </c>
      <c r="E884" t="str">
        <f>"2248914"</f>
        <v>2248914</v>
      </c>
      <c r="F884" t="str">
        <f>"Inv# 2248914"</f>
        <v>Inv# 2248914</v>
      </c>
      <c r="G884" s="3">
        <v>489.1</v>
      </c>
      <c r="H884" t="str">
        <f>"Inv# 2248914"</f>
        <v>Inv# 2248914</v>
      </c>
    </row>
    <row r="885" spans="1:8" x14ac:dyDescent="0.25">
      <c r="A885" t="s">
        <v>309</v>
      </c>
      <c r="B885">
        <v>80003</v>
      </c>
      <c r="C885" s="2">
        <v>997.08</v>
      </c>
      <c r="D885" s="1">
        <v>43444</v>
      </c>
      <c r="E885" t="str">
        <f>"70088170/91739"</f>
        <v>70088170/91739</v>
      </c>
      <c r="F885" t="str">
        <f>"INV 70088170"</f>
        <v>INV 70088170</v>
      </c>
      <c r="G885" s="3">
        <v>692.08</v>
      </c>
      <c r="H885" t="str">
        <f>"INV 70088170"</f>
        <v>INV 70088170</v>
      </c>
    </row>
    <row r="886" spans="1:8" x14ac:dyDescent="0.25">
      <c r="E886" t="str">
        <f>""</f>
        <v/>
      </c>
      <c r="F886" t="str">
        <f>""</f>
        <v/>
      </c>
      <c r="H886" t="str">
        <f>"INV 70091739"</f>
        <v>INV 70091739</v>
      </c>
    </row>
    <row r="887" spans="1:8" x14ac:dyDescent="0.25">
      <c r="E887" t="str">
        <f>"70098885"</f>
        <v>70098885</v>
      </c>
      <c r="F887" t="str">
        <f>"INV 70098885"</f>
        <v>INV 70098885</v>
      </c>
      <c r="G887" s="3">
        <v>305</v>
      </c>
      <c r="H887" t="str">
        <f>"INV 70098885"</f>
        <v>INV 70098885</v>
      </c>
    </row>
    <row r="888" spans="1:8" x14ac:dyDescent="0.25">
      <c r="A888" t="s">
        <v>310</v>
      </c>
      <c r="B888">
        <v>80004</v>
      </c>
      <c r="C888" s="2">
        <v>65.67</v>
      </c>
      <c r="D888" s="1">
        <v>43444</v>
      </c>
      <c r="E888" t="str">
        <f>"S154415321.0010"</f>
        <v>S154415321.0010</v>
      </c>
      <c r="F888" t="str">
        <f>"INV S154415321.001"</f>
        <v>INV S154415321.001</v>
      </c>
      <c r="G888" s="3">
        <v>65.67</v>
      </c>
      <c r="H888" t="str">
        <f>"INV S154415321.0010"</f>
        <v>INV S154415321.0010</v>
      </c>
    </row>
    <row r="889" spans="1:8" x14ac:dyDescent="0.25">
      <c r="A889" t="s">
        <v>311</v>
      </c>
      <c r="B889">
        <v>80206</v>
      </c>
      <c r="C889" s="2">
        <v>4600.92</v>
      </c>
      <c r="D889" s="1">
        <v>43461</v>
      </c>
      <c r="E889" t="str">
        <f>"201812145833"</f>
        <v>201812145833</v>
      </c>
      <c r="F889" t="str">
        <f>"11-14658"</f>
        <v>11-14658</v>
      </c>
      <c r="G889" s="3">
        <v>4600.92</v>
      </c>
      <c r="H889" t="str">
        <f>"11-14658"</f>
        <v>11-14658</v>
      </c>
    </row>
    <row r="890" spans="1:8" x14ac:dyDescent="0.25">
      <c r="A890" t="s">
        <v>312</v>
      </c>
      <c r="B890">
        <v>80005</v>
      </c>
      <c r="C890" s="2">
        <v>1085.5999999999999</v>
      </c>
      <c r="D890" s="1">
        <v>43444</v>
      </c>
      <c r="E890" t="str">
        <f>"S105141922.001"</f>
        <v>S105141922.001</v>
      </c>
      <c r="F890" t="str">
        <f>"INV S105141922.001"</f>
        <v>INV S105141922.001</v>
      </c>
      <c r="G890" s="3">
        <v>1085.5999999999999</v>
      </c>
      <c r="H890" t="str">
        <f>"INV S105141922.001"</f>
        <v>INV S105141922.001</v>
      </c>
    </row>
    <row r="891" spans="1:8" x14ac:dyDescent="0.25">
      <c r="A891" t="s">
        <v>313</v>
      </c>
      <c r="B891">
        <v>79871</v>
      </c>
      <c r="C891" s="2">
        <v>2000</v>
      </c>
      <c r="D891" s="1">
        <v>43441</v>
      </c>
      <c r="E891" t="str">
        <f>"201812075597"</f>
        <v>201812075597</v>
      </c>
      <c r="F891" t="str">
        <f>"CONTRACT MAINT WORK - ANIMAL S"</f>
        <v>CONTRACT MAINT WORK - ANIMAL S</v>
      </c>
      <c r="G891" s="3">
        <v>500</v>
      </c>
      <c r="H891" t="str">
        <f>"CONTRACT MAINT WORK - ANIMAL S"</f>
        <v>CONTRACT MAINT WORK - ANIMAL S</v>
      </c>
    </row>
    <row r="892" spans="1:8" x14ac:dyDescent="0.25">
      <c r="E892" t="str">
        <f>"201812075598"</f>
        <v>201812075598</v>
      </c>
      <c r="F892" t="str">
        <f>"CONTRACT MAINT WORK - P4"</f>
        <v>CONTRACT MAINT WORK - P4</v>
      </c>
      <c r="G892" s="3">
        <v>1500</v>
      </c>
      <c r="H892" t="str">
        <f>"CONTRACT MAINT WORK - P4"</f>
        <v>CONTRACT MAINT WORK - P4</v>
      </c>
    </row>
    <row r="893" spans="1:8" x14ac:dyDescent="0.25">
      <c r="A893" t="s">
        <v>314</v>
      </c>
      <c r="B893">
        <v>80207</v>
      </c>
      <c r="C893" s="2">
        <v>20462.48</v>
      </c>
      <c r="D893" s="1">
        <v>43461</v>
      </c>
      <c r="E893" t="str">
        <f>"201812125725"</f>
        <v>201812125725</v>
      </c>
      <c r="F893" t="str">
        <f>"RADIO SERVICE AGREEMENT"</f>
        <v>RADIO SERVICE AGREEMENT</v>
      </c>
      <c r="G893" s="3">
        <v>20462.48</v>
      </c>
      <c r="H893" t="str">
        <f>"RADIO SERVICE AGREEMENT"</f>
        <v>RADIO SERVICE AGREEMENT</v>
      </c>
    </row>
    <row r="894" spans="1:8" x14ac:dyDescent="0.25">
      <c r="A894" t="s">
        <v>315</v>
      </c>
      <c r="B894">
        <v>80006</v>
      </c>
      <c r="C894" s="2">
        <v>826.8</v>
      </c>
      <c r="D894" s="1">
        <v>43444</v>
      </c>
      <c r="E894" t="str">
        <f>"86570024"</f>
        <v>86570024</v>
      </c>
      <c r="F894" t="str">
        <f>"AGREEMENT#9216535/GEN SVCS"</f>
        <v>AGREEMENT#9216535/GEN SVCS</v>
      </c>
      <c r="G894" s="3">
        <v>826.8</v>
      </c>
      <c r="H894" t="str">
        <f>"AGREEMENT#9216535/GEN SVCS"</f>
        <v>AGREEMENT#9216535/GEN SVCS</v>
      </c>
    </row>
    <row r="895" spans="1:8" x14ac:dyDescent="0.25">
      <c r="A895" t="s">
        <v>316</v>
      </c>
      <c r="B895">
        <v>80007</v>
      </c>
      <c r="C895" s="2">
        <v>250</v>
      </c>
      <c r="D895" s="1">
        <v>43444</v>
      </c>
      <c r="E895" t="str">
        <f>"201812035475"</f>
        <v>201812035475</v>
      </c>
      <c r="F895" t="str">
        <f>"FERAL HOGS"</f>
        <v>FERAL HOGS</v>
      </c>
      <c r="G895" s="3">
        <v>250</v>
      </c>
      <c r="H895" t="str">
        <f>"FERAL HOGS"</f>
        <v>FERAL HOGS</v>
      </c>
    </row>
    <row r="896" spans="1:8" x14ac:dyDescent="0.25">
      <c r="A896" t="s">
        <v>317</v>
      </c>
      <c r="B896">
        <v>80008</v>
      </c>
      <c r="C896" s="2">
        <v>10</v>
      </c>
      <c r="D896" s="1">
        <v>43444</v>
      </c>
      <c r="E896" t="str">
        <f>"201811305458"</f>
        <v>201811305458</v>
      </c>
      <c r="F896" t="str">
        <f>"FERAL HOGS"</f>
        <v>FERAL HOGS</v>
      </c>
      <c r="G896" s="3">
        <v>10</v>
      </c>
      <c r="H896" t="str">
        <f>"FERAL HOGS"</f>
        <v>FERAL HOGS</v>
      </c>
    </row>
    <row r="897" spans="1:8" x14ac:dyDescent="0.25">
      <c r="A897" t="s">
        <v>317</v>
      </c>
      <c r="B897">
        <v>80208</v>
      </c>
      <c r="C897" s="2">
        <v>15</v>
      </c>
      <c r="D897" s="1">
        <v>43461</v>
      </c>
      <c r="E897" t="str">
        <f>"201812125743"</f>
        <v>201812125743</v>
      </c>
      <c r="F897" t="str">
        <f>"FERAL HOGS"</f>
        <v>FERAL HOGS</v>
      </c>
      <c r="G897" s="3">
        <v>15</v>
      </c>
      <c r="H897" t="str">
        <f>"FERAL HOGS"</f>
        <v>FERAL HOGS</v>
      </c>
    </row>
    <row r="898" spans="1:8" x14ac:dyDescent="0.25">
      <c r="A898" t="s">
        <v>318</v>
      </c>
      <c r="B898">
        <v>162</v>
      </c>
      <c r="C898" s="2">
        <v>4259.3999999999996</v>
      </c>
      <c r="D898" s="1">
        <v>43445</v>
      </c>
      <c r="E898" t="str">
        <f>"IN0813352/3341/349"</f>
        <v>IN0813352/3341/349</v>
      </c>
      <c r="F898" t="str">
        <f>"INV IN0813352"</f>
        <v>INV IN0813352</v>
      </c>
      <c r="G898" s="3">
        <v>4259.3999999999996</v>
      </c>
      <c r="H898" t="str">
        <f>"INV IN0813352"</f>
        <v>INV IN0813352</v>
      </c>
    </row>
    <row r="899" spans="1:8" x14ac:dyDescent="0.25">
      <c r="E899" t="str">
        <f>""</f>
        <v/>
      </c>
      <c r="F899" t="str">
        <f>""</f>
        <v/>
      </c>
      <c r="H899" t="str">
        <f>"INV IN0813341"</f>
        <v>INV IN0813341</v>
      </c>
    </row>
    <row r="900" spans="1:8" x14ac:dyDescent="0.25">
      <c r="E900" t="str">
        <f>""</f>
        <v/>
      </c>
      <c r="F900" t="str">
        <f>""</f>
        <v/>
      </c>
      <c r="H900" t="str">
        <f>"INV IN0813498"</f>
        <v>INV IN0813498</v>
      </c>
    </row>
    <row r="901" spans="1:8" x14ac:dyDescent="0.25">
      <c r="A901" t="s">
        <v>318</v>
      </c>
      <c r="B901">
        <v>213</v>
      </c>
      <c r="C901" s="2">
        <v>7970.23</v>
      </c>
      <c r="D901" s="1">
        <v>43462</v>
      </c>
      <c r="E901" t="str">
        <f>"IN0814098/814831"</f>
        <v>IN0814098/814831</v>
      </c>
      <c r="F901" t="str">
        <f>"INV IN0814098"</f>
        <v>INV IN0814098</v>
      </c>
      <c r="G901" s="3">
        <v>4310.1899999999996</v>
      </c>
      <c r="H901" t="str">
        <f>"INV IN0814098"</f>
        <v>INV IN0814098</v>
      </c>
    </row>
    <row r="902" spans="1:8" x14ac:dyDescent="0.25">
      <c r="E902" t="str">
        <f>""</f>
        <v/>
      </c>
      <c r="F902" t="str">
        <f>""</f>
        <v/>
      </c>
      <c r="H902" t="str">
        <f>"INV IN0814831"</f>
        <v>INV IN0814831</v>
      </c>
    </row>
    <row r="903" spans="1:8" x14ac:dyDescent="0.25">
      <c r="E903" t="str">
        <f>"IN0814855/814817"</f>
        <v>IN0814855/814817</v>
      </c>
      <c r="F903" t="str">
        <f>"INV IN0814855"</f>
        <v>INV IN0814855</v>
      </c>
      <c r="G903" s="3">
        <v>3660.04</v>
      </c>
      <c r="H903" t="str">
        <f>"INV IN0814855"</f>
        <v>INV IN0814855</v>
      </c>
    </row>
    <row r="904" spans="1:8" x14ac:dyDescent="0.25">
      <c r="E904" t="str">
        <f>""</f>
        <v/>
      </c>
      <c r="F904" t="str">
        <f>""</f>
        <v/>
      </c>
      <c r="H904" t="str">
        <f>"INV IN0814817"</f>
        <v>INV IN0814817</v>
      </c>
    </row>
    <row r="905" spans="1:8" x14ac:dyDescent="0.25">
      <c r="A905" t="s">
        <v>319</v>
      </c>
      <c r="B905">
        <v>205</v>
      </c>
      <c r="C905" s="2">
        <v>78.2</v>
      </c>
      <c r="D905" s="1">
        <v>43445</v>
      </c>
      <c r="E905" t="str">
        <f>"201812045520"</f>
        <v>201812045520</v>
      </c>
      <c r="F905" t="str">
        <f>"CUST#99088/PCT#4"</f>
        <v>CUST#99088/PCT#4</v>
      </c>
      <c r="G905" s="3">
        <v>78.2</v>
      </c>
      <c r="H905" t="str">
        <f>"CUST#99088/PCT#4"</f>
        <v>CUST#99088/PCT#4</v>
      </c>
    </row>
    <row r="906" spans="1:8" x14ac:dyDescent="0.25">
      <c r="A906" t="s">
        <v>320</v>
      </c>
      <c r="B906">
        <v>80009</v>
      </c>
      <c r="C906" s="2">
        <v>1061.4000000000001</v>
      </c>
      <c r="D906" s="1">
        <v>43444</v>
      </c>
      <c r="E906" t="str">
        <f>"201812045572"</f>
        <v>201812045572</v>
      </c>
      <c r="F906" t="str">
        <f>"INV 1437766"</f>
        <v>INV 1437766</v>
      </c>
      <c r="G906" s="3">
        <v>1061.4000000000001</v>
      </c>
      <c r="H906" t="str">
        <f>"INV 1437766"</f>
        <v>INV 1437766</v>
      </c>
    </row>
    <row r="907" spans="1:8" x14ac:dyDescent="0.25">
      <c r="E907" t="str">
        <f>""</f>
        <v/>
      </c>
      <c r="F907" t="str">
        <f>""</f>
        <v/>
      </c>
      <c r="H907" t="str">
        <f>"INV 1440859"</f>
        <v>INV 1440859</v>
      </c>
    </row>
    <row r="908" spans="1:8" x14ac:dyDescent="0.25">
      <c r="E908" t="str">
        <f>""</f>
        <v/>
      </c>
      <c r="F908" t="str">
        <f>""</f>
        <v/>
      </c>
      <c r="H908" t="str">
        <f>"INV 40160964"</f>
        <v>INV 40160964</v>
      </c>
    </row>
    <row r="909" spans="1:8" x14ac:dyDescent="0.25">
      <c r="E909" t="str">
        <f>""</f>
        <v/>
      </c>
      <c r="F909" t="str">
        <f>""</f>
        <v/>
      </c>
      <c r="H909" t="str">
        <f>"INV 1446335"</f>
        <v>INV 1446335</v>
      </c>
    </row>
    <row r="910" spans="1:8" x14ac:dyDescent="0.25">
      <c r="E910" t="str">
        <f>""</f>
        <v/>
      </c>
      <c r="F910" t="str">
        <f>""</f>
        <v/>
      </c>
      <c r="H910" t="str">
        <f>"INV 122003089"</f>
        <v>INV 122003089</v>
      </c>
    </row>
    <row r="911" spans="1:8" x14ac:dyDescent="0.25">
      <c r="A911" t="s">
        <v>320</v>
      </c>
      <c r="B911">
        <v>80209</v>
      </c>
      <c r="C911" s="2">
        <v>872</v>
      </c>
      <c r="D911" s="1">
        <v>43461</v>
      </c>
      <c r="E911" t="str">
        <f>"431909 DEC 2018"</f>
        <v>431909 DEC 2018</v>
      </c>
      <c r="F911" t="str">
        <f>"INV 1453976"</f>
        <v>INV 1453976</v>
      </c>
      <c r="G911" s="3">
        <v>872</v>
      </c>
      <c r="H911" t="str">
        <f>"INV 1453976"</f>
        <v>INV 1453976</v>
      </c>
    </row>
    <row r="912" spans="1:8" x14ac:dyDescent="0.25">
      <c r="E912" t="str">
        <f>""</f>
        <v/>
      </c>
      <c r="F912" t="str">
        <f>""</f>
        <v/>
      </c>
      <c r="H912" t="str">
        <f>"INV 122003184"</f>
        <v>INV 122003184</v>
      </c>
    </row>
    <row r="913" spans="1:8" x14ac:dyDescent="0.25">
      <c r="E913" t="str">
        <f>""</f>
        <v/>
      </c>
      <c r="F913" t="str">
        <f>""</f>
        <v/>
      </c>
      <c r="H913" t="str">
        <f>"INV 1458695"</f>
        <v>INV 1458695</v>
      </c>
    </row>
    <row r="914" spans="1:8" x14ac:dyDescent="0.25">
      <c r="E914" t="str">
        <f>""</f>
        <v/>
      </c>
      <c r="F914" t="str">
        <f>""</f>
        <v/>
      </c>
      <c r="H914" t="str">
        <f>"INV 1461942"</f>
        <v>INV 1461942</v>
      </c>
    </row>
    <row r="915" spans="1:8" x14ac:dyDescent="0.25">
      <c r="E915" t="str">
        <f>""</f>
        <v/>
      </c>
      <c r="F915" t="str">
        <f>""</f>
        <v/>
      </c>
      <c r="H915" t="str">
        <f>"INV 1466699"</f>
        <v>INV 1466699</v>
      </c>
    </row>
    <row r="916" spans="1:8" x14ac:dyDescent="0.25">
      <c r="A916" t="s">
        <v>321</v>
      </c>
      <c r="B916">
        <v>80010</v>
      </c>
      <c r="C916" s="2">
        <v>429.99</v>
      </c>
      <c r="D916" s="1">
        <v>43444</v>
      </c>
      <c r="E916" t="str">
        <f>"10373649"</f>
        <v>10373649</v>
      </c>
      <c r="F916" t="str">
        <f>"Bill# 10373649"</f>
        <v>Bill# 10373649</v>
      </c>
      <c r="G916" s="3">
        <v>429.99</v>
      </c>
      <c r="H916" t="str">
        <f>"Inv# 229882857001"</f>
        <v>Inv# 229882857001</v>
      </c>
    </row>
    <row r="917" spans="1:8" x14ac:dyDescent="0.25">
      <c r="E917" t="str">
        <f>""</f>
        <v/>
      </c>
      <c r="F917" t="str">
        <f>""</f>
        <v/>
      </c>
      <c r="H917" t="str">
        <f>"Inv# 229887054001"</f>
        <v>Inv# 229887054001</v>
      </c>
    </row>
    <row r="918" spans="1:8" x14ac:dyDescent="0.25">
      <c r="E918" t="str">
        <f>""</f>
        <v/>
      </c>
      <c r="F918" t="str">
        <f>""</f>
        <v/>
      </c>
      <c r="H918" t="str">
        <f>"Inv# 228781147001"</f>
        <v>Inv# 228781147001</v>
      </c>
    </row>
    <row r="919" spans="1:8" x14ac:dyDescent="0.25">
      <c r="E919" t="str">
        <f>""</f>
        <v/>
      </c>
      <c r="F919" t="str">
        <f>""</f>
        <v/>
      </c>
      <c r="H919" t="str">
        <f>"Inv# 228783308001"</f>
        <v>Inv# 228783308001</v>
      </c>
    </row>
    <row r="920" spans="1:8" x14ac:dyDescent="0.25">
      <c r="E920" t="str">
        <f>""</f>
        <v/>
      </c>
      <c r="F920" t="str">
        <f>""</f>
        <v/>
      </c>
      <c r="H920" t="str">
        <f>"Inv# 225370140001"</f>
        <v>Inv# 225370140001</v>
      </c>
    </row>
    <row r="921" spans="1:8" x14ac:dyDescent="0.25">
      <c r="A921" t="s">
        <v>321</v>
      </c>
      <c r="B921">
        <v>80210</v>
      </c>
      <c r="C921" s="2">
        <v>1799.04</v>
      </c>
      <c r="D921" s="1">
        <v>43461</v>
      </c>
      <c r="E921" t="str">
        <f>"10461164"</f>
        <v>10461164</v>
      </c>
      <c r="F921" t="str">
        <f>"Bill# 10461164"</f>
        <v>Bill# 10461164</v>
      </c>
      <c r="G921" s="3">
        <v>1799.04</v>
      </c>
      <c r="H921" t="str">
        <f>"Ord# 235576882001"</f>
        <v>Ord# 235576882001</v>
      </c>
    </row>
    <row r="922" spans="1:8" x14ac:dyDescent="0.25">
      <c r="E922" t="str">
        <f>""</f>
        <v/>
      </c>
      <c r="F922" t="str">
        <f>""</f>
        <v/>
      </c>
      <c r="H922" t="str">
        <f>"Ord# 237747788001"</f>
        <v>Ord# 237747788001</v>
      </c>
    </row>
    <row r="923" spans="1:8" x14ac:dyDescent="0.25">
      <c r="E923" t="str">
        <f>""</f>
        <v/>
      </c>
      <c r="F923" t="str">
        <f>""</f>
        <v/>
      </c>
      <c r="H923" t="str">
        <f>"Ord# 240086228001"</f>
        <v>Ord# 240086228001</v>
      </c>
    </row>
    <row r="924" spans="1:8" x14ac:dyDescent="0.25">
      <c r="E924" t="str">
        <f>""</f>
        <v/>
      </c>
      <c r="F924" t="str">
        <f>""</f>
        <v/>
      </c>
      <c r="H924" t="str">
        <f>"Ord# 240087982001"</f>
        <v>Ord# 240087982001</v>
      </c>
    </row>
    <row r="925" spans="1:8" x14ac:dyDescent="0.25">
      <c r="E925" t="str">
        <f>""</f>
        <v/>
      </c>
      <c r="F925" t="str">
        <f>""</f>
        <v/>
      </c>
      <c r="H925" t="str">
        <f>"Ord# 240087983001"</f>
        <v>Ord# 240087983001</v>
      </c>
    </row>
    <row r="926" spans="1:8" x14ac:dyDescent="0.25">
      <c r="E926" t="str">
        <f>""</f>
        <v/>
      </c>
      <c r="F926" t="str">
        <f>""</f>
        <v/>
      </c>
      <c r="H926" t="str">
        <f>"Ord# 234702058001"</f>
        <v>Ord# 234702058001</v>
      </c>
    </row>
    <row r="927" spans="1:8" x14ac:dyDescent="0.25">
      <c r="E927" t="str">
        <f>""</f>
        <v/>
      </c>
      <c r="F927" t="str">
        <f>""</f>
        <v/>
      </c>
      <c r="H927" t="str">
        <f>"Ord# 234702793001"</f>
        <v>Ord# 234702793001</v>
      </c>
    </row>
    <row r="928" spans="1:8" x14ac:dyDescent="0.25">
      <c r="E928" t="str">
        <f>""</f>
        <v/>
      </c>
      <c r="F928" t="str">
        <f>""</f>
        <v/>
      </c>
      <c r="H928" t="str">
        <f>"Ord# 241789179001"</f>
        <v>Ord# 241789179001</v>
      </c>
    </row>
    <row r="929" spans="1:8" x14ac:dyDescent="0.25">
      <c r="E929" t="str">
        <f>""</f>
        <v/>
      </c>
      <c r="F929" t="str">
        <f>""</f>
        <v/>
      </c>
      <c r="H929" t="str">
        <f>"Ord# 241790670001"</f>
        <v>Ord# 241790670001</v>
      </c>
    </row>
    <row r="930" spans="1:8" x14ac:dyDescent="0.25">
      <c r="E930" t="str">
        <f>""</f>
        <v/>
      </c>
      <c r="F930" t="str">
        <f>""</f>
        <v/>
      </c>
      <c r="H930" t="str">
        <f>"Ord# 234781431001"</f>
        <v>Ord# 234781431001</v>
      </c>
    </row>
    <row r="931" spans="1:8" x14ac:dyDescent="0.25">
      <c r="E931" t="str">
        <f>""</f>
        <v/>
      </c>
      <c r="F931" t="str">
        <f>""</f>
        <v/>
      </c>
      <c r="H931" t="str">
        <f>"Ord# 234135152001"</f>
        <v>Ord# 234135152001</v>
      </c>
    </row>
    <row r="932" spans="1:8" x14ac:dyDescent="0.25">
      <c r="E932" t="str">
        <f>""</f>
        <v/>
      </c>
      <c r="F932" t="str">
        <f>""</f>
        <v/>
      </c>
      <c r="H932" t="str">
        <f>"Ord# 234136691001"</f>
        <v>Ord# 234136691001</v>
      </c>
    </row>
    <row r="933" spans="1:8" x14ac:dyDescent="0.25">
      <c r="A933" t="s">
        <v>322</v>
      </c>
      <c r="B933">
        <v>80011</v>
      </c>
      <c r="C933" s="2">
        <v>195</v>
      </c>
      <c r="D933" s="1">
        <v>43444</v>
      </c>
      <c r="E933" t="str">
        <f>"284842"</f>
        <v>284842</v>
      </c>
      <c r="F933" t="str">
        <f>"CUST ID:BASCOU/DRUG SCREEN"</f>
        <v>CUST ID:BASCOU/DRUG SCREEN</v>
      </c>
      <c r="G933" s="3">
        <v>195</v>
      </c>
      <c r="H933" t="str">
        <f>"CUST ID:BASCOU/DRUG SCREEN"</f>
        <v>CUST ID:BASCOU/DRUG SCREEN</v>
      </c>
    </row>
    <row r="934" spans="1:8" x14ac:dyDescent="0.25">
      <c r="E934" t="str">
        <f>""</f>
        <v/>
      </c>
      <c r="F934" t="str">
        <f>""</f>
        <v/>
      </c>
      <c r="H934" t="str">
        <f>"CUST ID:BASCOU/DRUG SCREEN"</f>
        <v>CUST ID:BASCOU/DRUG SCREEN</v>
      </c>
    </row>
    <row r="935" spans="1:8" x14ac:dyDescent="0.25">
      <c r="E935" t="str">
        <f>""</f>
        <v/>
      </c>
      <c r="F935" t="str">
        <f>""</f>
        <v/>
      </c>
      <c r="H935" t="str">
        <f>"CUST ID:BASCOU/DRUG SCREEN"</f>
        <v>CUST ID:BASCOU/DRUG SCREEN</v>
      </c>
    </row>
    <row r="936" spans="1:8" x14ac:dyDescent="0.25">
      <c r="E936" t="str">
        <f>""</f>
        <v/>
      </c>
      <c r="F936" t="str">
        <f>""</f>
        <v/>
      </c>
      <c r="H936" t="str">
        <f>"CUST ID:BASCOU/DRUG SCREEN"</f>
        <v>CUST ID:BASCOU/DRUG SCREEN</v>
      </c>
    </row>
    <row r="937" spans="1:8" x14ac:dyDescent="0.25">
      <c r="A937" t="s">
        <v>323</v>
      </c>
      <c r="B937">
        <v>80012</v>
      </c>
      <c r="C937" s="2">
        <v>5617.29</v>
      </c>
      <c r="D937" s="1">
        <v>43444</v>
      </c>
      <c r="E937" t="str">
        <f>"18100"</f>
        <v>18100</v>
      </c>
      <c r="F937" t="str">
        <f>"PLUMBING SVCS/GEN SVCS"</f>
        <v>PLUMBING SVCS/GEN SVCS</v>
      </c>
      <c r="G937" s="3">
        <v>627</v>
      </c>
      <c r="H937" t="str">
        <f>"PLUMBING SVCS/GEN SVCS"</f>
        <v>PLUMBING SVCS/GEN SVCS</v>
      </c>
    </row>
    <row r="938" spans="1:8" x14ac:dyDescent="0.25">
      <c r="E938" t="str">
        <f>"18335"</f>
        <v>18335</v>
      </c>
      <c r="F938" t="str">
        <f>"LABOR/MATERIAL/ANIMAL SVCS SUR"</f>
        <v>LABOR/MATERIAL/ANIMAL SVCS SUR</v>
      </c>
      <c r="G938" s="3">
        <v>4990.29</v>
      </c>
      <c r="H938" t="str">
        <f>"LABOR/MATERIAL/ANIMAL SVCS SUR"</f>
        <v>LABOR/MATERIAL/ANIMAL SVCS SUR</v>
      </c>
    </row>
    <row r="939" spans="1:8" x14ac:dyDescent="0.25">
      <c r="A939" t="s">
        <v>323</v>
      </c>
      <c r="B939">
        <v>80211</v>
      </c>
      <c r="C939" s="2">
        <v>282</v>
      </c>
      <c r="D939" s="1">
        <v>43461</v>
      </c>
      <c r="E939" t="str">
        <f>"18436"</f>
        <v>18436</v>
      </c>
      <c r="F939" t="str">
        <f>"PLUMBING SVCS/HLTH &amp; HUMAN SVC"</f>
        <v>PLUMBING SVCS/HLTH &amp; HUMAN SVC</v>
      </c>
      <c r="G939" s="3">
        <v>282</v>
      </c>
      <c r="H939" t="str">
        <f>"PLUMBING SVCS/HLTH &amp; HUMAN SVC"</f>
        <v>PLUMBING SVCS/HLTH &amp; HUMAN SVC</v>
      </c>
    </row>
    <row r="940" spans="1:8" x14ac:dyDescent="0.25">
      <c r="A940" t="s">
        <v>324</v>
      </c>
      <c r="B940">
        <v>80013</v>
      </c>
      <c r="C940" s="2">
        <v>1233</v>
      </c>
      <c r="D940" s="1">
        <v>43444</v>
      </c>
      <c r="E940" t="str">
        <f>"260211"</f>
        <v>260211</v>
      </c>
      <c r="F940" t="str">
        <f>"Supply Order"</f>
        <v>Supply Order</v>
      </c>
      <c r="G940" s="3">
        <v>1233</v>
      </c>
      <c r="H940" t="str">
        <f>"36 x50yds Black"</f>
        <v>36 x50yds Black</v>
      </c>
    </row>
    <row r="941" spans="1:8" x14ac:dyDescent="0.25">
      <c r="E941" t="str">
        <f>""</f>
        <v/>
      </c>
      <c r="F941" t="str">
        <f>""</f>
        <v/>
      </c>
      <c r="H941" t="str">
        <f>"24 x50yds Black"</f>
        <v>24 x50yds Black</v>
      </c>
    </row>
    <row r="942" spans="1:8" x14ac:dyDescent="0.25">
      <c r="E942" t="str">
        <f>""</f>
        <v/>
      </c>
      <c r="F942" t="str">
        <f>""</f>
        <v/>
      </c>
      <c r="H942" t="str">
        <f>"12 x6  Reflective"</f>
        <v>12 x6  Reflective</v>
      </c>
    </row>
    <row r="943" spans="1:8" x14ac:dyDescent="0.25">
      <c r="A943" t="s">
        <v>325</v>
      </c>
      <c r="B943">
        <v>80212</v>
      </c>
      <c r="C943" s="2">
        <v>3273.96</v>
      </c>
      <c r="D943" s="1">
        <v>43461</v>
      </c>
      <c r="E943" t="str">
        <f>"65078"</f>
        <v>65078</v>
      </c>
      <c r="F943" t="str">
        <f>"Inv# 65078"</f>
        <v>Inv# 65078</v>
      </c>
      <c r="G943" s="3">
        <v>574.96</v>
      </c>
      <c r="H943" t="str">
        <f>"STIHL BT45W"</f>
        <v>STIHL BT45W</v>
      </c>
    </row>
    <row r="944" spans="1:8" x14ac:dyDescent="0.25">
      <c r="E944" t="str">
        <f>""</f>
        <v/>
      </c>
      <c r="F944" t="str">
        <f>""</f>
        <v/>
      </c>
      <c r="H944" t="str">
        <f>"Drill Bit"</f>
        <v>Drill Bit</v>
      </c>
    </row>
    <row r="945" spans="1:8" x14ac:dyDescent="0.25">
      <c r="E945" t="str">
        <f>""</f>
        <v/>
      </c>
      <c r="F945" t="str">
        <f>""</f>
        <v/>
      </c>
      <c r="H945" t="str">
        <f>"Discount"</f>
        <v>Discount</v>
      </c>
    </row>
    <row r="946" spans="1:8" x14ac:dyDescent="0.25">
      <c r="E946" t="str">
        <f>"65079"</f>
        <v>65079</v>
      </c>
      <c r="F946" t="str">
        <f>"72 Inch Rotary Tiller"</f>
        <v>72 Inch Rotary Tiller</v>
      </c>
      <c r="G946" s="3">
        <v>2699</v>
      </c>
      <c r="H946" t="str">
        <f>"72 Inch Rotary Tiller"</f>
        <v>72 Inch Rotary Tiller</v>
      </c>
    </row>
    <row r="947" spans="1:8" x14ac:dyDescent="0.25">
      <c r="A947" t="s">
        <v>326</v>
      </c>
      <c r="B947">
        <v>80014</v>
      </c>
      <c r="C947" s="2">
        <v>105</v>
      </c>
      <c r="D947" s="1">
        <v>43444</v>
      </c>
      <c r="E947" t="str">
        <f>"201812035466"</f>
        <v>201812035466</v>
      </c>
      <c r="F947" t="str">
        <f>"FERAL HOGS"</f>
        <v>FERAL HOGS</v>
      </c>
      <c r="G947" s="3">
        <v>105</v>
      </c>
      <c r="H947" t="str">
        <f>"FERAL HOGS"</f>
        <v>FERAL HOGS</v>
      </c>
    </row>
    <row r="948" spans="1:8" x14ac:dyDescent="0.25">
      <c r="A948" t="s">
        <v>327</v>
      </c>
      <c r="B948">
        <v>80213</v>
      </c>
      <c r="C948" s="2">
        <v>273.83999999999997</v>
      </c>
      <c r="D948" s="1">
        <v>43461</v>
      </c>
      <c r="E948" t="str">
        <f>"201812125769"</f>
        <v>201812125769</v>
      </c>
      <c r="F948" t="str">
        <f>"ACCT#1137/PCT#4"</f>
        <v>ACCT#1137/PCT#4</v>
      </c>
      <c r="G948" s="3">
        <v>273.83999999999997</v>
      </c>
      <c r="H948" t="str">
        <f>"ACCT#1137/PCT#4"</f>
        <v>ACCT#1137/PCT#4</v>
      </c>
    </row>
    <row r="949" spans="1:8" x14ac:dyDescent="0.25">
      <c r="A949" t="s">
        <v>328</v>
      </c>
      <c r="B949">
        <v>80214</v>
      </c>
      <c r="C949" s="2">
        <v>15</v>
      </c>
      <c r="D949" s="1">
        <v>43461</v>
      </c>
      <c r="E949" t="str">
        <f>"201812125752"</f>
        <v>201812125752</v>
      </c>
      <c r="F949" t="str">
        <f>"FERAL HOGS"</f>
        <v>FERAL HOGS</v>
      </c>
      <c r="G949" s="3">
        <v>15</v>
      </c>
      <c r="H949" t="str">
        <f>"FERAL HOGS"</f>
        <v>FERAL HOGS</v>
      </c>
    </row>
    <row r="950" spans="1:8" x14ac:dyDescent="0.25">
      <c r="A950" t="s">
        <v>329</v>
      </c>
      <c r="B950">
        <v>221</v>
      </c>
      <c r="C950" s="2">
        <v>9702.15</v>
      </c>
      <c r="D950" s="1">
        <v>43462</v>
      </c>
      <c r="E950" t="str">
        <f>"2008365"</f>
        <v>2008365</v>
      </c>
      <c r="F950" t="str">
        <f>"Christmas Light Install"</f>
        <v>Christmas Light Install</v>
      </c>
      <c r="G950" s="3">
        <v>6750</v>
      </c>
      <c r="H950" t="str">
        <f>"Christmas Light Install"</f>
        <v>Christmas Light Install</v>
      </c>
    </row>
    <row r="951" spans="1:8" x14ac:dyDescent="0.25">
      <c r="E951" t="str">
        <f>"8366 8364 8363"</f>
        <v>8366 8364 8363</v>
      </c>
      <c r="F951" t="str">
        <f>"Inv# 8366  8364  8363"</f>
        <v>Inv# 8366  8364  8363</v>
      </c>
      <c r="G951" s="3">
        <v>2952.15</v>
      </c>
      <c r="H951" t="str">
        <f>"Inv# 8366"</f>
        <v>Inv# 8366</v>
      </c>
    </row>
    <row r="952" spans="1:8" x14ac:dyDescent="0.25">
      <c r="E952" t="str">
        <f>""</f>
        <v/>
      </c>
      <c r="F952" t="str">
        <f>""</f>
        <v/>
      </c>
      <c r="H952" t="str">
        <f>"Inv# 8364"</f>
        <v>Inv# 8364</v>
      </c>
    </row>
    <row r="953" spans="1:8" x14ac:dyDescent="0.25">
      <c r="E953" t="str">
        <f>""</f>
        <v/>
      </c>
      <c r="F953" t="str">
        <f>""</f>
        <v/>
      </c>
      <c r="H953" t="str">
        <f>"Inv# 8363"</f>
        <v>Inv# 8363</v>
      </c>
    </row>
    <row r="954" spans="1:8" x14ac:dyDescent="0.25">
      <c r="A954" t="s">
        <v>330</v>
      </c>
      <c r="B954">
        <v>80215</v>
      </c>
      <c r="C954" s="2">
        <v>358</v>
      </c>
      <c r="D954" s="1">
        <v>43461</v>
      </c>
      <c r="E954" t="str">
        <f>"0946"</f>
        <v>0946</v>
      </c>
      <c r="F954" t="str">
        <f>"INV 0946"</f>
        <v>INV 0946</v>
      </c>
      <c r="G954" s="3">
        <v>193</v>
      </c>
      <c r="H954" t="str">
        <f>"INV 0946"</f>
        <v>INV 0946</v>
      </c>
    </row>
    <row r="955" spans="1:8" x14ac:dyDescent="0.25">
      <c r="E955" t="str">
        <f>"P4045"</f>
        <v>P4045</v>
      </c>
      <c r="F955" t="str">
        <f>"INV P4045 / UNIT 4045"</f>
        <v>INV P4045 / UNIT 4045</v>
      </c>
      <c r="G955" s="3">
        <v>165</v>
      </c>
      <c r="H955" t="str">
        <f>"INV P4045"</f>
        <v>INV P4045</v>
      </c>
    </row>
    <row r="956" spans="1:8" x14ac:dyDescent="0.25">
      <c r="A956" t="s">
        <v>331</v>
      </c>
      <c r="B956">
        <v>80216</v>
      </c>
      <c r="C956" s="2">
        <v>883.05</v>
      </c>
      <c r="D956" s="1">
        <v>43461</v>
      </c>
      <c r="E956" t="str">
        <f>"201812125730"</f>
        <v>201812125730</v>
      </c>
      <c r="F956" t="str">
        <f>"ACCT#0200140783/ANIMAL CONTROL"</f>
        <v>ACCT#0200140783/ANIMAL CONTROL</v>
      </c>
      <c r="G956" s="3">
        <v>883.05</v>
      </c>
      <c r="H956" t="str">
        <f>"ACCT#0200140783/ANIMAL CONTROL"</f>
        <v>ACCT#0200140783/ANIMAL CONTROL</v>
      </c>
    </row>
    <row r="957" spans="1:8" x14ac:dyDescent="0.25">
      <c r="A957" t="s">
        <v>332</v>
      </c>
      <c r="B957">
        <v>80217</v>
      </c>
      <c r="C957" s="2">
        <v>21.64</v>
      </c>
      <c r="D957" s="1">
        <v>43461</v>
      </c>
      <c r="E957" t="str">
        <f>"201812125756"</f>
        <v>201812125756</v>
      </c>
      <c r="F957" t="str">
        <f>"REIMBURSE LOGITECH TRIATHLON"</f>
        <v>REIMBURSE LOGITECH TRIATHLON</v>
      </c>
      <c r="G957" s="3">
        <v>21.64</v>
      </c>
      <c r="H957" t="str">
        <f>"REIMBURSE LOGITECH TRIATHLON"</f>
        <v>REIMBURSE LOGITECH TRIATHLON</v>
      </c>
    </row>
    <row r="958" spans="1:8" x14ac:dyDescent="0.25">
      <c r="A958" t="s">
        <v>333</v>
      </c>
      <c r="B958">
        <v>80015</v>
      </c>
      <c r="C958" s="2">
        <v>64798.87</v>
      </c>
      <c r="D958" s="1">
        <v>43444</v>
      </c>
      <c r="E958" t="str">
        <f>"V013001072"</f>
        <v>V013001072</v>
      </c>
      <c r="F958" t="str">
        <f>"CLEVELAND MACK SALES INC"</f>
        <v>CLEVELAND MACK SALES INC</v>
      </c>
      <c r="G958" s="3">
        <v>64798.87</v>
      </c>
      <c r="H958" t="str">
        <f>"2019 KENWORTH TRUCK"</f>
        <v>2019 KENWORTH TRUCK</v>
      </c>
    </row>
    <row r="959" spans="1:8" x14ac:dyDescent="0.25">
      <c r="A959" t="s">
        <v>334</v>
      </c>
      <c r="B959">
        <v>195</v>
      </c>
      <c r="C959" s="2">
        <v>1030</v>
      </c>
      <c r="D959" s="1">
        <v>43445</v>
      </c>
      <c r="E959" t="str">
        <f>"201811305432"</f>
        <v>201811305432</v>
      </c>
      <c r="F959" t="str">
        <f>"18-19039"</f>
        <v>18-19039</v>
      </c>
      <c r="G959" s="3">
        <v>317</v>
      </c>
      <c r="H959" t="str">
        <f>"18-19039"</f>
        <v>18-19039</v>
      </c>
    </row>
    <row r="960" spans="1:8" x14ac:dyDescent="0.25">
      <c r="E960" t="str">
        <f>"201811305433"</f>
        <v>201811305433</v>
      </c>
      <c r="F960" t="str">
        <f>"17-18635"</f>
        <v>17-18635</v>
      </c>
      <c r="G960" s="3">
        <v>213</v>
      </c>
      <c r="H960" t="str">
        <f>"17-18635"</f>
        <v>17-18635</v>
      </c>
    </row>
    <row r="961" spans="1:8" x14ac:dyDescent="0.25">
      <c r="E961" t="str">
        <f>"201812045550"</f>
        <v>201812045550</v>
      </c>
      <c r="F961" t="str">
        <f>"56053"</f>
        <v>56053</v>
      </c>
      <c r="G961" s="3">
        <v>250</v>
      </c>
      <c r="H961" t="str">
        <f>"56053"</f>
        <v>56053</v>
      </c>
    </row>
    <row r="962" spans="1:8" x14ac:dyDescent="0.25">
      <c r="E962" t="str">
        <f>"201812045551"</f>
        <v>201812045551</v>
      </c>
      <c r="F962" t="str">
        <f>"JP3 3101 42018 B/TRN9253508604"</f>
        <v>JP3 3101 42018 B/TRN9253508604</v>
      </c>
      <c r="G962" s="3">
        <v>250</v>
      </c>
      <c r="H962" t="str">
        <f>"JP3 3101 42018 B/TRN9253508604"</f>
        <v>JP3 3101 42018 B/TRN9253508604</v>
      </c>
    </row>
    <row r="963" spans="1:8" x14ac:dyDescent="0.25">
      <c r="A963" t="s">
        <v>334</v>
      </c>
      <c r="B963">
        <v>257</v>
      </c>
      <c r="C963" s="2">
        <v>946</v>
      </c>
      <c r="D963" s="1">
        <v>43462</v>
      </c>
      <c r="E963" t="str">
        <f>"201812185884"</f>
        <v>201812185884</v>
      </c>
      <c r="F963" t="str">
        <f>"18-19130"</f>
        <v>18-19130</v>
      </c>
      <c r="G963" s="3">
        <v>333</v>
      </c>
      <c r="H963" t="str">
        <f>"18-19130"</f>
        <v>18-19130</v>
      </c>
    </row>
    <row r="964" spans="1:8" x14ac:dyDescent="0.25">
      <c r="E964" t="str">
        <f>"201812185885"</f>
        <v>201812185885</v>
      </c>
      <c r="F964" t="str">
        <f>"17-18617"</f>
        <v>17-18617</v>
      </c>
      <c r="G964" s="3">
        <v>325</v>
      </c>
      <c r="H964" t="str">
        <f>"17-18617"</f>
        <v>17-18617</v>
      </c>
    </row>
    <row r="965" spans="1:8" x14ac:dyDescent="0.25">
      <c r="E965" t="str">
        <f>"201812185886"</f>
        <v>201812185886</v>
      </c>
      <c r="F965" t="str">
        <f>"18-19166"</f>
        <v>18-19166</v>
      </c>
      <c r="G965" s="3">
        <v>288</v>
      </c>
      <c r="H965" t="str">
        <f>"18-19166"</f>
        <v>18-19166</v>
      </c>
    </row>
    <row r="966" spans="1:8" x14ac:dyDescent="0.25">
      <c r="A966" t="s">
        <v>335</v>
      </c>
      <c r="B966">
        <v>80016</v>
      </c>
      <c r="C966" s="2">
        <v>6076.8</v>
      </c>
      <c r="D966" s="1">
        <v>43444</v>
      </c>
      <c r="E966" t="str">
        <f>"207996"</f>
        <v>207996</v>
      </c>
      <c r="F966" t="str">
        <f>"Trash Cans"</f>
        <v>Trash Cans</v>
      </c>
      <c r="G966" s="3">
        <v>6076.8</v>
      </c>
      <c r="H966" t="str">
        <f>"CN-TR/CN-52RW"</f>
        <v>CN-TR/CN-52RW</v>
      </c>
    </row>
    <row r="967" spans="1:8" x14ac:dyDescent="0.25">
      <c r="E967" t="str">
        <f>""</f>
        <v/>
      </c>
      <c r="F967" t="str">
        <f>""</f>
        <v/>
      </c>
      <c r="H967" t="str">
        <f>"CN-TR/P/CN-52RW"</f>
        <v>CN-TR/P/CN-52RW</v>
      </c>
    </row>
    <row r="968" spans="1:8" x14ac:dyDescent="0.25">
      <c r="E968" t="str">
        <f>""</f>
        <v/>
      </c>
      <c r="F968" t="str">
        <f>""</f>
        <v/>
      </c>
      <c r="H968" t="str">
        <f>"Freight"</f>
        <v>Freight</v>
      </c>
    </row>
    <row r="969" spans="1:8" x14ac:dyDescent="0.25">
      <c r="A969" t="s">
        <v>336</v>
      </c>
      <c r="B969">
        <v>194</v>
      </c>
      <c r="C969" s="2">
        <v>195.96</v>
      </c>
      <c r="D969" s="1">
        <v>43445</v>
      </c>
      <c r="E969" t="str">
        <f>"3307580366"</f>
        <v>3307580366</v>
      </c>
      <c r="F969" t="str">
        <f>"ACCT#0010366024/TAX ASSESSOR"</f>
        <v>ACCT#0010366024/TAX ASSESSOR</v>
      </c>
      <c r="G969" s="3">
        <v>195.96</v>
      </c>
      <c r="H969" t="str">
        <f>"ACCT#0010366024/TAX ASSESSOR"</f>
        <v>ACCT#0010366024/TAX ASSESSOR</v>
      </c>
    </row>
    <row r="970" spans="1:8" x14ac:dyDescent="0.25">
      <c r="A970" t="s">
        <v>336</v>
      </c>
      <c r="B970">
        <v>256</v>
      </c>
      <c r="C970" s="2">
        <v>1579.19</v>
      </c>
      <c r="D970" s="1">
        <v>43462</v>
      </c>
      <c r="E970" t="str">
        <f>"3307619600"</f>
        <v>3307619600</v>
      </c>
      <c r="F970" t="str">
        <f>"INV 3307619600"</f>
        <v>INV 3307619600</v>
      </c>
      <c r="G970" s="3">
        <v>415.19</v>
      </c>
      <c r="H970" t="str">
        <f>"INV 3307619600"</f>
        <v>INV 3307619600</v>
      </c>
    </row>
    <row r="971" spans="1:8" x14ac:dyDescent="0.25">
      <c r="E971" t="str">
        <f>"3307619761"</f>
        <v>3307619761</v>
      </c>
      <c r="F971" t="str">
        <f>"ACCT#017315717/TAX ASSESSOR"</f>
        <v>ACCT#017315717/TAX ASSESSOR</v>
      </c>
      <c r="G971" s="3">
        <v>1164</v>
      </c>
      <c r="H971" t="str">
        <f>"ACCT#017315717/TAX ASSESSOR"</f>
        <v>ACCT#017315717/TAX ASSESSOR</v>
      </c>
    </row>
    <row r="972" spans="1:8" x14ac:dyDescent="0.25">
      <c r="A972" t="s">
        <v>337</v>
      </c>
      <c r="B972">
        <v>80017</v>
      </c>
      <c r="C972" s="2">
        <v>147.29</v>
      </c>
      <c r="D972" s="1">
        <v>43444</v>
      </c>
      <c r="E972" t="str">
        <f>"201811285305"</f>
        <v>201811285305</v>
      </c>
      <c r="F972" t="str">
        <f>"FOOD FOR JURY"</f>
        <v>FOOD FOR JURY</v>
      </c>
      <c r="G972" s="3">
        <v>147.29</v>
      </c>
      <c r="H972" t="str">
        <f>"FOOD FOR JURY"</f>
        <v>FOOD FOR JURY</v>
      </c>
    </row>
    <row r="973" spans="1:8" x14ac:dyDescent="0.25">
      <c r="A973" t="s">
        <v>338</v>
      </c>
      <c r="B973">
        <v>80018</v>
      </c>
      <c r="C973" s="2">
        <v>250</v>
      </c>
      <c r="D973" s="1">
        <v>43444</v>
      </c>
      <c r="E973" t="str">
        <f>"201812045545"</f>
        <v>201812045545</v>
      </c>
      <c r="F973" t="str">
        <f>"56 244"</f>
        <v>56 244</v>
      </c>
      <c r="G973" s="3">
        <v>250</v>
      </c>
      <c r="H973" t="str">
        <f>"56 244"</f>
        <v>56 244</v>
      </c>
    </row>
    <row r="974" spans="1:8" x14ac:dyDescent="0.25">
      <c r="A974" t="s">
        <v>338</v>
      </c>
      <c r="B974">
        <v>80218</v>
      </c>
      <c r="C974" s="2">
        <v>24865</v>
      </c>
      <c r="D974" s="1">
        <v>43461</v>
      </c>
      <c r="E974" t="str">
        <f>"201812185865"</f>
        <v>201812185865</v>
      </c>
      <c r="F974" t="str">
        <f>"18-18990  5/04-9/19"</f>
        <v>18-18990  5/04-9/19</v>
      </c>
      <c r="G974" s="3">
        <v>1695</v>
      </c>
      <c r="H974" t="str">
        <f>"18-18990"</f>
        <v>18-18990</v>
      </c>
    </row>
    <row r="975" spans="1:8" x14ac:dyDescent="0.25">
      <c r="E975" t="str">
        <f>"201812185866"</f>
        <v>201812185866</v>
      </c>
      <c r="F975" t="str">
        <f>"16-17894  4/3-4/9"</f>
        <v>16-17894  4/3-4/9</v>
      </c>
      <c r="G975" s="3">
        <v>187.5</v>
      </c>
      <c r="H975" t="str">
        <f>"16-17894"</f>
        <v>16-17894</v>
      </c>
    </row>
    <row r="976" spans="1:8" x14ac:dyDescent="0.25">
      <c r="E976" t="str">
        <f>"201812185867"</f>
        <v>201812185867</v>
      </c>
      <c r="F976" t="str">
        <f>"17-18527  4/2-4/20"</f>
        <v>17-18527  4/2-4/20</v>
      </c>
      <c r="G976" s="3">
        <v>142.5</v>
      </c>
      <c r="H976" t="str">
        <f>"17-18527  4/2-4/20"</f>
        <v>17-18527  4/2-4/20</v>
      </c>
    </row>
    <row r="977" spans="5:8" x14ac:dyDescent="0.25">
      <c r="E977" t="str">
        <f>"201812185869"</f>
        <v>201812185869</v>
      </c>
      <c r="F977" t="str">
        <f>"17-18269  4/1-4/30"</f>
        <v>17-18269  4/1-4/30</v>
      </c>
      <c r="G977" s="3">
        <v>1330</v>
      </c>
      <c r="H977" t="str">
        <f>"17-18269  4/1-4/30"</f>
        <v>17-18269  4/1-4/30</v>
      </c>
    </row>
    <row r="978" spans="5:8" x14ac:dyDescent="0.25">
      <c r="E978" t="str">
        <f>"201812185870"</f>
        <v>201812185870</v>
      </c>
      <c r="F978" t="str">
        <f>"16-17765  4/01-4/27"</f>
        <v>16-17765  4/01-4/27</v>
      </c>
      <c r="G978" s="3">
        <v>225</v>
      </c>
      <c r="H978" t="str">
        <f>"16-17765  4/01-4/27"</f>
        <v>16-17765  4/01-4/27</v>
      </c>
    </row>
    <row r="979" spans="5:8" x14ac:dyDescent="0.25">
      <c r="E979" t="str">
        <f>"201812185871"</f>
        <v>201812185871</v>
      </c>
      <c r="F979" t="str">
        <f>"17-18615  4/2-4/26"</f>
        <v>17-18615  4/2-4/26</v>
      </c>
      <c r="G979" s="3">
        <v>120</v>
      </c>
      <c r="H979" t="str">
        <f>"17-18615  4/2-4/26"</f>
        <v>17-18615  4/2-4/26</v>
      </c>
    </row>
    <row r="980" spans="5:8" x14ac:dyDescent="0.25">
      <c r="E980" t="str">
        <f>"201812185872"</f>
        <v>201812185872</v>
      </c>
      <c r="F980" t="str">
        <f>"16-17944  4/19-4/26"</f>
        <v>16-17944  4/19-4/26</v>
      </c>
      <c r="G980" s="3">
        <v>37.5</v>
      </c>
      <c r="H980" t="str">
        <f>"16-17944  4/19-4/26"</f>
        <v>16-17944  4/19-4/26</v>
      </c>
    </row>
    <row r="981" spans="5:8" x14ac:dyDescent="0.25">
      <c r="E981" t="str">
        <f>"201812185873"</f>
        <v>201812185873</v>
      </c>
      <c r="F981" t="str">
        <f>"16-17760  4/19/18"</f>
        <v>16-17760  4/19/18</v>
      </c>
      <c r="G981" s="3">
        <v>37.5</v>
      </c>
      <c r="H981" t="str">
        <f>"16-17760  4/19/18"</f>
        <v>16-17760  4/19/18</v>
      </c>
    </row>
    <row r="982" spans="5:8" x14ac:dyDescent="0.25">
      <c r="E982" t="str">
        <f>"201812185874"</f>
        <v>201812185874</v>
      </c>
      <c r="F982" t="str">
        <f>"17-18672  4/02-4/19"</f>
        <v>17-18672  4/02-4/19</v>
      </c>
      <c r="G982" s="3">
        <v>325</v>
      </c>
      <c r="H982" t="str">
        <f>"17-18672  4/02-4/19"</f>
        <v>17-18672  4/02-4/19</v>
      </c>
    </row>
    <row r="983" spans="5:8" x14ac:dyDescent="0.25">
      <c r="E983" t="str">
        <f>"201812185875"</f>
        <v>201812185875</v>
      </c>
      <c r="F983" t="str">
        <f>"17-18738  4/13/18"</f>
        <v>17-18738  4/13/18</v>
      </c>
      <c r="G983" s="3">
        <v>22.5</v>
      </c>
      <c r="H983" t="str">
        <f>"17-18738  4/13/18"</f>
        <v>17-18738  4/13/18</v>
      </c>
    </row>
    <row r="984" spans="5:8" x14ac:dyDescent="0.25">
      <c r="E984" t="str">
        <f>"201812185876"</f>
        <v>201812185876</v>
      </c>
      <c r="F984" t="str">
        <f>"18-18924  4/09-4/24"</f>
        <v>18-18924  4/09-4/24</v>
      </c>
      <c r="G984" s="3">
        <v>522.5</v>
      </c>
      <c r="H984" t="str">
        <f>"18-18924  4/09-4/24"</f>
        <v>18-18924  4/09-4/24</v>
      </c>
    </row>
    <row r="985" spans="5:8" x14ac:dyDescent="0.25">
      <c r="E985" t="str">
        <f>"201812185877"</f>
        <v>201812185877</v>
      </c>
      <c r="F985" t="str">
        <f>"18-18864  4/03-4/24"</f>
        <v>18-18864  4/03-4/24</v>
      </c>
      <c r="G985" s="3">
        <v>497.5</v>
      </c>
      <c r="H985" t="str">
        <f>"18-18864  4/03-4/24"</f>
        <v>18-18864  4/03-4/24</v>
      </c>
    </row>
    <row r="986" spans="5:8" x14ac:dyDescent="0.25">
      <c r="E986" t="str">
        <f>"201812185878"</f>
        <v>201812185878</v>
      </c>
      <c r="F986" t="str">
        <f>"18-19050  5/16-9/27"</f>
        <v>18-19050  5/16-9/27</v>
      </c>
      <c r="G986" s="3">
        <v>2196.25</v>
      </c>
      <c r="H986" t="str">
        <f>"18-19050  5/16-9/27"</f>
        <v>18-19050  5/16-9/27</v>
      </c>
    </row>
    <row r="987" spans="5:8" x14ac:dyDescent="0.25">
      <c r="E987" t="str">
        <f>"201812185879"</f>
        <v>201812185879</v>
      </c>
      <c r="F987" t="str">
        <f>"18-19077  6/25-9/24"</f>
        <v>18-19077  6/25-9/24</v>
      </c>
      <c r="G987" s="3">
        <v>1155</v>
      </c>
      <c r="H987" t="str">
        <f>"18-19077  6/25-9/24"</f>
        <v>18-19077  6/25-9/24</v>
      </c>
    </row>
    <row r="988" spans="5:8" x14ac:dyDescent="0.25">
      <c r="E988" t="str">
        <f>"201812185880"</f>
        <v>201812185880</v>
      </c>
      <c r="F988" t="str">
        <f>"18-18864  5/02-8/31"</f>
        <v>18-18864  5/02-8/31</v>
      </c>
      <c r="G988" s="3">
        <v>946.25</v>
      </c>
      <c r="H988" t="str">
        <f>"18-18864  5/02-8/31"</f>
        <v>18-18864  5/02-8/31</v>
      </c>
    </row>
    <row r="989" spans="5:8" x14ac:dyDescent="0.25">
      <c r="E989" t="str">
        <f>"201812185881"</f>
        <v>201812185881</v>
      </c>
      <c r="F989" t="str">
        <f>"17-18527  5/03-9/26"</f>
        <v>17-18527  5/03-9/26</v>
      </c>
      <c r="G989" s="3">
        <v>1250</v>
      </c>
      <c r="H989" t="str">
        <f>"17-18527  5/03-9/26"</f>
        <v>17-18527  5/03-9/26</v>
      </c>
    </row>
    <row r="990" spans="5:8" x14ac:dyDescent="0.25">
      <c r="E990" t="str">
        <f>"201812185902"</f>
        <v>201812185902</v>
      </c>
      <c r="F990" t="str">
        <f>"18-19142  07/31-09/26"</f>
        <v>18-19142  07/31-09/26</v>
      </c>
      <c r="G990" s="3">
        <v>1240</v>
      </c>
      <c r="H990" t="str">
        <f>"18-19142  07/31-09/26"</f>
        <v>18-19142  07/31-09/26</v>
      </c>
    </row>
    <row r="991" spans="5:8" x14ac:dyDescent="0.25">
      <c r="E991" t="str">
        <f>"201812185903"</f>
        <v>201812185903</v>
      </c>
      <c r="F991" t="str">
        <f>"16-17765  05/10-07/18"</f>
        <v>16-17765  05/10-07/18</v>
      </c>
      <c r="G991" s="3">
        <v>1332.5</v>
      </c>
      <c r="H991" t="str">
        <f>"16-17765  05/10-07/18"</f>
        <v>16-17765  05/10-07/18</v>
      </c>
    </row>
    <row r="992" spans="5:8" x14ac:dyDescent="0.25">
      <c r="E992" t="str">
        <f>"201812185904"</f>
        <v>201812185904</v>
      </c>
      <c r="F992" t="str">
        <f>"17-18615  05/07-09/29"</f>
        <v>17-18615  05/07-09/29</v>
      </c>
      <c r="G992" s="3">
        <v>1545</v>
      </c>
      <c r="H992" t="str">
        <f>"17-18615  05/07-09/29"</f>
        <v>17-18615  05/07-09/29</v>
      </c>
    </row>
    <row r="993" spans="1:8" x14ac:dyDescent="0.25">
      <c r="E993" t="str">
        <f>"201812185905"</f>
        <v>201812185905</v>
      </c>
      <c r="F993" t="str">
        <f>"17-18646  08/07-09/27"</f>
        <v>17-18646  08/07-09/27</v>
      </c>
      <c r="G993" s="3">
        <v>1758.75</v>
      </c>
      <c r="H993" t="str">
        <f>"17-18646  08/07-09/27"</f>
        <v>17-18646  08/07-09/27</v>
      </c>
    </row>
    <row r="994" spans="1:8" x14ac:dyDescent="0.25">
      <c r="E994" t="str">
        <f>"201812185906"</f>
        <v>201812185906</v>
      </c>
      <c r="F994" t="str">
        <f>"16-17944  05/11-09/19"</f>
        <v>16-17944  05/11-09/19</v>
      </c>
      <c r="G994" s="3">
        <v>940</v>
      </c>
      <c r="H994" t="str">
        <f>"16-17944  05/11-09/19"</f>
        <v>16-17944  05/11-09/19</v>
      </c>
    </row>
    <row r="995" spans="1:8" x14ac:dyDescent="0.25">
      <c r="E995" t="str">
        <f>"201812185907"</f>
        <v>201812185907</v>
      </c>
      <c r="F995" t="str">
        <f>"18-18990  04/17-04/24"</f>
        <v>18-18990  04/17-04/24</v>
      </c>
      <c r="G995" s="3">
        <v>340</v>
      </c>
      <c r="H995" t="str">
        <f>"18-18990  04/17-04/24"</f>
        <v>18-18990  04/17-04/24</v>
      </c>
    </row>
    <row r="996" spans="1:8" x14ac:dyDescent="0.25">
      <c r="E996" t="str">
        <f>"201812185908"</f>
        <v>201812185908</v>
      </c>
      <c r="F996" t="str">
        <f>"17-18535  06/19-07/31"</f>
        <v>17-18535  06/19-07/31</v>
      </c>
      <c r="G996" s="3">
        <v>380</v>
      </c>
      <c r="H996" t="str">
        <f>"17-18535  06/19-07/31"</f>
        <v>17-18535  06/19-07/31</v>
      </c>
    </row>
    <row r="997" spans="1:8" x14ac:dyDescent="0.25">
      <c r="E997" t="str">
        <f>"201812185909"</f>
        <v>201812185909</v>
      </c>
      <c r="F997" t="str">
        <f>"17-18229  05/01-09/06"</f>
        <v>17-18229  05/01-09/06</v>
      </c>
      <c r="G997" s="3">
        <v>1520</v>
      </c>
      <c r="H997" t="str">
        <f>"17-18229  05/01-09/06"</f>
        <v>17-18229  05/01-09/06</v>
      </c>
    </row>
    <row r="998" spans="1:8" x14ac:dyDescent="0.25">
      <c r="E998" t="str">
        <f>"201812185910"</f>
        <v>201812185910</v>
      </c>
      <c r="F998" t="str">
        <f>"17-18738  05/07-09/28"</f>
        <v>17-18738  05/07-09/28</v>
      </c>
      <c r="G998" s="3">
        <v>1097.5</v>
      </c>
      <c r="H998" t="str">
        <f>"17-18738  05/07-09/28"</f>
        <v>17-18738  05/07-09/28</v>
      </c>
    </row>
    <row r="999" spans="1:8" x14ac:dyDescent="0.25">
      <c r="E999" t="str">
        <f>"201812185911"</f>
        <v>201812185911</v>
      </c>
      <c r="F999" t="str">
        <f>"18-18924  05/10-09/20"</f>
        <v>18-18924  05/10-09/20</v>
      </c>
      <c r="G999" s="3">
        <v>1518.75</v>
      </c>
      <c r="H999" t="str">
        <f>"18-18924  05/10-09/20"</f>
        <v>18-18924  05/10-09/20</v>
      </c>
    </row>
    <row r="1000" spans="1:8" x14ac:dyDescent="0.25">
      <c r="E1000" t="str">
        <f>"201812195912"</f>
        <v>201812195912</v>
      </c>
      <c r="F1000" t="str">
        <f>"16-17894 / 050418-072618"</f>
        <v>16-17894 / 050418-072618</v>
      </c>
      <c r="G1000" s="3">
        <v>495</v>
      </c>
      <c r="H1000" t="str">
        <f>"16-17894 / 050418-072618"</f>
        <v>16-17894 / 050418-072618</v>
      </c>
    </row>
    <row r="1001" spans="1:8" x14ac:dyDescent="0.25">
      <c r="E1001" t="str">
        <f>"201812195913"</f>
        <v>201812195913</v>
      </c>
      <c r="F1001" t="str">
        <f>"17-18672 / 050218-092818"</f>
        <v>17-18672 / 050218-092818</v>
      </c>
      <c r="G1001" s="3">
        <v>842.5</v>
      </c>
      <c r="H1001" t="str">
        <f>"17-18672 / 050218-092818"</f>
        <v>17-18672 / 050218-092818</v>
      </c>
    </row>
    <row r="1002" spans="1:8" x14ac:dyDescent="0.25">
      <c r="E1002" t="str">
        <f>"201812195914"</f>
        <v>201812195914</v>
      </c>
      <c r="F1002" t="str">
        <f>"17-18269 / 052218-092718"</f>
        <v>17-18269 / 052218-092718</v>
      </c>
      <c r="G1002" s="3">
        <v>1165</v>
      </c>
      <c r="H1002" t="str">
        <f>"17-18269 / 052218-092718"</f>
        <v>17-18269 / 052218-092718</v>
      </c>
    </row>
    <row r="1003" spans="1:8" x14ac:dyDescent="0.25">
      <c r="A1003" t="s">
        <v>339</v>
      </c>
      <c r="B1003">
        <v>178</v>
      </c>
      <c r="C1003" s="2">
        <v>835.96</v>
      </c>
      <c r="D1003" s="1">
        <v>43445</v>
      </c>
      <c r="E1003" t="str">
        <f>"201812045569"</f>
        <v>201812045569</v>
      </c>
      <c r="F1003" t="str">
        <f>"ACCT#0005/PCT#4"</f>
        <v>ACCT#0005/PCT#4</v>
      </c>
      <c r="G1003" s="3">
        <v>835.96</v>
      </c>
      <c r="H1003" t="str">
        <f>"ACCT#0005/PCT#4"</f>
        <v>ACCT#0005/PCT#4</v>
      </c>
    </row>
    <row r="1004" spans="1:8" x14ac:dyDescent="0.25">
      <c r="A1004" t="s">
        <v>340</v>
      </c>
      <c r="B1004">
        <v>79868</v>
      </c>
      <c r="C1004" s="2">
        <v>690</v>
      </c>
      <c r="D1004" s="1">
        <v>43438</v>
      </c>
      <c r="E1004" t="str">
        <f>"201812045522"</f>
        <v>201812045522</v>
      </c>
      <c r="F1004" t="str">
        <f>"PERMIT #4511526 / ELECTIONS"</f>
        <v>PERMIT #4511526 / ELECTIONS</v>
      </c>
      <c r="G1004" s="3">
        <v>690</v>
      </c>
    </row>
    <row r="1005" spans="1:8" x14ac:dyDescent="0.25">
      <c r="A1005" t="s">
        <v>340</v>
      </c>
      <c r="B1005">
        <v>79868</v>
      </c>
      <c r="C1005" s="2">
        <v>690</v>
      </c>
      <c r="D1005" s="1">
        <v>43438</v>
      </c>
      <c r="E1005" t="str">
        <f>"CHECK"</f>
        <v>CHECK</v>
      </c>
      <c r="F1005" t="str">
        <f>""</f>
        <v/>
      </c>
      <c r="G1005" s="3">
        <v>690</v>
      </c>
    </row>
    <row r="1006" spans="1:8" x14ac:dyDescent="0.25">
      <c r="A1006" t="s">
        <v>340</v>
      </c>
      <c r="B1006">
        <v>79870</v>
      </c>
      <c r="C1006" s="2">
        <v>690</v>
      </c>
      <c r="D1006" s="1">
        <v>43438</v>
      </c>
      <c r="E1006" t="str">
        <f>"201812045544"</f>
        <v>201812045544</v>
      </c>
      <c r="F1006" t="str">
        <f>"PERMIT #4511526 / ELECTIONS"</f>
        <v>PERMIT #4511526 / ELECTIONS</v>
      </c>
      <c r="G1006" s="3">
        <v>690</v>
      </c>
      <c r="H1006" t="str">
        <f>"PERMIT #4511526 / ELECTIONS"</f>
        <v>PERMIT #4511526 / ELECTIONS</v>
      </c>
    </row>
    <row r="1007" spans="1:8" x14ac:dyDescent="0.25">
      <c r="A1007" t="s">
        <v>341</v>
      </c>
      <c r="B1007">
        <v>80019</v>
      </c>
      <c r="C1007" s="2">
        <v>8701.23</v>
      </c>
      <c r="D1007" s="1">
        <v>43444</v>
      </c>
      <c r="E1007" t="str">
        <f>"21862-A"</f>
        <v>21862-A</v>
      </c>
      <c r="F1007" t="str">
        <f>"Modular Battery"</f>
        <v>Modular Battery</v>
      </c>
      <c r="G1007" s="3">
        <v>8701.23</v>
      </c>
      <c r="H1007" t="str">
        <f>"WMBRS4-MB-T4"</f>
        <v>WMBRS4-MB-T4</v>
      </c>
    </row>
    <row r="1008" spans="1:8" x14ac:dyDescent="0.25">
      <c r="E1008" t="str">
        <f>""</f>
        <v/>
      </c>
      <c r="F1008" t="str">
        <f>""</f>
        <v/>
      </c>
      <c r="H1008" t="str">
        <f>"WUPGMBRS7X24-MB-00"</f>
        <v>WUPGMBRS7X24-MB-00</v>
      </c>
    </row>
    <row r="1009" spans="1:9" x14ac:dyDescent="0.25">
      <c r="E1009" t="str">
        <f>""</f>
        <v/>
      </c>
      <c r="F1009" t="str">
        <f>""</f>
        <v/>
      </c>
      <c r="H1009" t="str">
        <f>"Freight"</f>
        <v>Freight</v>
      </c>
    </row>
    <row r="1010" spans="1:9" x14ac:dyDescent="0.25">
      <c r="A1010" t="s">
        <v>342</v>
      </c>
      <c r="B1010">
        <v>80219</v>
      </c>
      <c r="C1010" s="2">
        <v>330</v>
      </c>
      <c r="D1010" s="1">
        <v>43461</v>
      </c>
      <c r="E1010" t="str">
        <f>"BCEC001113018"</f>
        <v>BCEC001113018</v>
      </c>
      <c r="F1010" t="str">
        <f>"CUST ID:BCE002/TCLEDDS RENEWAL"</f>
        <v>CUST ID:BCE002/TCLEDDS RENEWAL</v>
      </c>
      <c r="G1010" s="3">
        <v>330</v>
      </c>
      <c r="H1010" t="str">
        <f>"CUST ID:BCE002/TCLEDDS RENEWAL"</f>
        <v>CUST ID:BCE002/TCLEDDS RENEWAL</v>
      </c>
    </row>
    <row r="1011" spans="1:9" x14ac:dyDescent="0.25">
      <c r="A1011" t="s">
        <v>343</v>
      </c>
      <c r="B1011">
        <v>80220</v>
      </c>
      <c r="C1011" s="2">
        <v>30</v>
      </c>
      <c r="D1011" s="1">
        <v>43461</v>
      </c>
      <c r="E1011" t="s">
        <v>247</v>
      </c>
      <c r="F1011" t="s">
        <v>248</v>
      </c>
      <c r="G1011" s="3" t="str">
        <f>"RESTITUTION-COY FERRIS"</f>
        <v>RESTITUTION-COY FERRIS</v>
      </c>
      <c r="H1011" t="str">
        <f>"210-0000"</f>
        <v>210-0000</v>
      </c>
      <c r="I1011" t="str">
        <f>""</f>
        <v/>
      </c>
    </row>
    <row r="1012" spans="1:9" x14ac:dyDescent="0.25">
      <c r="A1012" t="s">
        <v>344</v>
      </c>
      <c r="B1012">
        <v>80020</v>
      </c>
      <c r="C1012" s="2">
        <v>990</v>
      </c>
      <c r="D1012" s="1">
        <v>43444</v>
      </c>
      <c r="E1012" t="str">
        <f>"2018123"</f>
        <v>2018123</v>
      </c>
      <c r="F1012" t="str">
        <f>"TRANSPORT-S. SCRIBNER"</f>
        <v>TRANSPORT-S. SCRIBNER</v>
      </c>
      <c r="G1012" s="3">
        <v>495</v>
      </c>
      <c r="H1012" t="str">
        <f>"TRANSPORT-S. SCRIBNER"</f>
        <v>TRANSPORT-S. SCRIBNER</v>
      </c>
    </row>
    <row r="1013" spans="1:9" x14ac:dyDescent="0.25">
      <c r="E1013" t="str">
        <f>"2018124"</f>
        <v>2018124</v>
      </c>
      <c r="F1013" t="str">
        <f>"TRANSPORT-R. JEFFERSON"</f>
        <v>TRANSPORT-R. JEFFERSON</v>
      </c>
      <c r="G1013" s="3">
        <v>495</v>
      </c>
      <c r="H1013" t="str">
        <f>"TRANSPORT-R. JEFFERSON"</f>
        <v>TRANSPORT-R. JEFFERSON</v>
      </c>
    </row>
    <row r="1014" spans="1:9" x14ac:dyDescent="0.25">
      <c r="A1014" t="s">
        <v>345</v>
      </c>
      <c r="B1014">
        <v>80221</v>
      </c>
      <c r="C1014" s="2">
        <v>350</v>
      </c>
      <c r="D1014" s="1">
        <v>43461</v>
      </c>
      <c r="E1014" t="str">
        <f>"235990"</f>
        <v>235990</v>
      </c>
      <c r="F1014" t="str">
        <f>"TRAINING"</f>
        <v>TRAINING</v>
      </c>
      <c r="G1014" s="3">
        <v>350</v>
      </c>
      <c r="H1014" t="str">
        <f>"TRAINING"</f>
        <v>TRAINING</v>
      </c>
    </row>
    <row r="1015" spans="1:9" x14ac:dyDescent="0.25">
      <c r="A1015" t="s">
        <v>346</v>
      </c>
      <c r="B1015">
        <v>80021</v>
      </c>
      <c r="C1015" s="2">
        <v>2880</v>
      </c>
      <c r="D1015" s="1">
        <v>43444</v>
      </c>
      <c r="E1015" t="str">
        <f>"10-4300-273048"</f>
        <v>10-4300-273048</v>
      </c>
      <c r="F1015" t="str">
        <f>"Acct# 10-4300-273048"</f>
        <v>Acct# 10-4300-273048</v>
      </c>
      <c r="G1015" s="3">
        <v>2880</v>
      </c>
      <c r="H1015" t="str">
        <f>"payment"</f>
        <v>payment</v>
      </c>
    </row>
    <row r="1016" spans="1:9" x14ac:dyDescent="0.25">
      <c r="A1016" t="s">
        <v>347</v>
      </c>
      <c r="B1016">
        <v>80022</v>
      </c>
      <c r="C1016" s="2">
        <v>16385</v>
      </c>
      <c r="D1016" s="1">
        <v>43444</v>
      </c>
      <c r="E1016" t="str">
        <f>"121581"</f>
        <v>121581</v>
      </c>
      <c r="F1016" t="str">
        <f>"Qualys Renewal"</f>
        <v>Qualys Renewal</v>
      </c>
      <c r="G1016" s="3">
        <v>16385</v>
      </c>
      <c r="H1016" t="str">
        <f>"Q-X-VS-PKG"</f>
        <v>Q-X-VS-PKG</v>
      </c>
    </row>
    <row r="1017" spans="1:9" x14ac:dyDescent="0.25">
      <c r="E1017" t="str">
        <f>""</f>
        <v/>
      </c>
      <c r="F1017" t="str">
        <f>""</f>
        <v/>
      </c>
      <c r="H1017" t="str">
        <f>"VS"</f>
        <v>VS</v>
      </c>
    </row>
    <row r="1018" spans="1:9" x14ac:dyDescent="0.25">
      <c r="E1018" t="str">
        <f>""</f>
        <v/>
      </c>
      <c r="F1018" t="str">
        <f>""</f>
        <v/>
      </c>
      <c r="H1018" t="str">
        <f>"Q-XP-WASPKG"</f>
        <v>Q-XP-WASPKG</v>
      </c>
    </row>
    <row r="1019" spans="1:9" x14ac:dyDescent="0.25">
      <c r="E1019" t="str">
        <f>""</f>
        <v/>
      </c>
      <c r="F1019" t="str">
        <f>""</f>
        <v/>
      </c>
      <c r="H1019" t="str">
        <f>"Q-XP-CMEPKG"</f>
        <v>Q-XP-CMEPKG</v>
      </c>
    </row>
    <row r="1020" spans="1:9" x14ac:dyDescent="0.25">
      <c r="A1020" t="s">
        <v>348</v>
      </c>
      <c r="B1020">
        <v>212</v>
      </c>
      <c r="C1020" s="2">
        <v>127.66</v>
      </c>
      <c r="D1020" s="1">
        <v>43462</v>
      </c>
      <c r="E1020" t="str">
        <f>"201812185858"</f>
        <v>201812185858</v>
      </c>
      <c r="F1020" t="str">
        <f>"REIMBURSE MEALS/HOTEL"</f>
        <v>REIMBURSE MEALS/HOTEL</v>
      </c>
      <c r="G1020" s="3">
        <v>127.66</v>
      </c>
      <c r="H1020" t="str">
        <f>"REIMBURSE MEALS/HOTEL"</f>
        <v>REIMBURSE MEALS/HOTEL</v>
      </c>
    </row>
    <row r="1021" spans="1:9" x14ac:dyDescent="0.25">
      <c r="A1021" t="s">
        <v>349</v>
      </c>
      <c r="B1021">
        <v>214</v>
      </c>
      <c r="C1021" s="2">
        <v>200.54</v>
      </c>
      <c r="D1021" s="1">
        <v>43462</v>
      </c>
      <c r="E1021" t="str">
        <f>"18LO121569859"</f>
        <v>18LO121569859</v>
      </c>
      <c r="F1021" t="str">
        <f>"ACCT#0121569859/JP #4"</f>
        <v>ACCT#0121569859/JP #4</v>
      </c>
      <c r="G1021" s="3">
        <v>34.93</v>
      </c>
      <c r="H1021" t="str">
        <f>"ACCT#0121569859/JP #4"</f>
        <v>ACCT#0121569859/JP #4</v>
      </c>
    </row>
    <row r="1022" spans="1:9" x14ac:dyDescent="0.25">
      <c r="E1022" t="str">
        <f>"18LO121587851"</f>
        <v>18LO121587851</v>
      </c>
      <c r="F1022" t="str">
        <f>"ACCT#0121587851/PCT#4"</f>
        <v>ACCT#0121587851/PCT#4</v>
      </c>
      <c r="G1022" s="3">
        <v>165.61</v>
      </c>
      <c r="H1022" t="str">
        <f>"ACCT#0121587851/PCT#4"</f>
        <v>ACCT#0121587851/PCT#4</v>
      </c>
    </row>
    <row r="1023" spans="1:9" x14ac:dyDescent="0.25">
      <c r="A1023" t="s">
        <v>350</v>
      </c>
      <c r="B1023">
        <v>80222</v>
      </c>
      <c r="C1023" s="2">
        <v>717.94</v>
      </c>
      <c r="D1023" s="1">
        <v>43461</v>
      </c>
      <c r="E1023" t="str">
        <f>"201812125729"</f>
        <v>201812125729</v>
      </c>
      <c r="F1023" t="str">
        <f>"ACCT#19610"</f>
        <v>ACCT#19610</v>
      </c>
      <c r="G1023" s="3">
        <v>717.94</v>
      </c>
      <c r="H1023" t="str">
        <f>"ACCT#19610"</f>
        <v>ACCT#19610</v>
      </c>
    </row>
    <row r="1024" spans="1:9" x14ac:dyDescent="0.25">
      <c r="A1024" t="s">
        <v>351</v>
      </c>
      <c r="B1024">
        <v>80023</v>
      </c>
      <c r="C1024" s="2">
        <v>790.69</v>
      </c>
      <c r="D1024" s="1">
        <v>43444</v>
      </c>
      <c r="E1024" t="str">
        <f>"0843-001521205"</f>
        <v>0843-001521205</v>
      </c>
      <c r="F1024" t="str">
        <f>"ACCT#3-0843-1269216/ANIMAL CON"</f>
        <v>ACCT#3-0843-1269216/ANIMAL CON</v>
      </c>
      <c r="G1024" s="3">
        <v>790.69</v>
      </c>
      <c r="H1024" t="str">
        <f>"ACCT#3-0843-1269216/ANIMAL CON"</f>
        <v>ACCT#3-0843-1269216/ANIMAL CON</v>
      </c>
    </row>
    <row r="1025" spans="1:8" x14ac:dyDescent="0.25">
      <c r="A1025" t="s">
        <v>351</v>
      </c>
      <c r="B1025">
        <v>80094</v>
      </c>
      <c r="C1025" s="2">
        <v>1475.03</v>
      </c>
      <c r="D1025" s="1">
        <v>43452</v>
      </c>
      <c r="E1025" t="str">
        <f>"0843-001522604"</f>
        <v>0843-001522604</v>
      </c>
      <c r="F1025" t="str">
        <f>"ACCT#3-0843-0017094 / 11302018"</f>
        <v>ACCT#3-0843-0017094 / 11302018</v>
      </c>
      <c r="G1025" s="3">
        <v>1475.03</v>
      </c>
      <c r="H1025" t="str">
        <f>"ACCT#3-0843-0017094 / 11302018"</f>
        <v>ACCT#3-0843-0017094 / 11302018</v>
      </c>
    </row>
    <row r="1026" spans="1:8" x14ac:dyDescent="0.25">
      <c r="A1026" t="s">
        <v>352</v>
      </c>
      <c r="B1026">
        <v>80223</v>
      </c>
      <c r="C1026" s="2">
        <v>9000</v>
      </c>
      <c r="D1026" s="1">
        <v>43461</v>
      </c>
      <c r="E1026" t="str">
        <f>"201812175846"</f>
        <v>201812175846</v>
      </c>
      <c r="F1026" t="str">
        <f>"ACCT#34549337/POSTAGE"</f>
        <v>ACCT#34549337/POSTAGE</v>
      </c>
      <c r="G1026" s="3">
        <v>9000</v>
      </c>
      <c r="H1026" t="str">
        <f>"ACCT#34549337/POSTAGE"</f>
        <v>ACCT#34549337/POSTAGE</v>
      </c>
    </row>
    <row r="1027" spans="1:8" x14ac:dyDescent="0.25">
      <c r="A1027" t="s">
        <v>353</v>
      </c>
      <c r="B1027">
        <v>80024</v>
      </c>
      <c r="C1027" s="2">
        <v>1579.09</v>
      </c>
      <c r="D1027" s="1">
        <v>43444</v>
      </c>
      <c r="E1027" t="str">
        <f>"81724"</f>
        <v>81724</v>
      </c>
      <c r="F1027" t="str">
        <f>"ACCT#3510/PCT#4"</f>
        <v>ACCT#3510/PCT#4</v>
      </c>
      <c r="G1027" s="3">
        <v>1579.09</v>
      </c>
      <c r="H1027" t="str">
        <f>"ACCT#3510/PCT#4"</f>
        <v>ACCT#3510/PCT#4</v>
      </c>
    </row>
    <row r="1028" spans="1:8" x14ac:dyDescent="0.25">
      <c r="A1028" t="s">
        <v>354</v>
      </c>
      <c r="B1028">
        <v>164</v>
      </c>
      <c r="C1028" s="2">
        <v>1606.92</v>
      </c>
      <c r="D1028" s="1">
        <v>43445</v>
      </c>
      <c r="E1028" t="str">
        <f>"201812065583"</f>
        <v>201812065583</v>
      </c>
      <c r="F1028" t="str">
        <f>"CONT#4746243/CUST#12847097"</f>
        <v>CONT#4746243/CUST#12847097</v>
      </c>
      <c r="G1028" s="3">
        <v>1525.72</v>
      </c>
      <c r="H1028" t="str">
        <f t="shared" ref="H1028:H1051" si="10">"CONT#4746243/CUST#12847097"</f>
        <v>CONT#4746243/CUST#12847097</v>
      </c>
    </row>
    <row r="1029" spans="1:8" x14ac:dyDescent="0.25">
      <c r="E1029" t="str">
        <f>""</f>
        <v/>
      </c>
      <c r="F1029" t="str">
        <f>""</f>
        <v/>
      </c>
      <c r="H1029" t="str">
        <f t="shared" si="10"/>
        <v>CONT#4746243/CUST#12847097</v>
      </c>
    </row>
    <row r="1030" spans="1:8" x14ac:dyDescent="0.25">
      <c r="E1030" t="str">
        <f>""</f>
        <v/>
      </c>
      <c r="F1030" t="str">
        <f>""</f>
        <v/>
      </c>
      <c r="H1030" t="str">
        <f t="shared" si="10"/>
        <v>CONT#4746243/CUST#12847097</v>
      </c>
    </row>
    <row r="1031" spans="1:8" x14ac:dyDescent="0.25">
      <c r="E1031" t="str">
        <f>""</f>
        <v/>
      </c>
      <c r="F1031" t="str">
        <f>""</f>
        <v/>
      </c>
      <c r="H1031" t="str">
        <f t="shared" si="10"/>
        <v>CONT#4746243/CUST#12847097</v>
      </c>
    </row>
    <row r="1032" spans="1:8" x14ac:dyDescent="0.25">
      <c r="E1032" t="str">
        <f>""</f>
        <v/>
      </c>
      <c r="F1032" t="str">
        <f>""</f>
        <v/>
      </c>
      <c r="H1032" t="str">
        <f t="shared" si="10"/>
        <v>CONT#4746243/CUST#12847097</v>
      </c>
    </row>
    <row r="1033" spans="1:8" x14ac:dyDescent="0.25">
      <c r="E1033" t="str">
        <f>""</f>
        <v/>
      </c>
      <c r="F1033" t="str">
        <f>""</f>
        <v/>
      </c>
      <c r="H1033" t="str">
        <f t="shared" si="10"/>
        <v>CONT#4746243/CUST#12847097</v>
      </c>
    </row>
    <row r="1034" spans="1:8" x14ac:dyDescent="0.25">
      <c r="E1034" t="str">
        <f>""</f>
        <v/>
      </c>
      <c r="F1034" t="str">
        <f>""</f>
        <v/>
      </c>
      <c r="H1034" t="str">
        <f t="shared" si="10"/>
        <v>CONT#4746243/CUST#12847097</v>
      </c>
    </row>
    <row r="1035" spans="1:8" x14ac:dyDescent="0.25">
      <c r="E1035" t="str">
        <f>""</f>
        <v/>
      </c>
      <c r="F1035" t="str">
        <f>""</f>
        <v/>
      </c>
      <c r="H1035" t="str">
        <f t="shared" si="10"/>
        <v>CONT#4746243/CUST#12847097</v>
      </c>
    </row>
    <row r="1036" spans="1:8" x14ac:dyDescent="0.25">
      <c r="E1036" t="str">
        <f>""</f>
        <v/>
      </c>
      <c r="F1036" t="str">
        <f>""</f>
        <v/>
      </c>
      <c r="H1036" t="str">
        <f t="shared" si="10"/>
        <v>CONT#4746243/CUST#12847097</v>
      </c>
    </row>
    <row r="1037" spans="1:8" x14ac:dyDescent="0.25">
      <c r="E1037" t="str">
        <f>""</f>
        <v/>
      </c>
      <c r="F1037" t="str">
        <f>""</f>
        <v/>
      </c>
      <c r="H1037" t="str">
        <f t="shared" si="10"/>
        <v>CONT#4746243/CUST#12847097</v>
      </c>
    </row>
    <row r="1038" spans="1:8" x14ac:dyDescent="0.25">
      <c r="E1038" t="str">
        <f>""</f>
        <v/>
      </c>
      <c r="F1038" t="str">
        <f>""</f>
        <v/>
      </c>
      <c r="H1038" t="str">
        <f t="shared" si="10"/>
        <v>CONT#4746243/CUST#12847097</v>
      </c>
    </row>
    <row r="1039" spans="1:8" x14ac:dyDescent="0.25">
      <c r="E1039" t="str">
        <f>""</f>
        <v/>
      </c>
      <c r="F1039" t="str">
        <f>""</f>
        <v/>
      </c>
      <c r="H1039" t="str">
        <f t="shared" si="10"/>
        <v>CONT#4746243/CUST#12847097</v>
      </c>
    </row>
    <row r="1040" spans="1:8" x14ac:dyDescent="0.25">
      <c r="E1040" t="str">
        <f>""</f>
        <v/>
      </c>
      <c r="F1040" t="str">
        <f>""</f>
        <v/>
      </c>
      <c r="H1040" t="str">
        <f t="shared" si="10"/>
        <v>CONT#4746243/CUST#12847097</v>
      </c>
    </row>
    <row r="1041" spans="1:8" x14ac:dyDescent="0.25">
      <c r="E1041" t="str">
        <f>""</f>
        <v/>
      </c>
      <c r="F1041" t="str">
        <f>""</f>
        <v/>
      </c>
      <c r="H1041" t="str">
        <f t="shared" si="10"/>
        <v>CONT#4746243/CUST#12847097</v>
      </c>
    </row>
    <row r="1042" spans="1:8" x14ac:dyDescent="0.25">
      <c r="E1042" t="str">
        <f>""</f>
        <v/>
      </c>
      <c r="F1042" t="str">
        <f>""</f>
        <v/>
      </c>
      <c r="H1042" t="str">
        <f t="shared" si="10"/>
        <v>CONT#4746243/CUST#12847097</v>
      </c>
    </row>
    <row r="1043" spans="1:8" x14ac:dyDescent="0.25">
      <c r="E1043" t="str">
        <f>""</f>
        <v/>
      </c>
      <c r="F1043" t="str">
        <f>""</f>
        <v/>
      </c>
      <c r="H1043" t="str">
        <f t="shared" si="10"/>
        <v>CONT#4746243/CUST#12847097</v>
      </c>
    </row>
    <row r="1044" spans="1:8" x14ac:dyDescent="0.25">
      <c r="E1044" t="str">
        <f>""</f>
        <v/>
      </c>
      <c r="F1044" t="str">
        <f>""</f>
        <v/>
      </c>
      <c r="H1044" t="str">
        <f t="shared" si="10"/>
        <v>CONT#4746243/CUST#12847097</v>
      </c>
    </row>
    <row r="1045" spans="1:8" x14ac:dyDescent="0.25">
      <c r="E1045" t="str">
        <f>""</f>
        <v/>
      </c>
      <c r="F1045" t="str">
        <f>""</f>
        <v/>
      </c>
      <c r="H1045" t="str">
        <f t="shared" si="10"/>
        <v>CONT#4746243/CUST#12847097</v>
      </c>
    </row>
    <row r="1046" spans="1:8" x14ac:dyDescent="0.25">
      <c r="E1046" t="str">
        <f>""</f>
        <v/>
      </c>
      <c r="F1046" t="str">
        <f>""</f>
        <v/>
      </c>
      <c r="H1046" t="str">
        <f t="shared" si="10"/>
        <v>CONT#4746243/CUST#12847097</v>
      </c>
    </row>
    <row r="1047" spans="1:8" x14ac:dyDescent="0.25">
      <c r="E1047" t="str">
        <f>""</f>
        <v/>
      </c>
      <c r="F1047" t="str">
        <f>""</f>
        <v/>
      </c>
      <c r="H1047" t="str">
        <f t="shared" si="10"/>
        <v>CONT#4746243/CUST#12847097</v>
      </c>
    </row>
    <row r="1048" spans="1:8" x14ac:dyDescent="0.25">
      <c r="E1048" t="str">
        <f>""</f>
        <v/>
      </c>
      <c r="F1048" t="str">
        <f>""</f>
        <v/>
      </c>
      <c r="H1048" t="str">
        <f t="shared" si="10"/>
        <v>CONT#4746243/CUST#12847097</v>
      </c>
    </row>
    <row r="1049" spans="1:8" x14ac:dyDescent="0.25">
      <c r="E1049" t="str">
        <f>""</f>
        <v/>
      </c>
      <c r="F1049" t="str">
        <f>""</f>
        <v/>
      </c>
      <c r="H1049" t="str">
        <f t="shared" si="10"/>
        <v>CONT#4746243/CUST#12847097</v>
      </c>
    </row>
    <row r="1050" spans="1:8" x14ac:dyDescent="0.25">
      <c r="E1050" t="str">
        <f>""</f>
        <v/>
      </c>
      <c r="F1050" t="str">
        <f>""</f>
        <v/>
      </c>
      <c r="H1050" t="str">
        <f t="shared" si="10"/>
        <v>CONT#4746243/CUST#12847097</v>
      </c>
    </row>
    <row r="1051" spans="1:8" x14ac:dyDescent="0.25">
      <c r="E1051" t="str">
        <f>""</f>
        <v/>
      </c>
      <c r="F1051" t="str">
        <f>""</f>
        <v/>
      </c>
      <c r="H1051" t="str">
        <f t="shared" si="10"/>
        <v>CONT#4746243/CUST#12847097</v>
      </c>
    </row>
    <row r="1052" spans="1:8" x14ac:dyDescent="0.25">
      <c r="E1052" t="str">
        <f>"5055194963 - P2"</f>
        <v>5055194963 - P2</v>
      </c>
      <c r="F1052" t="str">
        <f>"CONTRACT#4746243/P2"</f>
        <v>CONTRACT#4746243/P2</v>
      </c>
      <c r="G1052" s="3">
        <v>81.2</v>
      </c>
      <c r="H1052" t="str">
        <f>"CONTRACT#4746243/P2"</f>
        <v>CONTRACT#4746243/P2</v>
      </c>
    </row>
    <row r="1053" spans="1:8" x14ac:dyDescent="0.25">
      <c r="A1053" t="s">
        <v>355</v>
      </c>
      <c r="B1053">
        <v>80025</v>
      </c>
      <c r="C1053" s="2">
        <v>682</v>
      </c>
      <c r="D1053" s="1">
        <v>43444</v>
      </c>
      <c r="E1053" t="str">
        <f>"16708174"</f>
        <v>16708174</v>
      </c>
      <c r="F1053" t="str">
        <f>"POTHOLE MIX"</f>
        <v>POTHOLE MIX</v>
      </c>
      <c r="G1053" s="3">
        <v>682</v>
      </c>
      <c r="H1053" t="str">
        <f>"PALLET POTHOLE MIX"</f>
        <v>PALLET POTHOLE MIX</v>
      </c>
    </row>
    <row r="1054" spans="1:8" x14ac:dyDescent="0.25">
      <c r="A1054" t="s">
        <v>356</v>
      </c>
      <c r="B1054">
        <v>232</v>
      </c>
      <c r="C1054" s="2">
        <v>950</v>
      </c>
      <c r="D1054" s="1">
        <v>43462</v>
      </c>
      <c r="E1054" t="str">
        <f>"BCSONOV18"</f>
        <v>BCSONOV18</v>
      </c>
      <c r="F1054" t="str">
        <f>"INV BCSONOV18"</f>
        <v>INV BCSONOV18</v>
      </c>
      <c r="G1054" s="3">
        <v>950</v>
      </c>
      <c r="H1054" t="str">
        <f>"INV BCSONOV18"</f>
        <v>INV BCSONOV18</v>
      </c>
    </row>
    <row r="1055" spans="1:8" x14ac:dyDescent="0.25">
      <c r="A1055" t="s">
        <v>357</v>
      </c>
      <c r="B1055">
        <v>80026</v>
      </c>
      <c r="C1055" s="2">
        <v>65</v>
      </c>
      <c r="D1055" s="1">
        <v>43444</v>
      </c>
      <c r="E1055" t="str">
        <f>"201811305456"</f>
        <v>201811305456</v>
      </c>
      <c r="F1055" t="str">
        <f>"FERAL HOGS"</f>
        <v>FERAL HOGS</v>
      </c>
      <c r="G1055" s="3">
        <v>65</v>
      </c>
      <c r="H1055" t="str">
        <f>"FERAL HOGS"</f>
        <v>FERAL HOGS</v>
      </c>
    </row>
    <row r="1056" spans="1:8" x14ac:dyDescent="0.25">
      <c r="A1056" t="s">
        <v>357</v>
      </c>
      <c r="B1056">
        <v>80224</v>
      </c>
      <c r="C1056" s="2">
        <v>525</v>
      </c>
      <c r="D1056" s="1">
        <v>43461</v>
      </c>
      <c r="E1056" t="str">
        <f>"201812125731"</f>
        <v>201812125731</v>
      </c>
      <c r="F1056" t="str">
        <f>"FERAL HOGS"</f>
        <v>FERAL HOGS</v>
      </c>
      <c r="G1056" s="3">
        <v>470</v>
      </c>
      <c r="H1056" t="str">
        <f>"FERAL HOGS"</f>
        <v>FERAL HOGS</v>
      </c>
    </row>
    <row r="1057" spans="1:8" x14ac:dyDescent="0.25">
      <c r="E1057" t="str">
        <f>"201812125732"</f>
        <v>201812125732</v>
      </c>
      <c r="F1057" t="str">
        <f>"FERAL HOGS"</f>
        <v>FERAL HOGS</v>
      </c>
      <c r="G1057" s="3">
        <v>55</v>
      </c>
      <c r="H1057" t="str">
        <f>"FERAL HOGS"</f>
        <v>FERAL HOGS</v>
      </c>
    </row>
    <row r="1058" spans="1:8" x14ac:dyDescent="0.25">
      <c r="A1058" t="s">
        <v>358</v>
      </c>
      <c r="B1058">
        <v>80027</v>
      </c>
      <c r="C1058" s="2">
        <v>2345.0100000000002</v>
      </c>
      <c r="D1058" s="1">
        <v>43444</v>
      </c>
      <c r="E1058" t="str">
        <f>"4474560/0365/0368"</f>
        <v>4474560/0365/0368</v>
      </c>
      <c r="F1058" t="str">
        <f>"INV 4474560"</f>
        <v>INV 4474560</v>
      </c>
      <c r="G1058" s="3">
        <v>2191.63</v>
      </c>
      <c r="H1058" t="str">
        <f>"INV 4474560"</f>
        <v>INV 4474560</v>
      </c>
    </row>
    <row r="1059" spans="1:8" x14ac:dyDescent="0.25">
      <c r="E1059" t="str">
        <f>""</f>
        <v/>
      </c>
      <c r="F1059" t="str">
        <f>""</f>
        <v/>
      </c>
      <c r="H1059" t="str">
        <f>"INV 470365"</f>
        <v>INV 470365</v>
      </c>
    </row>
    <row r="1060" spans="1:8" x14ac:dyDescent="0.25">
      <c r="E1060" t="str">
        <f>""</f>
        <v/>
      </c>
      <c r="F1060" t="str">
        <f>""</f>
        <v/>
      </c>
      <c r="H1060" t="str">
        <f>"INV 4470368"</f>
        <v>INV 4470368</v>
      </c>
    </row>
    <row r="1061" spans="1:8" x14ac:dyDescent="0.25">
      <c r="E1061" t="str">
        <f>""</f>
        <v/>
      </c>
      <c r="F1061" t="str">
        <f>""</f>
        <v/>
      </c>
      <c r="H1061" t="str">
        <f>"CM 4470880"</f>
        <v>CM 4470880</v>
      </c>
    </row>
    <row r="1062" spans="1:8" x14ac:dyDescent="0.25">
      <c r="E1062" t="str">
        <f>"4480509"</f>
        <v>4480509</v>
      </c>
      <c r="F1062" t="str">
        <f>"INV 4480509"</f>
        <v>INV 4480509</v>
      </c>
      <c r="G1062" s="3">
        <v>153.38</v>
      </c>
      <c r="H1062" t="str">
        <f>"INV 4480509"</f>
        <v>INV 4480509</v>
      </c>
    </row>
    <row r="1063" spans="1:8" x14ac:dyDescent="0.25">
      <c r="A1063" t="s">
        <v>359</v>
      </c>
      <c r="B1063">
        <v>80028</v>
      </c>
      <c r="C1063" s="2">
        <v>282</v>
      </c>
      <c r="D1063" s="1">
        <v>43444</v>
      </c>
      <c r="E1063" t="str">
        <f>"181117-2"</f>
        <v>181117-2</v>
      </c>
      <c r="F1063" t="str">
        <f>"SHIRTS-911 ER COMMUNICATIONS"</f>
        <v>SHIRTS-911 ER COMMUNICATIONS</v>
      </c>
      <c r="G1063" s="3">
        <v>282</v>
      </c>
      <c r="H1063" t="str">
        <f>"SHIRTS-911 ER COMMUNICATIONS"</f>
        <v>SHIRTS-911 ER COMMUNICATIONS</v>
      </c>
    </row>
    <row r="1064" spans="1:8" x14ac:dyDescent="0.25">
      <c r="A1064" t="s">
        <v>360</v>
      </c>
      <c r="B1064">
        <v>80029</v>
      </c>
      <c r="C1064" s="2">
        <v>220</v>
      </c>
      <c r="D1064" s="1">
        <v>43444</v>
      </c>
      <c r="E1064" t="str">
        <f>"201811305463"</f>
        <v>201811305463</v>
      </c>
      <c r="F1064" t="str">
        <f>"FERAL HOGS"</f>
        <v>FERAL HOGS</v>
      </c>
      <c r="G1064" s="3">
        <v>220</v>
      </c>
      <c r="H1064" t="str">
        <f>"FERAL HOGS"</f>
        <v>FERAL HOGS</v>
      </c>
    </row>
    <row r="1065" spans="1:8" x14ac:dyDescent="0.25">
      <c r="A1065" t="s">
        <v>361</v>
      </c>
      <c r="B1065">
        <v>80030</v>
      </c>
      <c r="C1065" s="2">
        <v>66</v>
      </c>
      <c r="D1065" s="1">
        <v>43444</v>
      </c>
      <c r="E1065" t="str">
        <f>"201811275297"</f>
        <v>201811275297</v>
      </c>
      <c r="F1065" t="str">
        <f>"LPHCP RECORDING FEES"</f>
        <v>LPHCP RECORDING FEES</v>
      </c>
      <c r="G1065" s="3">
        <v>66</v>
      </c>
      <c r="H1065" t="str">
        <f>"LPHCP RECORDING FEES"</f>
        <v>LPHCP RECORDING FEES</v>
      </c>
    </row>
    <row r="1066" spans="1:8" x14ac:dyDescent="0.25">
      <c r="A1066" t="s">
        <v>361</v>
      </c>
      <c r="B1066">
        <v>80031</v>
      </c>
      <c r="C1066" s="2">
        <v>122</v>
      </c>
      <c r="D1066" s="1">
        <v>43444</v>
      </c>
      <c r="E1066" t="str">
        <f>"201812065581"</f>
        <v>201812065581</v>
      </c>
      <c r="F1066" t="str">
        <f>"DEVELOPMENT SVCS FEE"</f>
        <v>DEVELOPMENT SVCS FEE</v>
      </c>
      <c r="G1066" s="3">
        <v>122</v>
      </c>
      <c r="H1066" t="str">
        <f>"DEVELOPMENT SVCS FEE"</f>
        <v>DEVELOPMENT SVCS FEE</v>
      </c>
    </row>
    <row r="1067" spans="1:8" x14ac:dyDescent="0.25">
      <c r="A1067" t="s">
        <v>361</v>
      </c>
      <c r="B1067">
        <v>80225</v>
      </c>
      <c r="C1067" s="2">
        <v>54</v>
      </c>
      <c r="D1067" s="1">
        <v>43461</v>
      </c>
      <c r="E1067" t="str">
        <f>"201812175851"</f>
        <v>201812175851</v>
      </c>
      <c r="F1067" t="str">
        <f>"LPHPC RECORDING FEES"</f>
        <v>LPHPC RECORDING FEES</v>
      </c>
      <c r="G1067" s="3">
        <v>54</v>
      </c>
      <c r="H1067" t="str">
        <f>"LPHPC RECORDING FEES"</f>
        <v>LPHPC RECORDING FEES</v>
      </c>
    </row>
    <row r="1068" spans="1:8" x14ac:dyDescent="0.25">
      <c r="A1068" t="s">
        <v>361</v>
      </c>
      <c r="B1068">
        <v>80226</v>
      </c>
      <c r="C1068" s="2">
        <v>366</v>
      </c>
      <c r="D1068" s="1">
        <v>43461</v>
      </c>
      <c r="E1068" t="str">
        <f>"201812195939"</f>
        <v>201812195939</v>
      </c>
      <c r="F1068" t="str">
        <f>"DEVELOPMENT SERVICES - REC FEE"</f>
        <v>DEVELOPMENT SERVICES - REC FEE</v>
      </c>
      <c r="G1068" s="3">
        <v>366</v>
      </c>
      <c r="H1068" t="str">
        <f>"DEVELOPMENT SERVICES - REC FEE"</f>
        <v>DEVELOPMENT SERVICES - REC FEE</v>
      </c>
    </row>
    <row r="1069" spans="1:8" x14ac:dyDescent="0.25">
      <c r="A1069" t="s">
        <v>362</v>
      </c>
      <c r="B1069">
        <v>80227</v>
      </c>
      <c r="C1069" s="2">
        <v>248.82</v>
      </c>
      <c r="D1069" s="1">
        <v>43461</v>
      </c>
      <c r="E1069" t="str">
        <f>"0000007"</f>
        <v>0000007</v>
      </c>
      <c r="F1069" t="str">
        <f>"SPANISH INTERPRETER"</f>
        <v>SPANISH INTERPRETER</v>
      </c>
      <c r="G1069" s="3">
        <v>248.82</v>
      </c>
      <c r="H1069" t="str">
        <f>"SPANISH INTERPRETER"</f>
        <v>SPANISH INTERPRETER</v>
      </c>
    </row>
    <row r="1070" spans="1:8" x14ac:dyDescent="0.25">
      <c r="A1070" t="s">
        <v>363</v>
      </c>
      <c r="B1070">
        <v>80228</v>
      </c>
      <c r="C1070" s="2">
        <v>400</v>
      </c>
      <c r="D1070" s="1">
        <v>43461</v>
      </c>
      <c r="E1070" t="str">
        <f>"3129"</f>
        <v>3129</v>
      </c>
      <c r="F1070" t="str">
        <f>"CUST#102/HEALTH &amp; SANITATION"</f>
        <v>CUST#102/HEALTH &amp; SANITATION</v>
      </c>
      <c r="G1070" s="3">
        <v>400</v>
      </c>
      <c r="H1070" t="str">
        <f>"CUST#102/HEALTH &amp; SANITATION"</f>
        <v>CUST#102/HEALTH &amp; SANITATION</v>
      </c>
    </row>
    <row r="1071" spans="1:8" x14ac:dyDescent="0.25">
      <c r="A1071" t="s">
        <v>364</v>
      </c>
      <c r="B1071">
        <v>262</v>
      </c>
      <c r="C1071" s="2">
        <v>236.61</v>
      </c>
      <c r="D1071" s="1">
        <v>43462</v>
      </c>
      <c r="E1071" t="str">
        <f>"201812195967"</f>
        <v>201812195967</v>
      </c>
      <c r="F1071" t="str">
        <f>"INDIGENT HEALTH"</f>
        <v>INDIGENT HEALTH</v>
      </c>
      <c r="G1071" s="3">
        <v>236.61</v>
      </c>
      <c r="H1071" t="str">
        <f>"INDIGENT HEALTH"</f>
        <v>INDIGENT HEALTH</v>
      </c>
    </row>
    <row r="1072" spans="1:8" x14ac:dyDescent="0.25">
      <c r="A1072" t="s">
        <v>365</v>
      </c>
      <c r="B1072">
        <v>80229</v>
      </c>
      <c r="C1072" s="2">
        <v>35</v>
      </c>
      <c r="D1072" s="1">
        <v>43461</v>
      </c>
      <c r="E1072" t="str">
        <f>"201812125749"</f>
        <v>201812125749</v>
      </c>
      <c r="F1072" t="str">
        <f>"FERAL HOGS"</f>
        <v>FERAL HOGS</v>
      </c>
      <c r="G1072" s="3">
        <v>35</v>
      </c>
      <c r="H1072" t="str">
        <f>"FERAL HOGS"</f>
        <v>FERAL HOGS</v>
      </c>
    </row>
    <row r="1073" spans="1:8" x14ac:dyDescent="0.25">
      <c r="A1073" t="s">
        <v>366</v>
      </c>
      <c r="B1073">
        <v>80230</v>
      </c>
      <c r="C1073" s="2">
        <v>106.66</v>
      </c>
      <c r="D1073" s="1">
        <v>43461</v>
      </c>
      <c r="E1073" t="str">
        <f>"201812195970"</f>
        <v>201812195970</v>
      </c>
      <c r="F1073" t="str">
        <f>"INDIGENT HEALTH"</f>
        <v>INDIGENT HEALTH</v>
      </c>
      <c r="G1073" s="3">
        <v>106.66</v>
      </c>
      <c r="H1073" t="str">
        <f>"INDIGENT HEALTH"</f>
        <v>INDIGENT HEALTH</v>
      </c>
    </row>
    <row r="1074" spans="1:8" x14ac:dyDescent="0.25">
      <c r="E1074" t="str">
        <f>""</f>
        <v/>
      </c>
      <c r="F1074" t="str">
        <f>""</f>
        <v/>
      </c>
      <c r="H1074" t="str">
        <f>"INDIGENT HEALTH"</f>
        <v>INDIGENT HEALTH</v>
      </c>
    </row>
    <row r="1075" spans="1:8" x14ac:dyDescent="0.25">
      <c r="A1075" t="s">
        <v>367</v>
      </c>
      <c r="B1075">
        <v>80231</v>
      </c>
      <c r="C1075" s="2">
        <v>24668.38</v>
      </c>
      <c r="D1075" s="1">
        <v>43461</v>
      </c>
      <c r="E1075" t="str">
        <f>"201812195971"</f>
        <v>201812195971</v>
      </c>
      <c r="F1075" t="str">
        <f>"INDIGENT HEALTH"</f>
        <v>INDIGENT HEALTH</v>
      </c>
      <c r="G1075" s="3">
        <v>24668.38</v>
      </c>
      <c r="H1075" t="str">
        <f>"INDIGENT HEALTH"</f>
        <v>INDIGENT HEALTH</v>
      </c>
    </row>
    <row r="1076" spans="1:8" x14ac:dyDescent="0.25">
      <c r="A1076" t="s">
        <v>368</v>
      </c>
      <c r="B1076">
        <v>198</v>
      </c>
      <c r="C1076" s="2">
        <v>877</v>
      </c>
      <c r="D1076" s="1">
        <v>43445</v>
      </c>
      <c r="E1076" t="str">
        <f>"062610"</f>
        <v>062610</v>
      </c>
      <c r="F1076" t="str">
        <f>"CASEBINDERS/COUNTY CLERK"</f>
        <v>CASEBINDERS/COUNTY CLERK</v>
      </c>
      <c r="G1076" s="3">
        <v>877</v>
      </c>
      <c r="H1076" t="str">
        <f>"CASEBINDERS/COUNTY CLERK"</f>
        <v>CASEBINDERS/COUNTY CLERK</v>
      </c>
    </row>
    <row r="1077" spans="1:8" x14ac:dyDescent="0.25">
      <c r="A1077" t="s">
        <v>369</v>
      </c>
      <c r="B1077">
        <v>80032</v>
      </c>
      <c r="C1077" s="2">
        <v>315</v>
      </c>
      <c r="D1077" s="1">
        <v>43444</v>
      </c>
      <c r="E1077" t="str">
        <f>"201811305465"</f>
        <v>201811305465</v>
      </c>
      <c r="F1077" t="str">
        <f>"FERAL HOGS"</f>
        <v>FERAL HOGS</v>
      </c>
      <c r="G1077" s="3">
        <v>315</v>
      </c>
      <c r="H1077" t="str">
        <f>"FERAL HOGS"</f>
        <v>FERAL HOGS</v>
      </c>
    </row>
    <row r="1078" spans="1:8" x14ac:dyDescent="0.25">
      <c r="A1078" t="s">
        <v>370</v>
      </c>
      <c r="B1078">
        <v>80033</v>
      </c>
      <c r="C1078" s="2">
        <v>250</v>
      </c>
      <c r="D1078" s="1">
        <v>43444</v>
      </c>
      <c r="E1078" t="str">
        <f>"201811305444"</f>
        <v>201811305444</v>
      </c>
      <c r="F1078" t="str">
        <f>"FERAL HOGS"</f>
        <v>FERAL HOGS</v>
      </c>
      <c r="G1078" s="3">
        <v>250</v>
      </c>
      <c r="H1078" t="str">
        <f>"FERAL HOGS"</f>
        <v>FERAL HOGS</v>
      </c>
    </row>
    <row r="1079" spans="1:8" x14ac:dyDescent="0.25">
      <c r="A1079" t="s">
        <v>371</v>
      </c>
      <c r="B1079">
        <v>225</v>
      </c>
      <c r="C1079" s="2">
        <v>3501</v>
      </c>
      <c r="D1079" s="1">
        <v>43462</v>
      </c>
      <c r="E1079" t="str">
        <f>"PPDINV0011607"</f>
        <v>PPDINV0011607</v>
      </c>
      <c r="F1079" t="str">
        <f>"INV PPDINV0011607"</f>
        <v>INV PPDINV0011607</v>
      </c>
      <c r="G1079" s="3">
        <v>3501</v>
      </c>
      <c r="H1079" t="str">
        <f>"INV PPDINV0011607"</f>
        <v>INV PPDINV0011607</v>
      </c>
    </row>
    <row r="1080" spans="1:8" x14ac:dyDescent="0.25">
      <c r="A1080" t="s">
        <v>372</v>
      </c>
      <c r="B1080">
        <v>80034</v>
      </c>
      <c r="C1080" s="2">
        <v>6670</v>
      </c>
      <c r="D1080" s="1">
        <v>43444</v>
      </c>
      <c r="E1080" t="str">
        <f>"1020181"</f>
        <v>1020181</v>
      </c>
      <c r="F1080" t="str">
        <f>"SETON RX ASSISTANCE PROGRAM"</f>
        <v>SETON RX ASSISTANCE PROGRAM</v>
      </c>
      <c r="G1080" s="3">
        <v>3333</v>
      </c>
      <c r="H1080" t="str">
        <f>"SETON RX ASSISTANCE PROGRAM"</f>
        <v>SETON RX ASSISTANCE PROGRAM</v>
      </c>
    </row>
    <row r="1081" spans="1:8" x14ac:dyDescent="0.25">
      <c r="E1081" t="str">
        <f>"920181"</f>
        <v>920181</v>
      </c>
      <c r="F1081" t="str">
        <f>"SETON RX ASSISTANCE PROGRAM"</f>
        <v>SETON RX ASSISTANCE PROGRAM</v>
      </c>
      <c r="G1081" s="3">
        <v>3337</v>
      </c>
      <c r="H1081" t="str">
        <f>"SETON RX ASSISTANCE PROGRAM"</f>
        <v>SETON RX ASSISTANCE PROGRAM</v>
      </c>
    </row>
    <row r="1082" spans="1:8" x14ac:dyDescent="0.25">
      <c r="A1082" t="s">
        <v>372</v>
      </c>
      <c r="B1082">
        <v>80232</v>
      </c>
      <c r="C1082" s="2">
        <v>3333</v>
      </c>
      <c r="D1082" s="1">
        <v>43461</v>
      </c>
      <c r="E1082" t="str">
        <f>"1120181"</f>
        <v>1120181</v>
      </c>
      <c r="F1082" t="str">
        <f>"SETON RX ASSIST PROG-NOV2018"</f>
        <v>SETON RX ASSIST PROG-NOV2018</v>
      </c>
      <c r="G1082" s="3">
        <v>3333</v>
      </c>
      <c r="H1082" t="str">
        <f>"SETON RX ASSIST PROG-NOV2018"</f>
        <v>SETON RX ASSIST PROG-NOV2018</v>
      </c>
    </row>
    <row r="1083" spans="1:8" x14ac:dyDescent="0.25">
      <c r="A1083" t="s">
        <v>373</v>
      </c>
      <c r="B1083">
        <v>80035</v>
      </c>
      <c r="C1083" s="2">
        <v>17950.27</v>
      </c>
      <c r="D1083" s="1">
        <v>43444</v>
      </c>
      <c r="E1083" t="str">
        <f>"4458*98041*1"</f>
        <v>4458*98041*1</v>
      </c>
      <c r="F1083" t="str">
        <f>"JAIL MEDICAL"</f>
        <v>JAIL MEDICAL</v>
      </c>
      <c r="G1083" s="3">
        <v>17950.27</v>
      </c>
      <c r="H1083" t="str">
        <f>"JAIL MEDICAL"</f>
        <v>JAIL MEDICAL</v>
      </c>
    </row>
    <row r="1084" spans="1:8" x14ac:dyDescent="0.25">
      <c r="A1084" t="s">
        <v>373</v>
      </c>
      <c r="B1084">
        <v>80233</v>
      </c>
      <c r="C1084" s="2">
        <v>1900.64</v>
      </c>
      <c r="D1084" s="1">
        <v>43461</v>
      </c>
      <c r="E1084" t="str">
        <f>"201812195973"</f>
        <v>201812195973</v>
      </c>
      <c r="F1084" t="str">
        <f>"INDIGENT HEALTH"</f>
        <v>INDIGENT HEALTH</v>
      </c>
      <c r="G1084" s="3">
        <v>1900.64</v>
      </c>
      <c r="H1084" t="str">
        <f>"INDIGENT HEALTH"</f>
        <v>INDIGENT HEALTH</v>
      </c>
    </row>
    <row r="1085" spans="1:8" x14ac:dyDescent="0.25">
      <c r="A1085" t="s">
        <v>374</v>
      </c>
      <c r="B1085">
        <v>80234</v>
      </c>
      <c r="C1085" s="2">
        <v>30</v>
      </c>
      <c r="D1085" s="1">
        <v>43461</v>
      </c>
      <c r="E1085" t="str">
        <f>"14.962  11/15/18"</f>
        <v>14.962  11/15/18</v>
      </c>
      <c r="F1085" t="str">
        <f>"RESTITUTION-DEBRA MCCOMB"</f>
        <v>RESTITUTION-DEBRA MCCOMB</v>
      </c>
      <c r="G1085" s="3">
        <v>30</v>
      </c>
      <c r="H1085" t="str">
        <f>"RESTITUTION-DEBRA MCCOMB"</f>
        <v>RESTITUTION-DEBRA MCCOMB</v>
      </c>
    </row>
    <row r="1086" spans="1:8" x14ac:dyDescent="0.25">
      <c r="A1086" t="s">
        <v>375</v>
      </c>
      <c r="B1086">
        <v>80036</v>
      </c>
      <c r="C1086" s="2">
        <v>510.9</v>
      </c>
      <c r="D1086" s="1">
        <v>43444</v>
      </c>
      <c r="E1086" t="str">
        <f>"201812035489"</f>
        <v>201812035489</v>
      </c>
      <c r="F1086" t="str">
        <f>"ACCT#20147/ANIMAL SVCS"</f>
        <v>ACCT#20147/ANIMAL SVCS</v>
      </c>
      <c r="G1086" s="3">
        <v>510.9</v>
      </c>
      <c r="H1086" t="str">
        <f>"ACCT#20147/ANIMAL SVCS"</f>
        <v>ACCT#20147/ANIMAL SVCS</v>
      </c>
    </row>
    <row r="1087" spans="1:8" x14ac:dyDescent="0.25">
      <c r="A1087" t="s">
        <v>376</v>
      </c>
      <c r="B1087">
        <v>80037</v>
      </c>
      <c r="C1087" s="2">
        <v>84.75</v>
      </c>
      <c r="D1087" s="1">
        <v>43444</v>
      </c>
      <c r="E1087" t="str">
        <f>"201811275296"</f>
        <v>201811275296</v>
      </c>
      <c r="F1087" t="str">
        <f>"ACCT#4220-2556-9"</f>
        <v>ACCT#4220-2556-9</v>
      </c>
      <c r="G1087" s="3">
        <v>84.75</v>
      </c>
      <c r="H1087" t="str">
        <f>"ACCT#4220-2556-9"</f>
        <v>ACCT#4220-2556-9</v>
      </c>
    </row>
    <row r="1088" spans="1:8" x14ac:dyDescent="0.25">
      <c r="A1088" t="s">
        <v>377</v>
      </c>
      <c r="B1088">
        <v>80038</v>
      </c>
      <c r="C1088" s="2">
        <v>2648.89</v>
      </c>
      <c r="D1088" s="1">
        <v>43444</v>
      </c>
      <c r="E1088" t="str">
        <f>"65280416AC02A"</f>
        <v>65280416AC02A</v>
      </c>
      <c r="F1088" t="str">
        <f>" 3 Adobe Acrobat Standard"</f>
        <v xml:space="preserve"> 3 Adobe Acrobat Standard</v>
      </c>
      <c r="G1088" s="3">
        <v>654.29999999999995</v>
      </c>
      <c r="H1088" t="str">
        <f>"Part#: 65280416AC02A"</f>
        <v>Part#: 65280416AC02A</v>
      </c>
    </row>
    <row r="1089" spans="1:8" x14ac:dyDescent="0.25">
      <c r="E1089" t="str">
        <f>"GB00305551"</f>
        <v>GB00305551</v>
      </c>
      <c r="F1089" t="str">
        <f>"inv# GB00305551"</f>
        <v>inv# GB00305551</v>
      </c>
      <c r="G1089" s="3">
        <v>112.59</v>
      </c>
      <c r="H1089" t="str">
        <f>"payment"</f>
        <v>payment</v>
      </c>
    </row>
    <row r="1090" spans="1:8" x14ac:dyDescent="0.25">
      <c r="E1090" t="str">
        <f>"GB00307093"</f>
        <v>GB00307093</v>
      </c>
      <c r="F1090" t="str">
        <f>"Outdoor Surveillance Came"</f>
        <v>Outdoor Surveillance Came</v>
      </c>
      <c r="G1090" s="3">
        <v>1882</v>
      </c>
      <c r="H1090" t="str">
        <f>"Part#: 01063-001"</f>
        <v>Part#: 01063-001</v>
      </c>
    </row>
    <row r="1091" spans="1:8" x14ac:dyDescent="0.25">
      <c r="A1091" t="s">
        <v>377</v>
      </c>
      <c r="B1091">
        <v>80235</v>
      </c>
      <c r="C1091" s="2">
        <v>754</v>
      </c>
      <c r="D1091" s="1">
        <v>43461</v>
      </c>
      <c r="E1091" t="str">
        <f>"GB00307659"</f>
        <v>GB00307659</v>
      </c>
      <c r="F1091" t="str">
        <f>"10 keyboard &amp; mouse sets"</f>
        <v>10 keyboard &amp; mouse sets</v>
      </c>
      <c r="G1091" s="3">
        <v>165</v>
      </c>
      <c r="H1091" t="str">
        <f>"Part#: 920-007897"</f>
        <v>Part#: 920-007897</v>
      </c>
    </row>
    <row r="1092" spans="1:8" x14ac:dyDescent="0.25">
      <c r="E1092" t="str">
        <f>""</f>
        <v/>
      </c>
      <c r="F1092" t="str">
        <f>""</f>
        <v/>
      </c>
      <c r="H1092" t="str">
        <f>"Part#: 920-002565"</f>
        <v>Part#: 920-002565</v>
      </c>
    </row>
    <row r="1093" spans="1:8" x14ac:dyDescent="0.25">
      <c r="E1093" t="str">
        <f>"GB00307959"</f>
        <v>GB00307959</v>
      </c>
      <c r="F1093" t="str">
        <f>"1 HP LaserJet Printer"</f>
        <v>1 HP LaserJet Printer</v>
      </c>
      <c r="G1093" s="3">
        <v>589</v>
      </c>
      <c r="H1093" t="str">
        <f>"Part#: F2A69A#201"</f>
        <v>Part#: F2A69A#201</v>
      </c>
    </row>
    <row r="1094" spans="1:8" x14ac:dyDescent="0.25">
      <c r="A1094" t="s">
        <v>378</v>
      </c>
      <c r="B1094">
        <v>80039</v>
      </c>
      <c r="C1094" s="2">
        <v>751.32</v>
      </c>
      <c r="D1094" s="1">
        <v>43444</v>
      </c>
      <c r="E1094" t="str">
        <f>"8125942871"</f>
        <v>8125942871</v>
      </c>
      <c r="F1094" t="str">
        <f>"CUST#16158670/JP#4"</f>
        <v>CUST#16158670/JP#4</v>
      </c>
      <c r="G1094" s="3">
        <v>206</v>
      </c>
      <c r="H1094" t="str">
        <f>"CUST#16158670/JP#4"</f>
        <v>CUST#16158670/JP#4</v>
      </c>
    </row>
    <row r="1095" spans="1:8" x14ac:dyDescent="0.25">
      <c r="E1095" t="str">
        <f>"8126153360"</f>
        <v>8126153360</v>
      </c>
      <c r="F1095" t="str">
        <f>"INV 8126153360"</f>
        <v>INV 8126153360</v>
      </c>
      <c r="G1095" s="3">
        <v>244</v>
      </c>
      <c r="H1095" t="str">
        <f>"INV 8126153360 - LE"</f>
        <v>INV 8126153360 - LE</v>
      </c>
    </row>
    <row r="1096" spans="1:8" x14ac:dyDescent="0.25">
      <c r="E1096" t="str">
        <f>""</f>
        <v/>
      </c>
      <c r="F1096" t="str">
        <f>""</f>
        <v/>
      </c>
      <c r="H1096" t="str">
        <f>"INV 8126153360 - JAI"</f>
        <v>INV 8126153360 - JAI</v>
      </c>
    </row>
    <row r="1097" spans="1:8" x14ac:dyDescent="0.25">
      <c r="E1097" t="str">
        <f>"8126153991"</f>
        <v>8126153991</v>
      </c>
      <c r="F1097" t="str">
        <f>"CUST#16155373"</f>
        <v>CUST#16155373</v>
      </c>
      <c r="G1097" s="3">
        <v>103</v>
      </c>
      <c r="H1097" t="str">
        <f t="shared" ref="H1097:H1102" si="11">"CUST#16155373"</f>
        <v>CUST#16155373</v>
      </c>
    </row>
    <row r="1098" spans="1:8" x14ac:dyDescent="0.25">
      <c r="E1098" t="str">
        <f>""</f>
        <v/>
      </c>
      <c r="F1098" t="str">
        <f>""</f>
        <v/>
      </c>
      <c r="H1098" t="str">
        <f t="shared" si="11"/>
        <v>CUST#16155373</v>
      </c>
    </row>
    <row r="1099" spans="1:8" x14ac:dyDescent="0.25">
      <c r="E1099" t="str">
        <f>""</f>
        <v/>
      </c>
      <c r="F1099" t="str">
        <f>""</f>
        <v/>
      </c>
      <c r="H1099" t="str">
        <f t="shared" si="11"/>
        <v>CUST#16155373</v>
      </c>
    </row>
    <row r="1100" spans="1:8" x14ac:dyDescent="0.25">
      <c r="E1100" t="str">
        <f>""</f>
        <v/>
      </c>
      <c r="F1100" t="str">
        <f>""</f>
        <v/>
      </c>
      <c r="H1100" t="str">
        <f t="shared" si="11"/>
        <v>CUST#16155373</v>
      </c>
    </row>
    <row r="1101" spans="1:8" x14ac:dyDescent="0.25">
      <c r="E1101" t="str">
        <f>""</f>
        <v/>
      </c>
      <c r="F1101" t="str">
        <f>""</f>
        <v/>
      </c>
      <c r="H1101" t="str">
        <f t="shared" si="11"/>
        <v>CUST#16155373</v>
      </c>
    </row>
    <row r="1102" spans="1:8" x14ac:dyDescent="0.25">
      <c r="E1102" t="str">
        <f>""</f>
        <v/>
      </c>
      <c r="F1102" t="str">
        <f>""</f>
        <v/>
      </c>
      <c r="H1102" t="str">
        <f t="shared" si="11"/>
        <v>CUST#16155373</v>
      </c>
    </row>
    <row r="1103" spans="1:8" x14ac:dyDescent="0.25">
      <c r="E1103" t="str">
        <f>"8126154033"</f>
        <v>8126154033</v>
      </c>
      <c r="F1103" t="str">
        <f>"CUST#16156071/TAX OFFICE"</f>
        <v>CUST#16156071/TAX OFFICE</v>
      </c>
      <c r="G1103" s="3">
        <v>128</v>
      </c>
      <c r="H1103" t="str">
        <f>"CUST#16156071/TAX OFFICE"</f>
        <v>CUST#16156071/TAX OFFICE</v>
      </c>
    </row>
    <row r="1104" spans="1:8" x14ac:dyDescent="0.25">
      <c r="E1104" t="str">
        <f>"8126154115"</f>
        <v>8126154115</v>
      </c>
      <c r="F1104" t="str">
        <f>"CUST#16158624/JP#4"</f>
        <v>CUST#16158624/JP#4</v>
      </c>
      <c r="G1104" s="3">
        <v>70.319999999999993</v>
      </c>
      <c r="H1104" t="str">
        <f>"CUST#16158624/JP#4"</f>
        <v>CUST#16158624/JP#4</v>
      </c>
    </row>
    <row r="1105" spans="1:8" x14ac:dyDescent="0.25">
      <c r="A1105" t="s">
        <v>378</v>
      </c>
      <c r="B1105">
        <v>80236</v>
      </c>
      <c r="C1105" s="2">
        <v>51.5</v>
      </c>
      <c r="D1105" s="1">
        <v>43461</v>
      </c>
      <c r="E1105" t="str">
        <f>"8126154118"</f>
        <v>8126154118</v>
      </c>
      <c r="F1105" t="str">
        <f>"CUST #16158670 / JP4"</f>
        <v>CUST #16158670 / JP4</v>
      </c>
      <c r="G1105" s="3">
        <v>51.5</v>
      </c>
      <c r="H1105" t="str">
        <f>"CUST #16158670 / JP4"</f>
        <v>CUST #16158670 / JP4</v>
      </c>
    </row>
    <row r="1106" spans="1:8" x14ac:dyDescent="0.25">
      <c r="A1106" t="s">
        <v>379</v>
      </c>
      <c r="B1106">
        <v>80237</v>
      </c>
      <c r="C1106" s="2">
        <v>292.79000000000002</v>
      </c>
      <c r="D1106" s="1">
        <v>43461</v>
      </c>
      <c r="E1106" t="str">
        <f>"201812125763"</f>
        <v>201812125763</v>
      </c>
      <c r="F1106" t="str">
        <f>"STATEMENT#29065/PCT#2"</f>
        <v>STATEMENT#29065/PCT#2</v>
      </c>
      <c r="G1106" s="3">
        <v>292.79000000000002</v>
      </c>
      <c r="H1106" t="str">
        <f>"STATEMENT#29065/PCT#2"</f>
        <v>STATEMENT#29065/PCT#2</v>
      </c>
    </row>
    <row r="1107" spans="1:8" x14ac:dyDescent="0.25">
      <c r="A1107" t="s">
        <v>380</v>
      </c>
      <c r="B1107">
        <v>80238</v>
      </c>
      <c r="C1107" s="2">
        <v>905.45</v>
      </c>
      <c r="D1107" s="1">
        <v>43461</v>
      </c>
      <c r="E1107" t="str">
        <f>"201812125764"</f>
        <v>201812125764</v>
      </c>
      <c r="F1107" t="str">
        <f>"ACCT#260/PCT#2"</f>
        <v>ACCT#260/PCT#2</v>
      </c>
      <c r="G1107" s="3">
        <v>905.45</v>
      </c>
      <c r="H1107" t="str">
        <f>"ACCT#260/PCT#2"</f>
        <v>ACCT#260/PCT#2</v>
      </c>
    </row>
    <row r="1108" spans="1:8" x14ac:dyDescent="0.25">
      <c r="A1108" t="s">
        <v>381</v>
      </c>
      <c r="B1108">
        <v>80040</v>
      </c>
      <c r="C1108" s="2">
        <v>50</v>
      </c>
      <c r="D1108" s="1">
        <v>43444</v>
      </c>
      <c r="E1108" t="str">
        <f>"6366"</f>
        <v>6366</v>
      </c>
      <c r="F1108" t="str">
        <f>"MEMBERSHIP RENEWAL-ADENA LEWIS"</f>
        <v>MEMBERSHIP RENEWAL-ADENA LEWIS</v>
      </c>
      <c r="G1108" s="3">
        <v>50</v>
      </c>
      <c r="H1108" t="str">
        <f>"MEMBERSHIP RENEWAL-ADENA LEWIS"</f>
        <v>MEMBERSHIP RENEWAL-ADENA LEWIS</v>
      </c>
    </row>
    <row r="1109" spans="1:8" x14ac:dyDescent="0.25">
      <c r="A1109" t="s">
        <v>382</v>
      </c>
      <c r="B1109">
        <v>80041</v>
      </c>
      <c r="C1109" s="2">
        <v>4946.42</v>
      </c>
      <c r="D1109" s="1">
        <v>43444</v>
      </c>
      <c r="E1109" t="str">
        <f>"63266136"</f>
        <v>63266136</v>
      </c>
      <c r="F1109" t="str">
        <f>"CUST#52157/PCT#3"</f>
        <v>CUST#52157/PCT#3</v>
      </c>
      <c r="G1109" s="3">
        <v>3128.82</v>
      </c>
      <c r="H1109" t="str">
        <f>"CUST#52157/PCT#3"</f>
        <v>CUST#52157/PCT#3</v>
      </c>
    </row>
    <row r="1110" spans="1:8" x14ac:dyDescent="0.25">
      <c r="E1110" t="str">
        <f>"63267090"</f>
        <v>63267090</v>
      </c>
      <c r="F1110" t="str">
        <f>"CUST#52157/PCT#3"</f>
        <v>CUST#52157/PCT#3</v>
      </c>
      <c r="G1110" s="3">
        <v>1817.6</v>
      </c>
      <c r="H1110" t="str">
        <f>"CUST#52157/PCT#3"</f>
        <v>CUST#52157/PCT#3</v>
      </c>
    </row>
    <row r="1111" spans="1:8" x14ac:dyDescent="0.25">
      <c r="A1111" t="s">
        <v>383</v>
      </c>
      <c r="B1111">
        <v>80042</v>
      </c>
      <c r="C1111" s="2">
        <v>1738</v>
      </c>
      <c r="D1111" s="1">
        <v>43444</v>
      </c>
      <c r="E1111" t="str">
        <f>"87342-1"</f>
        <v>87342-1</v>
      </c>
      <c r="F1111" t="str">
        <f>"INV 87342-1"</f>
        <v>INV 87342-1</v>
      </c>
      <c r="G1111" s="3">
        <v>1738</v>
      </c>
      <c r="H1111" t="str">
        <f>"INV 87342-1"</f>
        <v>INV 87342-1</v>
      </c>
    </row>
    <row r="1112" spans="1:8" x14ac:dyDescent="0.25">
      <c r="A1112" t="s">
        <v>384</v>
      </c>
      <c r="B1112">
        <v>80043</v>
      </c>
      <c r="C1112" s="2">
        <v>15.64</v>
      </c>
      <c r="D1112" s="1">
        <v>43444</v>
      </c>
      <c r="E1112" t="str">
        <f>"9604456 110818"</f>
        <v>9604456 110818</v>
      </c>
      <c r="F1112" t="str">
        <f>"CUST ACCT#46668439604456/JP#2"</f>
        <v>CUST ACCT#46668439604456/JP#2</v>
      </c>
      <c r="G1112" s="3">
        <v>15.64</v>
      </c>
      <c r="H1112" t="str">
        <f>"CUST ACCT#46668439604456/JP#2"</f>
        <v>CUST ACCT#46668439604456/JP#2</v>
      </c>
    </row>
    <row r="1113" spans="1:8" x14ac:dyDescent="0.25">
      <c r="A1113" t="s">
        <v>385</v>
      </c>
      <c r="B1113">
        <v>80044</v>
      </c>
      <c r="C1113" s="2">
        <v>82.93</v>
      </c>
      <c r="D1113" s="1">
        <v>43444</v>
      </c>
      <c r="E1113" t="str">
        <f>"925793"</f>
        <v>925793</v>
      </c>
      <c r="F1113" t="str">
        <f>"ACCT#114382/ANIMAL SHELTER"</f>
        <v>ACCT#114382/ANIMAL SHELTER</v>
      </c>
      <c r="G1113" s="3">
        <v>82.93</v>
      </c>
      <c r="H1113" t="str">
        <f>"ACCT#114382/ANIMAL SHELTER"</f>
        <v>ACCT#114382/ANIMAL SHELTER</v>
      </c>
    </row>
    <row r="1114" spans="1:8" x14ac:dyDescent="0.25">
      <c r="A1114" t="s">
        <v>386</v>
      </c>
      <c r="B1114">
        <v>80239</v>
      </c>
      <c r="C1114" s="2">
        <v>7314.54</v>
      </c>
      <c r="D1114" s="1">
        <v>43461</v>
      </c>
      <c r="E1114" t="str">
        <f>"201812195975"</f>
        <v>201812195975</v>
      </c>
      <c r="F1114" t="str">
        <f>"INDIGENT HEALTH"</f>
        <v>INDIGENT HEALTH</v>
      </c>
      <c r="G1114" s="3">
        <v>4645.68</v>
      </c>
      <c r="H1114" t="str">
        <f>"INDIGENT HEALTH"</f>
        <v>INDIGENT HEALTH</v>
      </c>
    </row>
    <row r="1115" spans="1:8" x14ac:dyDescent="0.25">
      <c r="E1115" t="str">
        <f>"201812195976"</f>
        <v>201812195976</v>
      </c>
      <c r="F1115" t="str">
        <f>"INDIGENT HEALTH"</f>
        <v>INDIGENT HEALTH</v>
      </c>
      <c r="G1115" s="3">
        <v>2668.86</v>
      </c>
      <c r="H1115" t="str">
        <f>"INDIGENT HEALTH"</f>
        <v>INDIGENT HEALTH</v>
      </c>
    </row>
    <row r="1116" spans="1:8" x14ac:dyDescent="0.25">
      <c r="A1116" t="s">
        <v>387</v>
      </c>
      <c r="B1116">
        <v>80240</v>
      </c>
      <c r="C1116" s="2">
        <v>63.57</v>
      </c>
      <c r="D1116" s="1">
        <v>43461</v>
      </c>
      <c r="E1116" t="str">
        <f>"201812195974"</f>
        <v>201812195974</v>
      </c>
      <c r="F1116" t="str">
        <f>"INDIGENT HEALTH"</f>
        <v>INDIGENT HEALTH</v>
      </c>
      <c r="G1116" s="3">
        <v>63.57</v>
      </c>
      <c r="H1116" t="str">
        <f>"INDIGENT HEALTH"</f>
        <v>INDIGENT HEALTH</v>
      </c>
    </row>
    <row r="1117" spans="1:8" x14ac:dyDescent="0.25">
      <c r="A1117" t="s">
        <v>388</v>
      </c>
      <c r="B1117">
        <v>80045</v>
      </c>
      <c r="C1117" s="2">
        <v>1197.1300000000001</v>
      </c>
      <c r="D1117" s="1">
        <v>43444</v>
      </c>
      <c r="E1117" t="str">
        <f>"8052175454"</f>
        <v>8052175454</v>
      </c>
      <c r="F1117" t="str">
        <f>"Sum Inv# 8052175454"</f>
        <v>Sum Inv# 8052175454</v>
      </c>
      <c r="G1117" s="3">
        <v>1197.1300000000001</v>
      </c>
      <c r="H1117" t="str">
        <f>"Inv# 3396433887"</f>
        <v>Inv# 3396433887</v>
      </c>
    </row>
    <row r="1118" spans="1:8" x14ac:dyDescent="0.25">
      <c r="E1118" t="str">
        <f>""</f>
        <v/>
      </c>
      <c r="F1118" t="str">
        <f>""</f>
        <v/>
      </c>
      <c r="H1118" t="str">
        <f>"Inv# 3396433892"</f>
        <v>Inv# 3396433892</v>
      </c>
    </row>
    <row r="1119" spans="1:8" x14ac:dyDescent="0.25">
      <c r="E1119" t="str">
        <f>""</f>
        <v/>
      </c>
      <c r="F1119" t="str">
        <f>""</f>
        <v/>
      </c>
      <c r="H1119" t="str">
        <f>"Inv# 3396433893"</f>
        <v>Inv# 3396433893</v>
      </c>
    </row>
    <row r="1120" spans="1:8" x14ac:dyDescent="0.25">
      <c r="E1120" t="str">
        <f>""</f>
        <v/>
      </c>
      <c r="F1120" t="str">
        <f>""</f>
        <v/>
      </c>
      <c r="H1120" t="str">
        <f>"Inv# 3396433891"</f>
        <v>Inv# 3396433891</v>
      </c>
    </row>
    <row r="1121" spans="1:8" x14ac:dyDescent="0.25">
      <c r="E1121" t="str">
        <f>""</f>
        <v/>
      </c>
      <c r="F1121" t="str">
        <f>""</f>
        <v/>
      </c>
      <c r="H1121" t="str">
        <f>"Inv# 3396433885"</f>
        <v>Inv# 3396433885</v>
      </c>
    </row>
    <row r="1122" spans="1:8" x14ac:dyDescent="0.25">
      <c r="E1122" t="str">
        <f>""</f>
        <v/>
      </c>
      <c r="F1122" t="str">
        <f>""</f>
        <v/>
      </c>
      <c r="H1122" t="str">
        <f>"Inv# 3396433886"</f>
        <v>Inv# 3396433886</v>
      </c>
    </row>
    <row r="1123" spans="1:8" x14ac:dyDescent="0.25">
      <c r="E1123" t="str">
        <f>""</f>
        <v/>
      </c>
      <c r="F1123" t="str">
        <f>""</f>
        <v/>
      </c>
      <c r="H1123" t="str">
        <f>"Inv# 3396433888"</f>
        <v>Inv# 3396433888</v>
      </c>
    </row>
    <row r="1124" spans="1:8" x14ac:dyDescent="0.25">
      <c r="E1124" t="str">
        <f>""</f>
        <v/>
      </c>
      <c r="F1124" t="str">
        <f>""</f>
        <v/>
      </c>
      <c r="H1124" t="str">
        <f>"Inv# 3396433889"</f>
        <v>Inv# 3396433889</v>
      </c>
    </row>
    <row r="1125" spans="1:8" x14ac:dyDescent="0.25">
      <c r="E1125" t="str">
        <f>""</f>
        <v/>
      </c>
      <c r="F1125" t="str">
        <f>""</f>
        <v/>
      </c>
      <c r="H1125" t="str">
        <f>"Inv# 3396433890"</f>
        <v>Inv# 3396433890</v>
      </c>
    </row>
    <row r="1126" spans="1:8" x14ac:dyDescent="0.25">
      <c r="E1126" t="str">
        <f>""</f>
        <v/>
      </c>
      <c r="F1126" t="str">
        <f>""</f>
        <v/>
      </c>
      <c r="H1126" t="str">
        <f>"Inv# 3396533884"</f>
        <v>Inv# 3396533884</v>
      </c>
    </row>
    <row r="1127" spans="1:8" x14ac:dyDescent="0.25">
      <c r="A1127" t="s">
        <v>388</v>
      </c>
      <c r="B1127">
        <v>80241</v>
      </c>
      <c r="C1127" s="2">
        <v>2853.96</v>
      </c>
      <c r="D1127" s="1">
        <v>43461</v>
      </c>
      <c r="E1127" t="str">
        <f>"8052377863"</f>
        <v>8052377863</v>
      </c>
      <c r="F1127" t="str">
        <f>"Sum inv# 8052377863"</f>
        <v>Sum inv# 8052377863</v>
      </c>
      <c r="G1127" s="3">
        <v>2853.96</v>
      </c>
      <c r="H1127" t="str">
        <f>"Inv# 3398157825"</f>
        <v>Inv# 3398157825</v>
      </c>
    </row>
    <row r="1128" spans="1:8" x14ac:dyDescent="0.25">
      <c r="E1128" t="str">
        <f>""</f>
        <v/>
      </c>
      <c r="F1128" t="str">
        <f>""</f>
        <v/>
      </c>
      <c r="H1128" t="str">
        <f>"Inv# 3398157827"</f>
        <v>Inv# 3398157827</v>
      </c>
    </row>
    <row r="1129" spans="1:8" x14ac:dyDescent="0.25">
      <c r="E1129" t="str">
        <f>""</f>
        <v/>
      </c>
      <c r="F1129" t="str">
        <f>""</f>
        <v/>
      </c>
      <c r="H1129" t="str">
        <f>"Inv# 3398157842"</f>
        <v>Inv# 3398157842</v>
      </c>
    </row>
    <row r="1130" spans="1:8" x14ac:dyDescent="0.25">
      <c r="E1130" t="str">
        <f>""</f>
        <v/>
      </c>
      <c r="F1130" t="str">
        <f>""</f>
        <v/>
      </c>
      <c r="H1130" t="str">
        <f>"Inv# 3398157845"</f>
        <v>Inv# 3398157845</v>
      </c>
    </row>
    <row r="1131" spans="1:8" x14ac:dyDescent="0.25">
      <c r="E1131" t="str">
        <f>""</f>
        <v/>
      </c>
      <c r="F1131" t="str">
        <f>""</f>
        <v/>
      </c>
      <c r="H1131" t="str">
        <f>"Inv# 3398157849"</f>
        <v>Inv# 3398157849</v>
      </c>
    </row>
    <row r="1132" spans="1:8" x14ac:dyDescent="0.25">
      <c r="E1132" t="str">
        <f>""</f>
        <v/>
      </c>
      <c r="F1132" t="str">
        <f>""</f>
        <v/>
      </c>
      <c r="H1132" t="str">
        <f>"Inv# 3398157820"</f>
        <v>Inv# 3398157820</v>
      </c>
    </row>
    <row r="1133" spans="1:8" x14ac:dyDescent="0.25">
      <c r="E1133" t="str">
        <f>""</f>
        <v/>
      </c>
      <c r="F1133" t="str">
        <f>""</f>
        <v/>
      </c>
      <c r="H1133" t="str">
        <f>"Order# 7208837666"</f>
        <v>Order# 7208837666</v>
      </c>
    </row>
    <row r="1134" spans="1:8" x14ac:dyDescent="0.25">
      <c r="E1134" t="str">
        <f>""</f>
        <v/>
      </c>
      <c r="F1134" t="str">
        <f>""</f>
        <v/>
      </c>
      <c r="H1134" t="str">
        <f>"Order# 7208837666"</f>
        <v>Order# 7208837666</v>
      </c>
    </row>
    <row r="1135" spans="1:8" x14ac:dyDescent="0.25">
      <c r="E1135" t="str">
        <f>""</f>
        <v/>
      </c>
      <c r="F1135" t="str">
        <f>""</f>
        <v/>
      </c>
      <c r="H1135" t="str">
        <f>"Inv# 3398157855"</f>
        <v>Inv# 3398157855</v>
      </c>
    </row>
    <row r="1136" spans="1:8" x14ac:dyDescent="0.25">
      <c r="E1136" t="str">
        <f>""</f>
        <v/>
      </c>
      <c r="F1136" t="str">
        <f>""</f>
        <v/>
      </c>
      <c r="H1136" t="str">
        <f>"Inv# 3398157851"</f>
        <v>Inv# 3398157851</v>
      </c>
    </row>
    <row r="1137" spans="1:8" x14ac:dyDescent="0.25">
      <c r="E1137" t="str">
        <f>""</f>
        <v/>
      </c>
      <c r="F1137" t="str">
        <f>""</f>
        <v/>
      </c>
      <c r="H1137" t="str">
        <f>"Inv# 3398157853"</f>
        <v>Inv# 3398157853</v>
      </c>
    </row>
    <row r="1138" spans="1:8" x14ac:dyDescent="0.25">
      <c r="E1138" t="str">
        <f>""</f>
        <v/>
      </c>
      <c r="F1138" t="str">
        <f>""</f>
        <v/>
      </c>
      <c r="H1138" t="str">
        <f>"Inv# 3398157849"</f>
        <v>Inv# 3398157849</v>
      </c>
    </row>
    <row r="1139" spans="1:8" x14ac:dyDescent="0.25">
      <c r="E1139" t="str">
        <f>""</f>
        <v/>
      </c>
      <c r="F1139" t="str">
        <f>""</f>
        <v/>
      </c>
      <c r="H1139" t="str">
        <f>"Inv# 3398157847"</f>
        <v>Inv# 3398157847</v>
      </c>
    </row>
    <row r="1140" spans="1:8" x14ac:dyDescent="0.25">
      <c r="E1140" t="str">
        <f>""</f>
        <v/>
      </c>
      <c r="F1140" t="str">
        <f>""</f>
        <v/>
      </c>
      <c r="H1140" t="str">
        <f>"Inv# 3398157814"</f>
        <v>Inv# 3398157814</v>
      </c>
    </row>
    <row r="1141" spans="1:8" x14ac:dyDescent="0.25">
      <c r="E1141" t="str">
        <f>""</f>
        <v/>
      </c>
      <c r="F1141" t="str">
        <f>""</f>
        <v/>
      </c>
      <c r="H1141" t="str">
        <f>"Inv# 3398157817"</f>
        <v>Inv# 3398157817</v>
      </c>
    </row>
    <row r="1142" spans="1:8" x14ac:dyDescent="0.25">
      <c r="E1142" t="str">
        <f>""</f>
        <v/>
      </c>
      <c r="F1142" t="str">
        <f>""</f>
        <v/>
      </c>
      <c r="H1142" t="str">
        <f>"Inv# 3398157832"</f>
        <v>Inv# 3398157832</v>
      </c>
    </row>
    <row r="1143" spans="1:8" x14ac:dyDescent="0.25">
      <c r="A1143" t="s">
        <v>389</v>
      </c>
      <c r="B1143">
        <v>80242</v>
      </c>
      <c r="C1143" s="2">
        <v>540</v>
      </c>
      <c r="D1143" s="1">
        <v>43461</v>
      </c>
      <c r="E1143" t="str">
        <f>"201812185861"</f>
        <v>201812185861</v>
      </c>
      <c r="F1143" t="str">
        <f>"NOVEMBER  2018"</f>
        <v>NOVEMBER  2018</v>
      </c>
      <c r="G1143" s="3">
        <v>540</v>
      </c>
      <c r="H1143" t="str">
        <f>"NOVEMBER  2018"</f>
        <v>NOVEMBER  2018</v>
      </c>
    </row>
    <row r="1144" spans="1:8" x14ac:dyDescent="0.25">
      <c r="A1144" t="s">
        <v>390</v>
      </c>
      <c r="B1144">
        <v>80046</v>
      </c>
      <c r="C1144" s="2">
        <v>155</v>
      </c>
      <c r="D1144" s="1">
        <v>43444</v>
      </c>
      <c r="E1144" t="str">
        <f>"201811305449"</f>
        <v>201811305449</v>
      </c>
      <c r="F1144" t="str">
        <f t="shared" ref="F1144:F1149" si="12">"FERAL HOGS"</f>
        <v>FERAL HOGS</v>
      </c>
      <c r="G1144" s="3">
        <v>155</v>
      </c>
      <c r="H1144" t="str">
        <f t="shared" ref="H1144:H1149" si="13">"FERAL HOGS"</f>
        <v>FERAL HOGS</v>
      </c>
    </row>
    <row r="1145" spans="1:8" x14ac:dyDescent="0.25">
      <c r="A1145" t="s">
        <v>390</v>
      </c>
      <c r="B1145">
        <v>80243</v>
      </c>
      <c r="C1145" s="2">
        <v>380</v>
      </c>
      <c r="D1145" s="1">
        <v>43461</v>
      </c>
      <c r="E1145" t="str">
        <f>"201812125744"</f>
        <v>201812125744</v>
      </c>
      <c r="F1145" t="str">
        <f t="shared" si="12"/>
        <v>FERAL HOGS</v>
      </c>
      <c r="G1145" s="3">
        <v>85</v>
      </c>
      <c r="H1145" t="str">
        <f t="shared" si="13"/>
        <v>FERAL HOGS</v>
      </c>
    </row>
    <row r="1146" spans="1:8" x14ac:dyDescent="0.25">
      <c r="E1146" t="str">
        <f>"201812125745"</f>
        <v>201812125745</v>
      </c>
      <c r="F1146" t="str">
        <f t="shared" si="12"/>
        <v>FERAL HOGS</v>
      </c>
      <c r="G1146" s="3">
        <v>30</v>
      </c>
      <c r="H1146" t="str">
        <f t="shared" si="13"/>
        <v>FERAL HOGS</v>
      </c>
    </row>
    <row r="1147" spans="1:8" x14ac:dyDescent="0.25">
      <c r="E1147" t="str">
        <f>"201812125746"</f>
        <v>201812125746</v>
      </c>
      <c r="F1147" t="str">
        <f t="shared" si="12"/>
        <v>FERAL HOGS</v>
      </c>
      <c r="G1147" s="3">
        <v>100</v>
      </c>
      <c r="H1147" t="str">
        <f t="shared" si="13"/>
        <v>FERAL HOGS</v>
      </c>
    </row>
    <row r="1148" spans="1:8" x14ac:dyDescent="0.25">
      <c r="E1148" t="str">
        <f>"201812125747"</f>
        <v>201812125747</v>
      </c>
      <c r="F1148" t="str">
        <f t="shared" si="12"/>
        <v>FERAL HOGS</v>
      </c>
      <c r="G1148" s="3">
        <v>115</v>
      </c>
      <c r="H1148" t="str">
        <f t="shared" si="13"/>
        <v>FERAL HOGS</v>
      </c>
    </row>
    <row r="1149" spans="1:8" x14ac:dyDescent="0.25">
      <c r="E1149" t="str">
        <f>"201812125748"</f>
        <v>201812125748</v>
      </c>
      <c r="F1149" t="str">
        <f t="shared" si="12"/>
        <v>FERAL HOGS</v>
      </c>
      <c r="G1149" s="3">
        <v>50</v>
      </c>
      <c r="H1149" t="str">
        <f t="shared" si="13"/>
        <v>FERAL HOGS</v>
      </c>
    </row>
    <row r="1150" spans="1:8" x14ac:dyDescent="0.25">
      <c r="A1150" t="s">
        <v>391</v>
      </c>
      <c r="B1150">
        <v>80047</v>
      </c>
      <c r="C1150" s="2">
        <v>758.72</v>
      </c>
      <c r="D1150" s="1">
        <v>43444</v>
      </c>
      <c r="E1150" t="str">
        <f>"4008233927"</f>
        <v>4008233927</v>
      </c>
      <c r="F1150" t="str">
        <f>"INV 4008233927"</f>
        <v>INV 4008233927</v>
      </c>
      <c r="G1150" s="3">
        <v>758.72</v>
      </c>
      <c r="H1150" t="str">
        <f>"INV 4008233927"</f>
        <v>INV 4008233927</v>
      </c>
    </row>
    <row r="1151" spans="1:8" x14ac:dyDescent="0.25">
      <c r="A1151" t="s">
        <v>391</v>
      </c>
      <c r="B1151">
        <v>80244</v>
      </c>
      <c r="C1151" s="2">
        <v>5206.13</v>
      </c>
      <c r="D1151" s="1">
        <v>43461</v>
      </c>
      <c r="E1151" t="str">
        <f>"62802302176"</f>
        <v>62802302176</v>
      </c>
      <c r="F1151" t="str">
        <f>"CUST#94027/ORD#3358747"</f>
        <v>CUST#94027/ORD#3358747</v>
      </c>
      <c r="G1151" s="3">
        <v>5206.13</v>
      </c>
      <c r="H1151" t="str">
        <f>"CUST#94027/ORD#3358747"</f>
        <v>CUST#94027/ORD#3358747</v>
      </c>
    </row>
    <row r="1152" spans="1:8" x14ac:dyDescent="0.25">
      <c r="A1152" t="s">
        <v>392</v>
      </c>
      <c r="B1152">
        <v>80048</v>
      </c>
      <c r="C1152" s="2">
        <v>442</v>
      </c>
      <c r="D1152" s="1">
        <v>43444</v>
      </c>
      <c r="E1152" t="str">
        <f>"201812045526"</f>
        <v>201812045526</v>
      </c>
      <c r="F1152" t="str">
        <f>"TRASH REMOVAL 11/26-11/30/PCT4"</f>
        <v>TRASH REMOVAL 11/26-11/30/PCT4</v>
      </c>
      <c r="G1152" s="3">
        <v>227.5</v>
      </c>
      <c r="H1152" t="str">
        <f>"TRASH REMOVAL 11/26-11/30/PCT4"</f>
        <v>TRASH REMOVAL 11/26-11/30/PCT4</v>
      </c>
    </row>
    <row r="1153" spans="1:8" x14ac:dyDescent="0.25">
      <c r="E1153" t="str">
        <f>"201812045527"</f>
        <v>201812045527</v>
      </c>
      <c r="F1153" t="str">
        <f>"TRASH REMOVAL 12/3-12/7/PCT#4"</f>
        <v>TRASH REMOVAL 12/3-12/7/PCT#4</v>
      </c>
      <c r="G1153" s="3">
        <v>214.5</v>
      </c>
      <c r="H1153" t="str">
        <f>"TRASH REMOVAL 12/3-12/7/PCT#4"</f>
        <v>TRASH REMOVAL 12/3-12/7/PCT#4</v>
      </c>
    </row>
    <row r="1154" spans="1:8" x14ac:dyDescent="0.25">
      <c r="A1154" t="s">
        <v>392</v>
      </c>
      <c r="B1154">
        <v>80245</v>
      </c>
      <c r="C1154" s="2">
        <v>435.5</v>
      </c>
      <c r="D1154" s="1">
        <v>43461</v>
      </c>
      <c r="E1154" t="str">
        <f>"201812185856"</f>
        <v>201812185856</v>
      </c>
      <c r="F1154" t="str">
        <f>"TRASH REMOVAL 12/10-12/21/PCT4"</f>
        <v>TRASH REMOVAL 12/10-12/21/PCT4</v>
      </c>
      <c r="G1154" s="3">
        <v>435.5</v>
      </c>
      <c r="H1154" t="str">
        <f>"TRASH REMOVAL 12/10-12/21/PCT4"</f>
        <v>TRASH REMOVAL 12/10-12/21/PCT4</v>
      </c>
    </row>
    <row r="1155" spans="1:8" x14ac:dyDescent="0.25">
      <c r="A1155" t="s">
        <v>393</v>
      </c>
      <c r="B1155">
        <v>80246</v>
      </c>
      <c r="C1155" s="2">
        <v>61</v>
      </c>
      <c r="D1155" s="1">
        <v>43461</v>
      </c>
      <c r="E1155" t="str">
        <f>"201812125766"</f>
        <v>201812125766</v>
      </c>
      <c r="F1155" t="str">
        <f>"REIMBURSE DL RENEWAL/P3"</f>
        <v>REIMBURSE DL RENEWAL/P3</v>
      </c>
      <c r="G1155" s="3">
        <v>61</v>
      </c>
      <c r="H1155" t="str">
        <f>"REIMBURSE DL RENEWAL/P3"</f>
        <v>REIMBURSE DL RENEWAL/P3</v>
      </c>
    </row>
    <row r="1156" spans="1:8" x14ac:dyDescent="0.25">
      <c r="A1156" t="s">
        <v>394</v>
      </c>
      <c r="B1156">
        <v>176</v>
      </c>
      <c r="C1156" s="2">
        <v>16900</v>
      </c>
      <c r="D1156" s="1">
        <v>43445</v>
      </c>
      <c r="E1156" t="str">
        <f>"246"</f>
        <v>246</v>
      </c>
      <c r="F1156" t="str">
        <f>"SHREDDING/MOWING/PCT#2"</f>
        <v>SHREDDING/MOWING/PCT#2</v>
      </c>
      <c r="G1156" s="3">
        <v>8840</v>
      </c>
      <c r="H1156" t="str">
        <f>"SHREDDING/MOWING/PCT#2"</f>
        <v>SHREDDING/MOWING/PCT#2</v>
      </c>
    </row>
    <row r="1157" spans="1:8" x14ac:dyDescent="0.25">
      <c r="E1157" t="str">
        <f>"252"</f>
        <v>252</v>
      </c>
      <c r="F1157" t="str">
        <f>"SHREDDING/MOWING/TRASH/P2"</f>
        <v>SHREDDING/MOWING/TRASH/P2</v>
      </c>
      <c r="G1157" s="3">
        <v>7020</v>
      </c>
      <c r="H1157" t="str">
        <f>"SHREDDING/MOWING/TRASH/P2"</f>
        <v>SHREDDING/MOWING/TRASH/P2</v>
      </c>
    </row>
    <row r="1158" spans="1:8" x14ac:dyDescent="0.25">
      <c r="E1158" t="str">
        <f>"255"</f>
        <v>255</v>
      </c>
      <c r="F1158" t="str">
        <f>"MOWING/SHREDDING/TRASH/P1"</f>
        <v>MOWING/SHREDDING/TRASH/P1</v>
      </c>
      <c r="G1158" s="3">
        <v>1040</v>
      </c>
      <c r="H1158" t="str">
        <f>"MOWING/SHREDDING/TRASH/P1"</f>
        <v>MOWING/SHREDDING/TRASH/P1</v>
      </c>
    </row>
    <row r="1159" spans="1:8" x14ac:dyDescent="0.25">
      <c r="A1159" t="s">
        <v>395</v>
      </c>
      <c r="B1159">
        <v>182</v>
      </c>
      <c r="C1159" s="2">
        <v>4791.12</v>
      </c>
      <c r="D1159" s="1">
        <v>43445</v>
      </c>
      <c r="E1159" t="str">
        <f>"95064054"</f>
        <v>95064054</v>
      </c>
      <c r="F1159" t="str">
        <f>"ACCT#10187718/PCT#2"</f>
        <v>ACCT#10187718/PCT#2</v>
      </c>
      <c r="G1159" s="3">
        <v>4791.12</v>
      </c>
      <c r="H1159" t="str">
        <f>"ACCT#10187718/PCT#2"</f>
        <v>ACCT#10187718/PCT#2</v>
      </c>
    </row>
    <row r="1160" spans="1:8" x14ac:dyDescent="0.25">
      <c r="A1160" t="s">
        <v>395</v>
      </c>
      <c r="B1160">
        <v>242</v>
      </c>
      <c r="C1160" s="2">
        <v>7502.51</v>
      </c>
      <c r="D1160" s="1">
        <v>43462</v>
      </c>
      <c r="E1160" t="str">
        <f>"95076623"</f>
        <v>95076623</v>
      </c>
      <c r="F1160" t="str">
        <f>"ACCT#10187718/PCT#2"</f>
        <v>ACCT#10187718/PCT#2</v>
      </c>
      <c r="G1160" s="3">
        <v>3194.02</v>
      </c>
      <c r="H1160" t="str">
        <f>"ACCT#10187718/PCT#2"</f>
        <v>ACCT#10187718/PCT#2</v>
      </c>
    </row>
    <row r="1161" spans="1:8" x14ac:dyDescent="0.25">
      <c r="E1161" t="str">
        <f>"95091284"</f>
        <v>95091284</v>
      </c>
      <c r="F1161" t="str">
        <f>"ACCT#10187718/FUEL/PCT#2"</f>
        <v>ACCT#10187718/FUEL/PCT#2</v>
      </c>
      <c r="G1161" s="3">
        <v>4308.49</v>
      </c>
      <c r="H1161" t="str">
        <f>"ACCT#10187718/FUEL/PCT#2"</f>
        <v>ACCT#10187718/FUEL/PCT#2</v>
      </c>
    </row>
    <row r="1162" spans="1:8" x14ac:dyDescent="0.25">
      <c r="A1162" t="s">
        <v>396</v>
      </c>
      <c r="B1162">
        <v>80049</v>
      </c>
      <c r="C1162" s="2">
        <v>335</v>
      </c>
      <c r="D1162" s="1">
        <v>43444</v>
      </c>
      <c r="E1162" t="str">
        <f>"201811305462"</f>
        <v>201811305462</v>
      </c>
      <c r="F1162" t="str">
        <f>"FERAL HOGS"</f>
        <v>FERAL HOGS</v>
      </c>
      <c r="G1162" s="3">
        <v>335</v>
      </c>
      <c r="H1162" t="str">
        <f>"FERAL HOGS"</f>
        <v>FERAL HOGS</v>
      </c>
    </row>
    <row r="1163" spans="1:8" x14ac:dyDescent="0.25">
      <c r="A1163" t="s">
        <v>397</v>
      </c>
      <c r="B1163">
        <v>175</v>
      </c>
      <c r="C1163" s="2">
        <v>55.92</v>
      </c>
      <c r="D1163" s="1">
        <v>43445</v>
      </c>
      <c r="E1163" t="str">
        <f>"18120301"</f>
        <v>18120301</v>
      </c>
      <c r="F1163" t="str">
        <f>"SVC CONTRACT 11/01-12/03"</f>
        <v>SVC CONTRACT 11/01-12/03</v>
      </c>
      <c r="G1163" s="3">
        <v>55.92</v>
      </c>
      <c r="H1163" t="str">
        <f>"SVC CONTRACT 11/01-12/03"</f>
        <v>SVC CONTRACT 11/01-12/03</v>
      </c>
    </row>
    <row r="1164" spans="1:8" x14ac:dyDescent="0.25">
      <c r="A1164" t="s">
        <v>398</v>
      </c>
      <c r="B1164">
        <v>80247</v>
      </c>
      <c r="C1164" s="2">
        <v>40</v>
      </c>
      <c r="D1164" s="1">
        <v>43461</v>
      </c>
      <c r="E1164" t="str">
        <f>"55281"</f>
        <v>55281</v>
      </c>
      <c r="F1164" t="str">
        <f>"VEHICLE REPAIRS/PCT#3"</f>
        <v>VEHICLE REPAIRS/PCT#3</v>
      </c>
      <c r="G1164" s="3">
        <v>40</v>
      </c>
      <c r="H1164" t="str">
        <f>"VEHICLE REPAIRS/PCT#3"</f>
        <v>VEHICLE REPAIRS/PCT#3</v>
      </c>
    </row>
    <row r="1165" spans="1:8" x14ac:dyDescent="0.25">
      <c r="A1165" t="s">
        <v>399</v>
      </c>
      <c r="B1165">
        <v>80050</v>
      </c>
      <c r="C1165" s="2">
        <v>240</v>
      </c>
      <c r="D1165" s="1">
        <v>43444</v>
      </c>
      <c r="E1165" t="str">
        <f>"76569"</f>
        <v>76569</v>
      </c>
      <c r="F1165" t="str">
        <f>"ACCT#60-03-0970F/SVC CALL/ANNE"</f>
        <v>ACCT#60-03-0970F/SVC CALL/ANNE</v>
      </c>
      <c r="G1165" s="3">
        <v>240</v>
      </c>
      <c r="H1165" t="str">
        <f>"ACCT#60-03-0970F/SVC CALL/ANNE"</f>
        <v>ACCT#60-03-0970F/SVC CALL/ANNE</v>
      </c>
    </row>
    <row r="1166" spans="1:8" x14ac:dyDescent="0.25">
      <c r="A1166" t="s">
        <v>400</v>
      </c>
      <c r="B1166">
        <v>208</v>
      </c>
      <c r="C1166" s="2">
        <v>201</v>
      </c>
      <c r="D1166" s="1">
        <v>43445</v>
      </c>
      <c r="E1166" t="str">
        <f>"1812053"</f>
        <v>1812053</v>
      </c>
      <c r="F1166" t="str">
        <f>"MONTHLY CONTRACT BILLING"</f>
        <v>MONTHLY CONTRACT BILLING</v>
      </c>
      <c r="G1166" s="3">
        <v>201</v>
      </c>
      <c r="H1166" t="str">
        <f>"MONTHLY CONTRACT BILLING"</f>
        <v>MONTHLY CONTRACT BILLING</v>
      </c>
    </row>
    <row r="1167" spans="1:8" x14ac:dyDescent="0.25">
      <c r="A1167" t="s">
        <v>400</v>
      </c>
      <c r="B1167">
        <v>273</v>
      </c>
      <c r="C1167" s="2">
        <v>209</v>
      </c>
      <c r="D1167" s="1">
        <v>43462</v>
      </c>
      <c r="E1167" t="str">
        <f>"1901055"</f>
        <v>1901055</v>
      </c>
      <c r="F1167" t="str">
        <f>"MONTHLY CONTRACT BILLING"</f>
        <v>MONTHLY CONTRACT BILLING</v>
      </c>
      <c r="G1167" s="3">
        <v>209</v>
      </c>
      <c r="H1167" t="str">
        <f>"MONTHLY CONTRACT BILLING"</f>
        <v>MONTHLY CONTRACT BILLING</v>
      </c>
    </row>
    <row r="1168" spans="1:8" x14ac:dyDescent="0.25">
      <c r="A1168" t="s">
        <v>401</v>
      </c>
      <c r="B1168">
        <v>197</v>
      </c>
      <c r="C1168" s="2">
        <v>971.18</v>
      </c>
      <c r="D1168" s="1">
        <v>43445</v>
      </c>
      <c r="E1168" t="str">
        <f>"201811305423"</f>
        <v>201811305423</v>
      </c>
      <c r="F1168" t="str">
        <f>"SALARY &amp; MILEAGE REIMBURSEMENT"</f>
        <v>SALARY &amp; MILEAGE REIMBURSEMENT</v>
      </c>
      <c r="G1168" s="3">
        <v>971.18</v>
      </c>
      <c r="H1168" t="str">
        <f>"SALARY &amp; MILEAGE REIMBURSEMENT"</f>
        <v>SALARY &amp; MILEAGE REIMBURSEMENT</v>
      </c>
    </row>
    <row r="1169" spans="1:8" x14ac:dyDescent="0.25">
      <c r="A1169" t="s">
        <v>401</v>
      </c>
      <c r="B1169">
        <v>260</v>
      </c>
      <c r="C1169" s="2">
        <v>930.85</v>
      </c>
      <c r="D1169" s="1">
        <v>43462</v>
      </c>
      <c r="E1169" t="str">
        <f>"201812145829"</f>
        <v>201812145829</v>
      </c>
      <c r="F1169" t="str">
        <f>"SALARY/MILEAGE"</f>
        <v>SALARY/MILEAGE</v>
      </c>
      <c r="G1169" s="3">
        <v>669.25</v>
      </c>
      <c r="H1169" t="str">
        <f>"SALARY/MILEAGE"</f>
        <v>SALARY/MILEAGE</v>
      </c>
    </row>
    <row r="1170" spans="1:8" x14ac:dyDescent="0.25">
      <c r="E1170" t="str">
        <f>"201812145830"</f>
        <v>201812145830</v>
      </c>
      <c r="F1170" t="str">
        <f>"MILEAGE REIMBURSEMENT"</f>
        <v>MILEAGE REIMBURSEMENT</v>
      </c>
      <c r="G1170" s="3">
        <v>261.60000000000002</v>
      </c>
      <c r="H1170" t="str">
        <f>"MILEAGE REIMBURSEMENT"</f>
        <v>MILEAGE REIMBURSEMENT</v>
      </c>
    </row>
    <row r="1171" spans="1:8" x14ac:dyDescent="0.25">
      <c r="A1171" t="s">
        <v>402</v>
      </c>
      <c r="B1171">
        <v>80051</v>
      </c>
      <c r="C1171" s="2">
        <v>105</v>
      </c>
      <c r="D1171" s="1">
        <v>43444</v>
      </c>
      <c r="E1171" t="str">
        <f>"201811305438"</f>
        <v>201811305438</v>
      </c>
      <c r="F1171" t="str">
        <f>"FERAL HOGS"</f>
        <v>FERAL HOGS</v>
      </c>
      <c r="G1171" s="3">
        <v>105</v>
      </c>
      <c r="H1171" t="str">
        <f>"FERAL HOGS"</f>
        <v>FERAL HOGS</v>
      </c>
    </row>
    <row r="1172" spans="1:8" x14ac:dyDescent="0.25">
      <c r="A1172" t="s">
        <v>403</v>
      </c>
      <c r="B1172">
        <v>199</v>
      </c>
      <c r="C1172" s="2">
        <v>109.62</v>
      </c>
      <c r="D1172" s="1">
        <v>43445</v>
      </c>
      <c r="E1172" t="str">
        <f>"84108"</f>
        <v>84108</v>
      </c>
      <c r="F1172" t="str">
        <f>"ACCT#63275/CUST ID#BASCO01"</f>
        <v>ACCT#63275/CUST ID#BASCO01</v>
      </c>
      <c r="G1172" s="3">
        <v>109.62</v>
      </c>
      <c r="H1172" t="str">
        <f>"ACCT#63275/CUST ID#BASCO01"</f>
        <v>ACCT#63275/CUST ID#BASCO01</v>
      </c>
    </row>
    <row r="1173" spans="1:8" x14ac:dyDescent="0.25">
      <c r="A1173" t="s">
        <v>404</v>
      </c>
      <c r="B1173">
        <v>80052</v>
      </c>
      <c r="C1173" s="2">
        <v>3263.93</v>
      </c>
      <c r="D1173" s="1">
        <v>43444</v>
      </c>
      <c r="E1173" t="str">
        <f>"0802283-IN"</f>
        <v>0802283-IN</v>
      </c>
      <c r="F1173" t="str">
        <f>"ACCT#01-0112917/DIESEL/PCT#1"</f>
        <v>ACCT#01-0112917/DIESEL/PCT#1</v>
      </c>
      <c r="G1173" s="3">
        <v>132</v>
      </c>
      <c r="H1173" t="str">
        <f>"ACCT#01-0112917/DIESEL/PCT#1"</f>
        <v>ACCT#01-0112917/DIESEL/PCT#1</v>
      </c>
    </row>
    <row r="1174" spans="1:8" x14ac:dyDescent="0.25">
      <c r="E1174" t="str">
        <f>"0804904-IN"</f>
        <v>0804904-IN</v>
      </c>
      <c r="F1174" t="str">
        <f>"ACCT#01-0112917/BOL#584876/P3"</f>
        <v>ACCT#01-0112917/BOL#584876/P3</v>
      </c>
      <c r="G1174" s="3">
        <v>3131.93</v>
      </c>
      <c r="H1174" t="str">
        <f>"ACCT#01-0112917/BOL#584876/P3"</f>
        <v>ACCT#01-0112917/BOL#584876/P3</v>
      </c>
    </row>
    <row r="1175" spans="1:8" x14ac:dyDescent="0.25">
      <c r="A1175" t="s">
        <v>404</v>
      </c>
      <c r="B1175">
        <v>80248</v>
      </c>
      <c r="C1175" s="2">
        <v>10883.74</v>
      </c>
      <c r="D1175" s="1">
        <v>43461</v>
      </c>
      <c r="E1175" t="str">
        <f>"0807190-IN"</f>
        <v>0807190-IN</v>
      </c>
      <c r="F1175" t="str">
        <f>"ACCT#01-0112917/PCT#3"</f>
        <v>ACCT#01-0112917/PCT#3</v>
      </c>
      <c r="G1175" s="3">
        <v>871.1</v>
      </c>
      <c r="H1175" t="str">
        <f>"ACCT#01-0112917/PCT#3"</f>
        <v>ACCT#01-0112917/PCT#3</v>
      </c>
    </row>
    <row r="1176" spans="1:8" x14ac:dyDescent="0.25">
      <c r="E1176" t="str">
        <f>"0808583-IN"</f>
        <v>0808583-IN</v>
      </c>
      <c r="F1176" t="str">
        <f>"ACCT#01-0112917/PCT#1"</f>
        <v>ACCT#01-0112917/PCT#1</v>
      </c>
      <c r="G1176" s="3">
        <v>5378.63</v>
      </c>
      <c r="H1176" t="str">
        <f>"ACCT#01-0112917/PCT#1"</f>
        <v>ACCT#01-0112917/PCT#1</v>
      </c>
    </row>
    <row r="1177" spans="1:8" x14ac:dyDescent="0.25">
      <c r="E1177" t="str">
        <f>"0809735-IN"</f>
        <v>0809735-IN</v>
      </c>
      <c r="F1177" t="str">
        <f>"ACCT#01-0112917/FUEL/PCT#2"</f>
        <v>ACCT#01-0112917/FUEL/PCT#2</v>
      </c>
      <c r="G1177" s="3">
        <v>338.4</v>
      </c>
      <c r="H1177" t="str">
        <f>"ACCT#01-0112917/FUEL/PCT#2"</f>
        <v>ACCT#01-0112917/FUEL/PCT#2</v>
      </c>
    </row>
    <row r="1178" spans="1:8" x14ac:dyDescent="0.25">
      <c r="E1178" t="str">
        <f>"0809832-IN"</f>
        <v>0809832-IN</v>
      </c>
      <c r="F1178" t="str">
        <f>"ACCT#01-0112917/PCT#3"</f>
        <v>ACCT#01-0112917/PCT#3</v>
      </c>
      <c r="G1178" s="3">
        <v>4295.6099999999997</v>
      </c>
      <c r="H1178" t="str">
        <f>"ACCT#01-0112917/PCT#3"</f>
        <v>ACCT#01-0112917/PCT#3</v>
      </c>
    </row>
    <row r="1179" spans="1:8" x14ac:dyDescent="0.25">
      <c r="A1179" t="s">
        <v>405</v>
      </c>
      <c r="B1179">
        <v>80249</v>
      </c>
      <c r="C1179" s="2">
        <v>350</v>
      </c>
      <c r="D1179" s="1">
        <v>43461</v>
      </c>
      <c r="E1179" t="str">
        <f>"201812125772"</f>
        <v>201812125772</v>
      </c>
      <c r="F1179" t="str">
        <f>"2019 TX TRANS FORUM-C. BECKETT"</f>
        <v>2019 TX TRANS FORUM-C. BECKETT</v>
      </c>
      <c r="G1179" s="3">
        <v>350</v>
      </c>
      <c r="H1179" t="str">
        <f>"2019 TX TRANS FORUM-C. BECKETT"</f>
        <v>2019 TX TRANS FORUM-C. BECKETT</v>
      </c>
    </row>
    <row r="1180" spans="1:8" x14ac:dyDescent="0.25">
      <c r="A1180" t="s">
        <v>406</v>
      </c>
      <c r="B1180">
        <v>80053</v>
      </c>
      <c r="C1180" s="2">
        <v>1144</v>
      </c>
      <c r="D1180" s="1">
        <v>43444</v>
      </c>
      <c r="E1180" t="str">
        <f>"201812065577"</f>
        <v>201812065577</v>
      </c>
      <c r="F1180" t="str">
        <f>"BOND - NEITSCH/YOUNG"</f>
        <v>BOND - NEITSCH/YOUNG</v>
      </c>
      <c r="G1180" s="3">
        <v>100</v>
      </c>
      <c r="H1180" t="str">
        <f>"BOND - N. NEITSCH"</f>
        <v>BOND - N. NEITSCH</v>
      </c>
    </row>
    <row r="1181" spans="1:8" x14ac:dyDescent="0.25">
      <c r="E1181" t="str">
        <f>""</f>
        <v/>
      </c>
      <c r="F1181" t="str">
        <f>""</f>
        <v/>
      </c>
      <c r="H1181" t="str">
        <f>"INV 2389 BOND  YOUNG"</f>
        <v>INV 2389 BOND  YOUNG</v>
      </c>
    </row>
    <row r="1182" spans="1:8" x14ac:dyDescent="0.25">
      <c r="E1182" t="str">
        <f>"2386"</f>
        <v>2386</v>
      </c>
      <c r="F1182" t="str">
        <f>"NEW BOND 19-23 ROSE PIETSCH"</f>
        <v>NEW BOND 19-23 ROSE PIETSCH</v>
      </c>
      <c r="G1182" s="3">
        <v>994</v>
      </c>
      <c r="H1182" t="str">
        <f>"NEW BOND 19-23 ROSE PIETSCH"</f>
        <v>NEW BOND 19-23 ROSE PIETSCH</v>
      </c>
    </row>
    <row r="1183" spans="1:8" x14ac:dyDescent="0.25">
      <c r="E1183" t="str">
        <f>"2388"</f>
        <v>2388</v>
      </c>
      <c r="F1183" t="str">
        <f>"19-20 BOND RENEWAL-C.BECKETT"</f>
        <v>19-20 BOND RENEWAL-C.BECKETT</v>
      </c>
      <c r="G1183" s="3">
        <v>50</v>
      </c>
      <c r="H1183" t="str">
        <f>"19-20 BOND RENEWAL-C.BECKETT"</f>
        <v>19-20 BOND RENEWAL-C.BECKETT</v>
      </c>
    </row>
    <row r="1184" spans="1:8" x14ac:dyDescent="0.25">
      <c r="A1184" t="s">
        <v>406</v>
      </c>
      <c r="B1184">
        <v>80250</v>
      </c>
      <c r="C1184" s="2">
        <v>421</v>
      </c>
      <c r="D1184" s="1">
        <v>43461</v>
      </c>
      <c r="E1184" t="str">
        <f>"2387"</f>
        <v>2387</v>
      </c>
      <c r="F1184" t="str">
        <f>"ACCT#BASTCOU-08/BOND-L. SMITH"</f>
        <v>ACCT#BASTCOU-08/BOND-L. SMITH</v>
      </c>
      <c r="G1184" s="3">
        <v>350</v>
      </c>
      <c r="H1184" t="str">
        <f>"ACCT#BASTCOU-08/BOND-L. SMITH"</f>
        <v>ACCT#BASTCOU-08/BOND-L. SMITH</v>
      </c>
    </row>
    <row r="1185" spans="1:8" x14ac:dyDescent="0.25">
      <c r="E1185" t="str">
        <f>"2423"</f>
        <v>2423</v>
      </c>
      <c r="F1185" t="str">
        <f>"INV 2423"</f>
        <v>INV 2423</v>
      </c>
      <c r="G1185" s="3">
        <v>71</v>
      </c>
      <c r="H1185" t="str">
        <f>"INV 2423"</f>
        <v>INV 2423</v>
      </c>
    </row>
    <row r="1186" spans="1:8" x14ac:dyDescent="0.25">
      <c r="A1186" t="s">
        <v>407</v>
      </c>
      <c r="B1186">
        <v>80054</v>
      </c>
      <c r="C1186" s="2">
        <v>845</v>
      </c>
      <c r="D1186" s="1">
        <v>43444</v>
      </c>
      <c r="E1186" t="str">
        <f>"201812035503"</f>
        <v>201812035503</v>
      </c>
      <c r="F1186" t="str">
        <f>"BRIDGETTE ESCOBEDO-DUES/REGIST"</f>
        <v>BRIDGETTE ESCOBEDO-DUES/REGIST</v>
      </c>
      <c r="G1186" s="3">
        <v>315</v>
      </c>
      <c r="H1186" t="str">
        <f>"BRIDGETTE ESCOBEDO-DUES/REGIST"</f>
        <v>BRIDGETTE ESCOBEDO-DUES/REGIST</v>
      </c>
    </row>
    <row r="1187" spans="1:8" x14ac:dyDescent="0.25">
      <c r="E1187" t="str">
        <f>"201812035504"</f>
        <v>201812035504</v>
      </c>
      <c r="F1187" t="str">
        <f>"KRISTIN MILES-DUES/REGISTRATIO"</f>
        <v>KRISTIN MILES-DUES/REGISTRATIO</v>
      </c>
      <c r="G1187" s="3">
        <v>265</v>
      </c>
      <c r="H1187" t="str">
        <f>"KRISTIN MILES-DUES/REGISTRATIO"</f>
        <v>KRISTIN MILES-DUES/REGISTRATIO</v>
      </c>
    </row>
    <row r="1188" spans="1:8" x14ac:dyDescent="0.25">
      <c r="E1188" t="str">
        <f>"201812035505"</f>
        <v>201812035505</v>
      </c>
      <c r="F1188" t="str">
        <f>"DAN HAYES-DUES/REGISTRATION"</f>
        <v>DAN HAYES-DUES/REGISTRATION</v>
      </c>
      <c r="G1188" s="3">
        <v>265</v>
      </c>
      <c r="H1188" t="str">
        <f>"DAN HAYES-DUES/REGISTRATION"</f>
        <v>DAN HAYES-DUES/REGISTRATION</v>
      </c>
    </row>
    <row r="1189" spans="1:8" x14ac:dyDescent="0.25">
      <c r="A1189" t="s">
        <v>408</v>
      </c>
      <c r="B1189">
        <v>80251</v>
      </c>
      <c r="C1189" s="2">
        <v>75959.41</v>
      </c>
      <c r="D1189" s="1">
        <v>43461</v>
      </c>
      <c r="E1189" t="str">
        <f>"NRCN-23557-WC1"</f>
        <v>NRCN-23557-WC1</v>
      </c>
      <c r="F1189" t="str">
        <f>"1ST QTR 2019 WORKERS COMP"</f>
        <v>1ST QTR 2019 WORKERS COMP</v>
      </c>
      <c r="G1189" s="3">
        <v>75959.41</v>
      </c>
      <c r="H1189" t="str">
        <f t="shared" ref="H1189:H1231" si="14">"1ST QTR 2019 WORKERS COMP"</f>
        <v>1ST QTR 2019 WORKERS COMP</v>
      </c>
    </row>
    <row r="1190" spans="1:8" x14ac:dyDescent="0.25">
      <c r="E1190" t="str">
        <f>""</f>
        <v/>
      </c>
      <c r="F1190" t="str">
        <f>""</f>
        <v/>
      </c>
      <c r="H1190" t="str">
        <f t="shared" si="14"/>
        <v>1ST QTR 2019 WORKERS COMP</v>
      </c>
    </row>
    <row r="1191" spans="1:8" x14ac:dyDescent="0.25">
      <c r="E1191" t="str">
        <f>""</f>
        <v/>
      </c>
      <c r="F1191" t="str">
        <f>""</f>
        <v/>
      </c>
      <c r="H1191" t="str">
        <f t="shared" si="14"/>
        <v>1ST QTR 2019 WORKERS COMP</v>
      </c>
    </row>
    <row r="1192" spans="1:8" x14ac:dyDescent="0.25">
      <c r="E1192" t="str">
        <f>""</f>
        <v/>
      </c>
      <c r="F1192" t="str">
        <f>""</f>
        <v/>
      </c>
      <c r="H1192" t="str">
        <f t="shared" si="14"/>
        <v>1ST QTR 2019 WORKERS COMP</v>
      </c>
    </row>
    <row r="1193" spans="1:8" x14ac:dyDescent="0.25">
      <c r="E1193" t="str">
        <f>""</f>
        <v/>
      </c>
      <c r="F1193" t="str">
        <f>""</f>
        <v/>
      </c>
      <c r="H1193" t="str">
        <f t="shared" si="14"/>
        <v>1ST QTR 2019 WORKERS COMP</v>
      </c>
    </row>
    <row r="1194" spans="1:8" x14ac:dyDescent="0.25">
      <c r="E1194" t="str">
        <f>""</f>
        <v/>
      </c>
      <c r="F1194" t="str">
        <f>""</f>
        <v/>
      </c>
      <c r="H1194" t="str">
        <f t="shared" si="14"/>
        <v>1ST QTR 2019 WORKERS COMP</v>
      </c>
    </row>
    <row r="1195" spans="1:8" x14ac:dyDescent="0.25">
      <c r="E1195" t="str">
        <f>""</f>
        <v/>
      </c>
      <c r="F1195" t="str">
        <f>""</f>
        <v/>
      </c>
      <c r="H1195" t="str">
        <f t="shared" si="14"/>
        <v>1ST QTR 2019 WORKERS COMP</v>
      </c>
    </row>
    <row r="1196" spans="1:8" x14ac:dyDescent="0.25">
      <c r="E1196" t="str">
        <f>""</f>
        <v/>
      </c>
      <c r="F1196" t="str">
        <f>""</f>
        <v/>
      </c>
      <c r="H1196" t="str">
        <f t="shared" si="14"/>
        <v>1ST QTR 2019 WORKERS COMP</v>
      </c>
    </row>
    <row r="1197" spans="1:8" x14ac:dyDescent="0.25">
      <c r="E1197" t="str">
        <f>""</f>
        <v/>
      </c>
      <c r="F1197" t="str">
        <f>""</f>
        <v/>
      </c>
      <c r="H1197" t="str">
        <f t="shared" si="14"/>
        <v>1ST QTR 2019 WORKERS COMP</v>
      </c>
    </row>
    <row r="1198" spans="1:8" x14ac:dyDescent="0.25">
      <c r="E1198" t="str">
        <f>""</f>
        <v/>
      </c>
      <c r="F1198" t="str">
        <f>""</f>
        <v/>
      </c>
      <c r="H1198" t="str">
        <f t="shared" si="14"/>
        <v>1ST QTR 2019 WORKERS COMP</v>
      </c>
    </row>
    <row r="1199" spans="1:8" x14ac:dyDescent="0.25">
      <c r="E1199" t="str">
        <f>""</f>
        <v/>
      </c>
      <c r="F1199" t="str">
        <f>""</f>
        <v/>
      </c>
      <c r="H1199" t="str">
        <f t="shared" si="14"/>
        <v>1ST QTR 2019 WORKERS COMP</v>
      </c>
    </row>
    <row r="1200" spans="1:8" x14ac:dyDescent="0.25">
      <c r="E1200" t="str">
        <f>""</f>
        <v/>
      </c>
      <c r="F1200" t="str">
        <f>""</f>
        <v/>
      </c>
      <c r="H1200" t="str">
        <f t="shared" si="14"/>
        <v>1ST QTR 2019 WORKERS COMP</v>
      </c>
    </row>
    <row r="1201" spans="5:8" x14ac:dyDescent="0.25">
      <c r="E1201" t="str">
        <f>""</f>
        <v/>
      </c>
      <c r="F1201" t="str">
        <f>""</f>
        <v/>
      </c>
      <c r="H1201" t="str">
        <f t="shared" si="14"/>
        <v>1ST QTR 2019 WORKERS COMP</v>
      </c>
    </row>
    <row r="1202" spans="5:8" x14ac:dyDescent="0.25">
      <c r="E1202" t="str">
        <f>""</f>
        <v/>
      </c>
      <c r="F1202" t="str">
        <f>""</f>
        <v/>
      </c>
      <c r="H1202" t="str">
        <f t="shared" si="14"/>
        <v>1ST QTR 2019 WORKERS COMP</v>
      </c>
    </row>
    <row r="1203" spans="5:8" x14ac:dyDescent="0.25">
      <c r="E1203" t="str">
        <f>""</f>
        <v/>
      </c>
      <c r="F1203" t="str">
        <f>""</f>
        <v/>
      </c>
      <c r="H1203" t="str">
        <f t="shared" si="14"/>
        <v>1ST QTR 2019 WORKERS COMP</v>
      </c>
    </row>
    <row r="1204" spans="5:8" x14ac:dyDescent="0.25">
      <c r="E1204" t="str">
        <f>""</f>
        <v/>
      </c>
      <c r="F1204" t="str">
        <f>""</f>
        <v/>
      </c>
      <c r="H1204" t="str">
        <f t="shared" si="14"/>
        <v>1ST QTR 2019 WORKERS COMP</v>
      </c>
    </row>
    <row r="1205" spans="5:8" x14ac:dyDescent="0.25">
      <c r="E1205" t="str">
        <f>""</f>
        <v/>
      </c>
      <c r="F1205" t="str">
        <f>""</f>
        <v/>
      </c>
      <c r="H1205" t="str">
        <f t="shared" si="14"/>
        <v>1ST QTR 2019 WORKERS COMP</v>
      </c>
    </row>
    <row r="1206" spans="5:8" x14ac:dyDescent="0.25">
      <c r="E1206" t="str">
        <f>""</f>
        <v/>
      </c>
      <c r="F1206" t="str">
        <f>""</f>
        <v/>
      </c>
      <c r="H1206" t="str">
        <f t="shared" si="14"/>
        <v>1ST QTR 2019 WORKERS COMP</v>
      </c>
    </row>
    <row r="1207" spans="5:8" x14ac:dyDescent="0.25">
      <c r="E1207" t="str">
        <f>""</f>
        <v/>
      </c>
      <c r="F1207" t="str">
        <f>""</f>
        <v/>
      </c>
      <c r="H1207" t="str">
        <f t="shared" si="14"/>
        <v>1ST QTR 2019 WORKERS COMP</v>
      </c>
    </row>
    <row r="1208" spans="5:8" x14ac:dyDescent="0.25">
      <c r="E1208" t="str">
        <f>""</f>
        <v/>
      </c>
      <c r="F1208" t="str">
        <f>""</f>
        <v/>
      </c>
      <c r="H1208" t="str">
        <f t="shared" si="14"/>
        <v>1ST QTR 2019 WORKERS COMP</v>
      </c>
    </row>
    <row r="1209" spans="5:8" x14ac:dyDescent="0.25">
      <c r="E1209" t="str">
        <f>""</f>
        <v/>
      </c>
      <c r="F1209" t="str">
        <f>""</f>
        <v/>
      </c>
      <c r="H1209" t="str">
        <f t="shared" si="14"/>
        <v>1ST QTR 2019 WORKERS COMP</v>
      </c>
    </row>
    <row r="1210" spans="5:8" x14ac:dyDescent="0.25">
      <c r="E1210" t="str">
        <f>""</f>
        <v/>
      </c>
      <c r="F1210" t="str">
        <f>""</f>
        <v/>
      </c>
      <c r="H1210" t="str">
        <f t="shared" si="14"/>
        <v>1ST QTR 2019 WORKERS COMP</v>
      </c>
    </row>
    <row r="1211" spans="5:8" x14ac:dyDescent="0.25">
      <c r="E1211" t="str">
        <f>""</f>
        <v/>
      </c>
      <c r="F1211" t="str">
        <f>""</f>
        <v/>
      </c>
      <c r="H1211" t="str">
        <f t="shared" si="14"/>
        <v>1ST QTR 2019 WORKERS COMP</v>
      </c>
    </row>
    <row r="1212" spans="5:8" x14ac:dyDescent="0.25">
      <c r="E1212" t="str">
        <f>""</f>
        <v/>
      </c>
      <c r="F1212" t="str">
        <f>""</f>
        <v/>
      </c>
      <c r="H1212" t="str">
        <f t="shared" si="14"/>
        <v>1ST QTR 2019 WORKERS COMP</v>
      </c>
    </row>
    <row r="1213" spans="5:8" x14ac:dyDescent="0.25">
      <c r="E1213" t="str">
        <f>""</f>
        <v/>
      </c>
      <c r="F1213" t="str">
        <f>""</f>
        <v/>
      </c>
      <c r="H1213" t="str">
        <f t="shared" si="14"/>
        <v>1ST QTR 2019 WORKERS COMP</v>
      </c>
    </row>
    <row r="1214" spans="5:8" x14ac:dyDescent="0.25">
      <c r="E1214" t="str">
        <f>""</f>
        <v/>
      </c>
      <c r="F1214" t="str">
        <f>""</f>
        <v/>
      </c>
      <c r="H1214" t="str">
        <f t="shared" si="14"/>
        <v>1ST QTR 2019 WORKERS COMP</v>
      </c>
    </row>
    <row r="1215" spans="5:8" x14ac:dyDescent="0.25">
      <c r="E1215" t="str">
        <f>""</f>
        <v/>
      </c>
      <c r="F1215" t="str">
        <f>""</f>
        <v/>
      </c>
      <c r="H1215" t="str">
        <f t="shared" si="14"/>
        <v>1ST QTR 2019 WORKERS COMP</v>
      </c>
    </row>
    <row r="1216" spans="5:8" x14ac:dyDescent="0.25">
      <c r="E1216" t="str">
        <f>""</f>
        <v/>
      </c>
      <c r="F1216" t="str">
        <f>""</f>
        <v/>
      </c>
      <c r="H1216" t="str">
        <f t="shared" si="14"/>
        <v>1ST QTR 2019 WORKERS COMP</v>
      </c>
    </row>
    <row r="1217" spans="1:8" x14ac:dyDescent="0.25">
      <c r="E1217" t="str">
        <f>""</f>
        <v/>
      </c>
      <c r="F1217" t="str">
        <f>""</f>
        <v/>
      </c>
      <c r="H1217" t="str">
        <f t="shared" si="14"/>
        <v>1ST QTR 2019 WORKERS COMP</v>
      </c>
    </row>
    <row r="1218" spans="1:8" x14ac:dyDescent="0.25">
      <c r="E1218" t="str">
        <f>""</f>
        <v/>
      </c>
      <c r="F1218" t="str">
        <f>""</f>
        <v/>
      </c>
      <c r="H1218" t="str">
        <f t="shared" si="14"/>
        <v>1ST QTR 2019 WORKERS COMP</v>
      </c>
    </row>
    <row r="1219" spans="1:8" x14ac:dyDescent="0.25">
      <c r="E1219" t="str">
        <f>""</f>
        <v/>
      </c>
      <c r="F1219" t="str">
        <f>""</f>
        <v/>
      </c>
      <c r="H1219" t="str">
        <f t="shared" si="14"/>
        <v>1ST QTR 2019 WORKERS COMP</v>
      </c>
    </row>
    <row r="1220" spans="1:8" x14ac:dyDescent="0.25">
      <c r="E1220" t="str">
        <f>""</f>
        <v/>
      </c>
      <c r="F1220" t="str">
        <f>""</f>
        <v/>
      </c>
      <c r="H1220" t="str">
        <f t="shared" si="14"/>
        <v>1ST QTR 2019 WORKERS COMP</v>
      </c>
    </row>
    <row r="1221" spans="1:8" x14ac:dyDescent="0.25">
      <c r="E1221" t="str">
        <f>""</f>
        <v/>
      </c>
      <c r="F1221" t="str">
        <f>""</f>
        <v/>
      </c>
      <c r="H1221" t="str">
        <f t="shared" si="14"/>
        <v>1ST QTR 2019 WORKERS COMP</v>
      </c>
    </row>
    <row r="1222" spans="1:8" x14ac:dyDescent="0.25">
      <c r="E1222" t="str">
        <f>""</f>
        <v/>
      </c>
      <c r="F1222" t="str">
        <f>""</f>
        <v/>
      </c>
      <c r="H1222" t="str">
        <f t="shared" si="14"/>
        <v>1ST QTR 2019 WORKERS COMP</v>
      </c>
    </row>
    <row r="1223" spans="1:8" x14ac:dyDescent="0.25">
      <c r="E1223" t="str">
        <f>""</f>
        <v/>
      </c>
      <c r="F1223" t="str">
        <f>""</f>
        <v/>
      </c>
      <c r="H1223" t="str">
        <f t="shared" si="14"/>
        <v>1ST QTR 2019 WORKERS COMP</v>
      </c>
    </row>
    <row r="1224" spans="1:8" x14ac:dyDescent="0.25">
      <c r="E1224" t="str">
        <f>""</f>
        <v/>
      </c>
      <c r="F1224" t="str">
        <f>""</f>
        <v/>
      </c>
      <c r="H1224" t="str">
        <f t="shared" si="14"/>
        <v>1ST QTR 2019 WORKERS COMP</v>
      </c>
    </row>
    <row r="1225" spans="1:8" x14ac:dyDescent="0.25">
      <c r="E1225" t="str">
        <f>""</f>
        <v/>
      </c>
      <c r="F1225" t="str">
        <f>""</f>
        <v/>
      </c>
      <c r="H1225" t="str">
        <f t="shared" si="14"/>
        <v>1ST QTR 2019 WORKERS COMP</v>
      </c>
    </row>
    <row r="1226" spans="1:8" x14ac:dyDescent="0.25">
      <c r="E1226" t="str">
        <f>""</f>
        <v/>
      </c>
      <c r="F1226" t="str">
        <f>""</f>
        <v/>
      </c>
      <c r="H1226" t="str">
        <f t="shared" si="14"/>
        <v>1ST QTR 2019 WORKERS COMP</v>
      </c>
    </row>
    <row r="1227" spans="1:8" x14ac:dyDescent="0.25">
      <c r="E1227" t="str">
        <f>""</f>
        <v/>
      </c>
      <c r="F1227" t="str">
        <f>""</f>
        <v/>
      </c>
      <c r="H1227" t="str">
        <f t="shared" si="14"/>
        <v>1ST QTR 2019 WORKERS COMP</v>
      </c>
    </row>
    <row r="1228" spans="1:8" x14ac:dyDescent="0.25">
      <c r="E1228" t="str">
        <f>""</f>
        <v/>
      </c>
      <c r="F1228" t="str">
        <f>""</f>
        <v/>
      </c>
      <c r="H1228" t="str">
        <f t="shared" si="14"/>
        <v>1ST QTR 2019 WORKERS COMP</v>
      </c>
    </row>
    <row r="1229" spans="1:8" x14ac:dyDescent="0.25">
      <c r="E1229" t="str">
        <f>""</f>
        <v/>
      </c>
      <c r="F1229" t="str">
        <f>""</f>
        <v/>
      </c>
      <c r="H1229" t="str">
        <f t="shared" si="14"/>
        <v>1ST QTR 2019 WORKERS COMP</v>
      </c>
    </row>
    <row r="1230" spans="1:8" x14ac:dyDescent="0.25">
      <c r="E1230" t="str">
        <f>""</f>
        <v/>
      </c>
      <c r="F1230" t="str">
        <f>""</f>
        <v/>
      </c>
      <c r="H1230" t="str">
        <f t="shared" si="14"/>
        <v>1ST QTR 2019 WORKERS COMP</v>
      </c>
    </row>
    <row r="1231" spans="1:8" x14ac:dyDescent="0.25">
      <c r="E1231" t="str">
        <f>""</f>
        <v/>
      </c>
      <c r="F1231" t="str">
        <f>""</f>
        <v/>
      </c>
      <c r="H1231" t="str">
        <f t="shared" si="14"/>
        <v>1ST QTR 2019 WORKERS COMP</v>
      </c>
    </row>
    <row r="1232" spans="1:8" x14ac:dyDescent="0.25">
      <c r="A1232" t="s">
        <v>409</v>
      </c>
      <c r="B1232">
        <v>80055</v>
      </c>
      <c r="C1232" s="2">
        <v>750</v>
      </c>
      <c r="D1232" s="1">
        <v>43444</v>
      </c>
      <c r="E1232" t="str">
        <f>"201812045558"</f>
        <v>201812045558</v>
      </c>
      <c r="F1232" t="str">
        <f>"CTCD Certification Class"</f>
        <v>CTCD Certification Class</v>
      </c>
      <c r="G1232" s="3">
        <v>750</v>
      </c>
      <c r="H1232" t="str">
        <f>"Class"</f>
        <v>Class</v>
      </c>
    </row>
    <row r="1233" spans="1:9" x14ac:dyDescent="0.25">
      <c r="A1233" t="s">
        <v>409</v>
      </c>
      <c r="B1233">
        <v>80252</v>
      </c>
      <c r="C1233" s="2">
        <v>100</v>
      </c>
      <c r="D1233" s="1">
        <v>43461</v>
      </c>
      <c r="E1233" t="str">
        <f>"201812145821"</f>
        <v>201812145821</v>
      </c>
      <c r="F1233" t="str">
        <f>"SmartBuy Membership"</f>
        <v>SmartBuy Membership</v>
      </c>
      <c r="G1233" s="3">
        <v>100</v>
      </c>
      <c r="H1233" t="str">
        <f>"SmartBuy Membership"</f>
        <v>SmartBuy Membership</v>
      </c>
    </row>
    <row r="1234" spans="1:9" x14ac:dyDescent="0.25">
      <c r="A1234" t="s">
        <v>410</v>
      </c>
      <c r="B1234">
        <v>80253</v>
      </c>
      <c r="C1234" s="2">
        <v>500</v>
      </c>
      <c r="D1234" s="1">
        <v>43461</v>
      </c>
      <c r="E1234" t="str">
        <f>"UI443898/UI442605"</f>
        <v>UI443898/UI442605</v>
      </c>
      <c r="F1234" t="str">
        <f>"Replacement Flags"</f>
        <v>Replacement Flags</v>
      </c>
      <c r="G1234" s="3">
        <v>500</v>
      </c>
      <c r="H1234" t="str">
        <f>"USA Cotton"</f>
        <v>USA Cotton</v>
      </c>
    </row>
    <row r="1235" spans="1:9" x14ac:dyDescent="0.25">
      <c r="E1235" t="str">
        <f>""</f>
        <v/>
      </c>
      <c r="F1235" t="str">
        <f>""</f>
        <v/>
      </c>
      <c r="H1235" t="str">
        <f>"USA Nylon"</f>
        <v>USA Nylon</v>
      </c>
    </row>
    <row r="1236" spans="1:9" x14ac:dyDescent="0.25">
      <c r="E1236" t="str">
        <f>""</f>
        <v/>
      </c>
      <c r="F1236" t="str">
        <f>""</f>
        <v/>
      </c>
      <c r="H1236" t="str">
        <f>"Texas Cotton"</f>
        <v>Texas Cotton</v>
      </c>
    </row>
    <row r="1237" spans="1:9" x14ac:dyDescent="0.25">
      <c r="E1237" t="str">
        <f>""</f>
        <v/>
      </c>
      <c r="F1237" t="str">
        <f>""</f>
        <v/>
      </c>
      <c r="H1237" t="str">
        <f>"Texas Nylon"</f>
        <v>Texas Nylon</v>
      </c>
    </row>
    <row r="1238" spans="1:9" x14ac:dyDescent="0.25">
      <c r="A1238" t="s">
        <v>411</v>
      </c>
      <c r="B1238">
        <v>80056</v>
      </c>
      <c r="C1238" s="2">
        <v>3177.91</v>
      </c>
      <c r="D1238" s="1">
        <v>43444</v>
      </c>
      <c r="E1238" t="str">
        <f>"101524"</f>
        <v>101524</v>
      </c>
      <c r="F1238" t="str">
        <f t="shared" ref="F1238:F1243" si="15">"CUST#1574/PCT#4"</f>
        <v>CUST#1574/PCT#4</v>
      </c>
      <c r="G1238" s="3">
        <v>1152.05</v>
      </c>
      <c r="H1238" t="str">
        <f t="shared" ref="H1238:H1243" si="16">"CUST#1574/PCT#4"</f>
        <v>CUST#1574/PCT#4</v>
      </c>
    </row>
    <row r="1239" spans="1:9" x14ac:dyDescent="0.25">
      <c r="E1239" t="str">
        <f>"101733"</f>
        <v>101733</v>
      </c>
      <c r="F1239" t="str">
        <f t="shared" si="15"/>
        <v>CUST#1574/PCT#4</v>
      </c>
      <c r="G1239" s="3">
        <v>2025.86</v>
      </c>
      <c r="H1239" t="str">
        <f t="shared" si="16"/>
        <v>CUST#1574/PCT#4</v>
      </c>
    </row>
    <row r="1240" spans="1:9" x14ac:dyDescent="0.25">
      <c r="A1240" t="s">
        <v>411</v>
      </c>
      <c r="B1240">
        <v>80254</v>
      </c>
      <c r="C1240" s="2">
        <v>8311.5499999999993</v>
      </c>
      <c r="D1240" s="1">
        <v>43461</v>
      </c>
      <c r="E1240" t="str">
        <f>"102693"</f>
        <v>102693</v>
      </c>
      <c r="F1240" t="str">
        <f t="shared" si="15"/>
        <v>CUST#1574/PCT#4</v>
      </c>
      <c r="G1240" s="3">
        <v>1090.69</v>
      </c>
      <c r="H1240" t="str">
        <f t="shared" si="16"/>
        <v>CUST#1574/PCT#4</v>
      </c>
    </row>
    <row r="1241" spans="1:9" x14ac:dyDescent="0.25">
      <c r="E1241" t="str">
        <f>"103420"</f>
        <v>103420</v>
      </c>
      <c r="F1241" t="str">
        <f t="shared" si="15"/>
        <v>CUST#1574/PCT#4</v>
      </c>
      <c r="G1241" s="3">
        <v>806.4</v>
      </c>
      <c r="H1241" t="str">
        <f t="shared" si="16"/>
        <v>CUST#1574/PCT#4</v>
      </c>
    </row>
    <row r="1242" spans="1:9" x14ac:dyDescent="0.25">
      <c r="E1242" t="str">
        <f>"103687"</f>
        <v>103687</v>
      </c>
      <c r="F1242" t="str">
        <f t="shared" si="15"/>
        <v>CUST#1574/PCT#4</v>
      </c>
      <c r="G1242" s="3">
        <v>1648</v>
      </c>
      <c r="H1242" t="str">
        <f t="shared" si="16"/>
        <v>CUST#1574/PCT#4</v>
      </c>
    </row>
    <row r="1243" spans="1:9" x14ac:dyDescent="0.25">
      <c r="E1243" t="str">
        <f>"103878"</f>
        <v>103878</v>
      </c>
      <c r="F1243" t="str">
        <f t="shared" si="15"/>
        <v>CUST#1574/PCT#4</v>
      </c>
      <c r="G1243" s="3">
        <v>1673.73</v>
      </c>
      <c r="H1243" t="str">
        <f t="shared" si="16"/>
        <v>CUST#1574/PCT#4</v>
      </c>
    </row>
    <row r="1244" spans="1:9" x14ac:dyDescent="0.25">
      <c r="E1244" t="str">
        <f>"104104"</f>
        <v>104104</v>
      </c>
      <c r="F1244" t="str">
        <f>"HARD STONE / PCT #4"</f>
        <v>HARD STONE / PCT #4</v>
      </c>
      <c r="G1244" s="3">
        <v>1972.99</v>
      </c>
      <c r="H1244" t="str">
        <f>"HARD STONE / PCT #4"</f>
        <v>HARD STONE / PCT #4</v>
      </c>
    </row>
    <row r="1245" spans="1:9" x14ac:dyDescent="0.25">
      <c r="E1245" t="str">
        <f>"104359"</f>
        <v>104359</v>
      </c>
      <c r="F1245" t="str">
        <f>"HARD STONE / PCT #4"</f>
        <v>HARD STONE / PCT #4</v>
      </c>
      <c r="G1245" s="3">
        <v>1119.74</v>
      </c>
      <c r="H1245" t="str">
        <f>"HARD STONE / PCT #4"</f>
        <v>HARD STONE / PCT #4</v>
      </c>
    </row>
    <row r="1246" spans="1:9" x14ac:dyDescent="0.25">
      <c r="A1246" t="s">
        <v>412</v>
      </c>
      <c r="B1246">
        <v>80092</v>
      </c>
      <c r="C1246" s="2">
        <v>15</v>
      </c>
      <c r="D1246" s="1">
        <v>43451</v>
      </c>
      <c r="E1246" t="str">
        <f>"201812175847"</f>
        <v>201812175847</v>
      </c>
      <c r="F1246" t="str">
        <f>"TITLE APPLICATION FEE"</f>
        <v>TITLE APPLICATION FEE</v>
      </c>
      <c r="G1246" s="3">
        <v>15</v>
      </c>
      <c r="H1246" t="str">
        <f>"TITLE APPLICATION FEE"</f>
        <v>TITLE APPLICATION FEE</v>
      </c>
    </row>
    <row r="1247" spans="1:9" x14ac:dyDescent="0.25">
      <c r="A1247" t="s">
        <v>413</v>
      </c>
      <c r="B1247">
        <v>80255</v>
      </c>
      <c r="C1247" s="2">
        <v>13</v>
      </c>
      <c r="D1247" s="1">
        <v>43461</v>
      </c>
      <c r="E1247" t="str">
        <f>"CRS-201810-157097"</f>
        <v>CRS-201810-157097</v>
      </c>
      <c r="F1247" t="str">
        <f>"SECURE SITE CCH NAME SEARCH"</f>
        <v>SECURE SITE CCH NAME SEARCH</v>
      </c>
      <c r="G1247" s="3">
        <v>13</v>
      </c>
      <c r="H1247" t="str">
        <f>"SECURE SITE CCH NAME SEARCH"</f>
        <v>SECURE SITE CCH NAME SEARCH</v>
      </c>
    </row>
    <row r="1248" spans="1:9" x14ac:dyDescent="0.25">
      <c r="A1248" t="s">
        <v>413</v>
      </c>
      <c r="B1248">
        <v>80256</v>
      </c>
      <c r="C1248" s="2">
        <v>190</v>
      </c>
      <c r="D1248" s="1">
        <v>43461</v>
      </c>
      <c r="E1248" t="s">
        <v>414</v>
      </c>
      <c r="F1248" t="s">
        <v>415</v>
      </c>
      <c r="G1248" s="3" t="str">
        <f>"RESTITUTION-KAREN SWEENY"</f>
        <v>RESTITUTION-KAREN SWEENY</v>
      </c>
      <c r="H1248" t="str">
        <f>"210-0000"</f>
        <v>210-0000</v>
      </c>
      <c r="I1248" t="str">
        <f>""</f>
        <v/>
      </c>
    </row>
    <row r="1249" spans="1:9" x14ac:dyDescent="0.25">
      <c r="E1249" t="s">
        <v>247</v>
      </c>
      <c r="F1249" t="s">
        <v>416</v>
      </c>
      <c r="G1249" s="3" t="str">
        <f>"RESTITUTION-SHAWN RIDDLE"</f>
        <v>RESTITUTION-SHAWN RIDDLE</v>
      </c>
      <c r="H1249" t="str">
        <f>"210-0000"</f>
        <v>210-0000</v>
      </c>
      <c r="I1249" t="str">
        <f>""</f>
        <v/>
      </c>
    </row>
    <row r="1250" spans="1:9" x14ac:dyDescent="0.25">
      <c r="E1250" t="s">
        <v>247</v>
      </c>
      <c r="F1250" t="s">
        <v>417</v>
      </c>
      <c r="G1250" s="3" t="str">
        <f>"RESTITUTION-LACEE CARPENTER"</f>
        <v>RESTITUTION-LACEE CARPENTER</v>
      </c>
      <c r="H1250" t="str">
        <f>"210-0000"</f>
        <v>210-0000</v>
      </c>
      <c r="I1250" t="str">
        <f>""</f>
        <v/>
      </c>
    </row>
    <row r="1251" spans="1:9" x14ac:dyDescent="0.25">
      <c r="A1251" t="s">
        <v>418</v>
      </c>
      <c r="B1251">
        <v>80057</v>
      </c>
      <c r="C1251" s="2">
        <v>500</v>
      </c>
      <c r="D1251" s="1">
        <v>43444</v>
      </c>
      <c r="E1251" t="str">
        <f>"9354"</f>
        <v>9354</v>
      </c>
      <c r="F1251" t="str">
        <f>"MEMBERSHIP RENEWAL"</f>
        <v>MEMBERSHIP RENEWAL</v>
      </c>
      <c r="G1251" s="3">
        <v>500</v>
      </c>
      <c r="H1251" t="str">
        <f>"MEMBERSHIP RENEWAL"</f>
        <v>MEMBERSHIP RENEWAL</v>
      </c>
    </row>
    <row r="1252" spans="1:9" x14ac:dyDescent="0.25">
      <c r="A1252" t="s">
        <v>419</v>
      </c>
      <c r="B1252">
        <v>80058</v>
      </c>
      <c r="C1252" s="2">
        <v>171.21</v>
      </c>
      <c r="D1252" s="1">
        <v>43444</v>
      </c>
      <c r="E1252" t="str">
        <f>"NP54827890"</f>
        <v>NP54827890</v>
      </c>
      <c r="F1252" t="str">
        <f>"Acct# BG361495"</f>
        <v>Acct# BG361495</v>
      </c>
      <c r="G1252" s="3">
        <v>171.21</v>
      </c>
      <c r="H1252" t="str">
        <f>"fuel"</f>
        <v>fuel</v>
      </c>
    </row>
    <row r="1253" spans="1:9" x14ac:dyDescent="0.25">
      <c r="E1253" t="str">
        <f>""</f>
        <v/>
      </c>
      <c r="F1253" t="str">
        <f>""</f>
        <v/>
      </c>
      <c r="H1253" t="str">
        <f>"fuel"</f>
        <v>fuel</v>
      </c>
    </row>
    <row r="1254" spans="1:9" x14ac:dyDescent="0.25">
      <c r="E1254" t="str">
        <f>""</f>
        <v/>
      </c>
      <c r="F1254" t="str">
        <f>""</f>
        <v/>
      </c>
      <c r="H1254" t="str">
        <f>"Fuel"</f>
        <v>Fuel</v>
      </c>
    </row>
    <row r="1255" spans="1:9" x14ac:dyDescent="0.25">
      <c r="A1255" t="s">
        <v>420</v>
      </c>
      <c r="B1255">
        <v>80257</v>
      </c>
      <c r="C1255" s="2">
        <v>545</v>
      </c>
      <c r="D1255" s="1">
        <v>43461</v>
      </c>
      <c r="E1255" t="str">
        <f>"3112"</f>
        <v>3112</v>
      </c>
      <c r="F1255" t="str">
        <f>"TRAINING"</f>
        <v>TRAINING</v>
      </c>
      <c r="G1255" s="3">
        <v>545</v>
      </c>
      <c r="H1255" t="str">
        <f>"TRAINING"</f>
        <v>TRAINING</v>
      </c>
    </row>
    <row r="1256" spans="1:9" x14ac:dyDescent="0.25">
      <c r="A1256" t="s">
        <v>421</v>
      </c>
      <c r="B1256">
        <v>80059</v>
      </c>
      <c r="C1256" s="2">
        <v>949</v>
      </c>
      <c r="D1256" s="1">
        <v>43444</v>
      </c>
      <c r="E1256" t="str">
        <f>"1CO-0355-18"</f>
        <v>1CO-0355-18</v>
      </c>
      <c r="F1256" t="str">
        <f>"A8245824 - J. SANDEL"</f>
        <v>A8245824 - J. SANDEL</v>
      </c>
      <c r="G1256" s="3">
        <v>133</v>
      </c>
      <c r="H1256" t="str">
        <f>"A8245824 - J. SANDEL"</f>
        <v>A8245824 - J. SANDEL</v>
      </c>
    </row>
    <row r="1257" spans="1:9" x14ac:dyDescent="0.25">
      <c r="E1257" t="str">
        <f>"1CO-0406-18"</f>
        <v>1CO-0406-18</v>
      </c>
      <c r="F1257" t="str">
        <f>"A8245762 - J. EVERHEART"</f>
        <v>A8245762 - J. EVERHEART</v>
      </c>
      <c r="G1257" s="3">
        <v>157.25</v>
      </c>
      <c r="H1257" t="str">
        <f>"A8245762 - J. EVERHEART"</f>
        <v>A8245762 - J. EVERHEART</v>
      </c>
    </row>
    <row r="1258" spans="1:9" x14ac:dyDescent="0.25">
      <c r="E1258" t="str">
        <f>"1CO-0491-18"</f>
        <v>1CO-0491-18</v>
      </c>
      <c r="F1258" t="str">
        <f>"A8245834 - J. HURLEY"</f>
        <v>A8245834 - J. HURLEY</v>
      </c>
      <c r="G1258" s="3">
        <v>157.25</v>
      </c>
      <c r="H1258" t="str">
        <f>"A8245834 - J. HURLEY"</f>
        <v>A8245834 - J. HURLEY</v>
      </c>
    </row>
    <row r="1259" spans="1:9" x14ac:dyDescent="0.25">
      <c r="E1259" t="str">
        <f>"J2-55931"</f>
        <v>J2-55931</v>
      </c>
      <c r="F1259" t="str">
        <f>"A13323-T. HEINZKE"</f>
        <v>A13323-T. HEINZKE</v>
      </c>
      <c r="G1259" s="3">
        <v>114.75</v>
      </c>
      <c r="H1259" t="str">
        <f>"A13323-T. HEINZKE"</f>
        <v>A13323-T. HEINZKE</v>
      </c>
    </row>
    <row r="1260" spans="1:9" x14ac:dyDescent="0.25">
      <c r="E1260" t="str">
        <f>"J2-58319"</f>
        <v>J2-58319</v>
      </c>
      <c r="F1260" t="str">
        <f>"A8271000-J. MENDEZ"</f>
        <v>A8271000-J. MENDEZ</v>
      </c>
      <c r="G1260" s="3">
        <v>114.75</v>
      </c>
      <c r="H1260" t="str">
        <f>"A8271000-J. MENDEZ"</f>
        <v>A8271000-J. MENDEZ</v>
      </c>
    </row>
    <row r="1261" spans="1:9" x14ac:dyDescent="0.25">
      <c r="E1261" t="str">
        <f>"J2-59775"</f>
        <v>J2-59775</v>
      </c>
      <c r="F1261" t="str">
        <f>"A82455831-B. ROW JR"</f>
        <v>A82455831-B. ROW JR</v>
      </c>
      <c r="G1261" s="3">
        <v>157.25</v>
      </c>
      <c r="H1261" t="str">
        <f>"A82455831-B. ROW JR"</f>
        <v>A82455831-B. ROW JR</v>
      </c>
    </row>
    <row r="1262" spans="1:9" x14ac:dyDescent="0.25">
      <c r="E1262" t="str">
        <f>"J2-60148"</f>
        <v>J2-60148</v>
      </c>
      <c r="F1262" t="str">
        <f>"A8245772-B. ROW JR."</f>
        <v>A8245772-B. ROW JR.</v>
      </c>
      <c r="G1262" s="3">
        <v>114.75</v>
      </c>
      <c r="H1262" t="str">
        <f>"A8245772"</f>
        <v>A8245772</v>
      </c>
    </row>
    <row r="1263" spans="1:9" x14ac:dyDescent="0.25">
      <c r="A1263" t="s">
        <v>421</v>
      </c>
      <c r="B1263">
        <v>80258</v>
      </c>
      <c r="C1263" s="2">
        <v>382.5</v>
      </c>
      <c r="D1263" s="1">
        <v>43461</v>
      </c>
      <c r="E1263" t="str">
        <f>"3CO-4563-18"</f>
        <v>3CO-4563-18</v>
      </c>
      <c r="F1263" t="str">
        <f>"A8245780  W.M. FRANZ"</f>
        <v>A8245780  W.M. FRANZ</v>
      </c>
      <c r="G1263" s="3">
        <v>382.5</v>
      </c>
      <c r="H1263" t="str">
        <f>"A8245780  W.M. FRANZ"</f>
        <v>A8245780  W.M. FRANZ</v>
      </c>
    </row>
    <row r="1264" spans="1:9" x14ac:dyDescent="0.25">
      <c r="A1264" t="s">
        <v>422</v>
      </c>
      <c r="B1264">
        <v>80259</v>
      </c>
      <c r="C1264" s="2">
        <v>738.84</v>
      </c>
      <c r="D1264" s="1">
        <v>43461</v>
      </c>
      <c r="E1264" t="str">
        <f>"201812195977"</f>
        <v>201812195977</v>
      </c>
      <c r="F1264" t="str">
        <f>"INDIGENT HEALTH"</f>
        <v>INDIGENT HEALTH</v>
      </c>
      <c r="G1264" s="3">
        <v>738.84</v>
      </c>
      <c r="H1264" t="str">
        <f>"INDIGENT HEALTH"</f>
        <v>INDIGENT HEALTH</v>
      </c>
    </row>
    <row r="1265" spans="1:8" x14ac:dyDescent="0.25">
      <c r="E1265" t="str">
        <f>""</f>
        <v/>
      </c>
      <c r="F1265" t="str">
        <f>""</f>
        <v/>
      </c>
      <c r="H1265" t="str">
        <f>"INDIGENT HEALTH"</f>
        <v>INDIGENT HEALTH</v>
      </c>
    </row>
    <row r="1266" spans="1:8" x14ac:dyDescent="0.25">
      <c r="A1266" t="s">
        <v>423</v>
      </c>
      <c r="B1266">
        <v>80060</v>
      </c>
      <c r="C1266" s="2">
        <v>1662.63</v>
      </c>
      <c r="D1266" s="1">
        <v>43444</v>
      </c>
      <c r="E1266" t="str">
        <f>"83715"</f>
        <v>83715</v>
      </c>
      <c r="F1266" t="str">
        <f>"ACCT#188757/RD &amp; BRIDGE/SIGN"</f>
        <v>ACCT#188757/RD &amp; BRIDGE/SIGN</v>
      </c>
      <c r="G1266" s="3">
        <v>95</v>
      </c>
      <c r="H1266" t="str">
        <f>"ACCT#188757/RD &amp; BRIDGE/SIGN"</f>
        <v>ACCT#188757/RD &amp; BRIDGE/SIGN</v>
      </c>
    </row>
    <row r="1267" spans="1:8" x14ac:dyDescent="0.25">
      <c r="E1267" t="str">
        <f>"83725"</f>
        <v>83725</v>
      </c>
      <c r="F1267" t="str">
        <f>"ACCT#188757/JUVENILE BOOT CAMP"</f>
        <v>ACCT#188757/JUVENILE BOOT CAMP</v>
      </c>
      <c r="G1267" s="3">
        <v>118.5</v>
      </c>
      <c r="H1267" t="str">
        <f>"ACCT#188757/JUVENILE BOOT CAMP"</f>
        <v>ACCT#188757/JUVENILE BOOT CAMP</v>
      </c>
    </row>
    <row r="1268" spans="1:8" x14ac:dyDescent="0.25">
      <c r="E1268" t="str">
        <f>"83825"</f>
        <v>83825</v>
      </c>
      <c r="F1268" t="str">
        <f>"ACCT#188757/MIKE FISHER BLDG"</f>
        <v>ACCT#188757/MIKE FISHER BLDG</v>
      </c>
      <c r="G1268" s="3">
        <v>112</v>
      </c>
      <c r="H1268" t="str">
        <f>"ACCT#188757/MIKE FISHER BLDG"</f>
        <v>ACCT#188757/MIKE FISHER BLDG</v>
      </c>
    </row>
    <row r="1269" spans="1:8" x14ac:dyDescent="0.25">
      <c r="E1269" t="str">
        <f>"83843"</f>
        <v>83843</v>
      </c>
      <c r="F1269" t="str">
        <f>"ACCT#188757/AT RISK JUVENILE B"</f>
        <v>ACCT#188757/AT RISK JUVENILE B</v>
      </c>
      <c r="G1269" s="3">
        <v>270.63</v>
      </c>
      <c r="H1269" t="str">
        <f>"ACCT#188757/AT RISK JUVENILE B"</f>
        <v>ACCT#188757/AT RISK JUVENILE B</v>
      </c>
    </row>
    <row r="1270" spans="1:8" x14ac:dyDescent="0.25">
      <c r="E1270" t="str">
        <f>"84017"</f>
        <v>84017</v>
      </c>
      <c r="F1270" t="str">
        <f>"ACCT#188757/JUVENILE PROBATION"</f>
        <v>ACCT#188757/JUVENILE PROBATION</v>
      </c>
      <c r="G1270" s="3">
        <v>132</v>
      </c>
      <c r="H1270" t="str">
        <f>"ACCT#188757/JUVENILE PROBATION"</f>
        <v>ACCT#188757/JUVENILE PROBATION</v>
      </c>
    </row>
    <row r="1271" spans="1:8" x14ac:dyDescent="0.25">
      <c r="E1271" t="str">
        <f>"84041"</f>
        <v>84041</v>
      </c>
      <c r="F1271" t="str">
        <f>"ACCT#188757/HISTORIC JAIL"</f>
        <v>ACCT#188757/HISTORIC JAIL</v>
      </c>
      <c r="G1271" s="3">
        <v>76</v>
      </c>
      <c r="H1271" t="str">
        <f>"ACCT#188757/HISTORIC JAIL"</f>
        <v>ACCT#188757/HISTORIC JAIL</v>
      </c>
    </row>
    <row r="1272" spans="1:8" x14ac:dyDescent="0.25">
      <c r="E1272" t="str">
        <f>"84042"</f>
        <v>84042</v>
      </c>
      <c r="F1272" t="str">
        <f>"ACCT#188757/COURTHOUSE (MAIN &amp;"</f>
        <v>ACCT#188757/COURTHOUSE (MAIN &amp;</v>
      </c>
      <c r="G1272" s="3">
        <v>137</v>
      </c>
      <c r="H1272" t="str">
        <f>"ACCT#188757/COURTHOUSE (MAIN &amp;"</f>
        <v>ACCT#188757/COURTHOUSE (MAIN &amp;</v>
      </c>
    </row>
    <row r="1273" spans="1:8" x14ac:dyDescent="0.25">
      <c r="E1273" t="str">
        <f>"84056"</f>
        <v>84056</v>
      </c>
      <c r="F1273" t="str">
        <f>"ACCT#188757/EXT HABITAT OFFICE"</f>
        <v>ACCT#188757/EXT HABITAT OFFICE</v>
      </c>
      <c r="G1273" s="3">
        <v>89</v>
      </c>
      <c r="H1273" t="str">
        <f>"ACCT#188757/EXT HABITAT OFFICE"</f>
        <v>ACCT#188757/EXT HABITAT OFFICE</v>
      </c>
    </row>
    <row r="1274" spans="1:8" x14ac:dyDescent="0.25">
      <c r="E1274" t="str">
        <f>"84359"</f>
        <v>84359</v>
      </c>
      <c r="F1274" t="str">
        <f>"ACCT#188757/COUNTY TAX OFFICE"</f>
        <v>ACCT#188757/COUNTY TAX OFFICE</v>
      </c>
      <c r="G1274" s="3">
        <v>102</v>
      </c>
      <c r="H1274" t="str">
        <f>"ACCT#188757/COUNTY TAX OFFICE"</f>
        <v>ACCT#188757/COUNTY TAX OFFICE</v>
      </c>
    </row>
    <row r="1275" spans="1:8" x14ac:dyDescent="0.25">
      <c r="E1275" t="str">
        <f>"84410"</f>
        <v>84410</v>
      </c>
      <c r="F1275" t="str">
        <f>"ACCT#188757/LBJ BLDG/HLTH DPT"</f>
        <v>ACCT#188757/LBJ BLDG/HLTH DPT</v>
      </c>
      <c r="G1275" s="3">
        <v>69</v>
      </c>
      <c r="H1275" t="str">
        <f>"ACCT#188757/LBJ BLDG/HLTH DPT"</f>
        <v>ACCT#188757/LBJ BLDG/HLTH DPT</v>
      </c>
    </row>
    <row r="1276" spans="1:8" x14ac:dyDescent="0.25">
      <c r="E1276" t="str">
        <f>"84412"</f>
        <v>84412</v>
      </c>
      <c r="F1276" t="str">
        <f>"ACCT#188757/PCT#4 RD &amp; BRIDGE"</f>
        <v>ACCT#188757/PCT#4 RD &amp; BRIDGE</v>
      </c>
      <c r="G1276" s="3">
        <v>95.5</v>
      </c>
      <c r="H1276" t="str">
        <f>"ACCT#188757/PCT#4 RD &amp; BRIDGE"</f>
        <v>ACCT#188757/PCT#4 RD &amp; BRIDGE</v>
      </c>
    </row>
    <row r="1277" spans="1:8" x14ac:dyDescent="0.25">
      <c r="E1277" t="str">
        <f>"84467"</f>
        <v>84467</v>
      </c>
      <c r="F1277" t="str">
        <f>"ACCT#188757/ANIMAL SHELTER"</f>
        <v>ACCT#188757/ANIMAL SHELTER</v>
      </c>
      <c r="G1277" s="3">
        <v>290</v>
      </c>
      <c r="H1277" t="str">
        <f>"ACCT#188757/ANIMAL SHELTER"</f>
        <v>ACCT#188757/ANIMAL SHELTER</v>
      </c>
    </row>
    <row r="1278" spans="1:8" x14ac:dyDescent="0.25">
      <c r="E1278" t="str">
        <f>"84711"</f>
        <v>84711</v>
      </c>
      <c r="F1278" t="str">
        <f>"ACCT#188757/DPS/TDL"</f>
        <v>ACCT#188757/DPS/TDL</v>
      </c>
      <c r="G1278" s="3">
        <v>76</v>
      </c>
      <c r="H1278" t="str">
        <f>"ACCT#188757/DPS/TDL"</f>
        <v>ACCT#188757/DPS/TDL</v>
      </c>
    </row>
    <row r="1279" spans="1:8" x14ac:dyDescent="0.25">
      <c r="A1279" t="s">
        <v>424</v>
      </c>
      <c r="B1279">
        <v>80260</v>
      </c>
      <c r="C1279" s="2">
        <v>500</v>
      </c>
      <c r="D1279" s="1">
        <v>43461</v>
      </c>
      <c r="E1279" t="str">
        <f>"201812115690"</f>
        <v>201812115690</v>
      </c>
      <c r="F1279" t="str">
        <f>"55312"</f>
        <v>55312</v>
      </c>
      <c r="G1279" s="3">
        <v>250</v>
      </c>
      <c r="H1279" t="str">
        <f>"55312"</f>
        <v>55312</v>
      </c>
    </row>
    <row r="1280" spans="1:8" x14ac:dyDescent="0.25">
      <c r="E1280" t="str">
        <f>"201812115691"</f>
        <v>201812115691</v>
      </c>
      <c r="F1280" t="str">
        <f>"56 557"</f>
        <v>56 557</v>
      </c>
      <c r="G1280" s="3">
        <v>250</v>
      </c>
      <c r="H1280" t="str">
        <f>"56 557"</f>
        <v>56 557</v>
      </c>
    </row>
    <row r="1281" spans="1:8" x14ac:dyDescent="0.25">
      <c r="A1281" t="s">
        <v>425</v>
      </c>
      <c r="B1281">
        <v>169</v>
      </c>
      <c r="C1281" s="2">
        <v>1275</v>
      </c>
      <c r="D1281" s="1">
        <v>43445</v>
      </c>
      <c r="E1281" t="str">
        <f>"201811285315"</f>
        <v>201811285315</v>
      </c>
      <c r="F1281" t="str">
        <f>"16 494"</f>
        <v>16 494</v>
      </c>
      <c r="G1281" s="3">
        <v>400</v>
      </c>
      <c r="H1281" t="str">
        <f>"16 494"</f>
        <v>16 494</v>
      </c>
    </row>
    <row r="1282" spans="1:8" x14ac:dyDescent="0.25">
      <c r="E1282" t="str">
        <f>"201811285316"</f>
        <v>201811285316</v>
      </c>
      <c r="F1282" t="str">
        <f>"16 034"</f>
        <v>16 034</v>
      </c>
      <c r="G1282" s="3">
        <v>400</v>
      </c>
      <c r="H1282" t="str">
        <f>"16 034"</f>
        <v>16 034</v>
      </c>
    </row>
    <row r="1283" spans="1:8" x14ac:dyDescent="0.25">
      <c r="E1283" t="str">
        <f>"201811285317"</f>
        <v>201811285317</v>
      </c>
      <c r="F1283" t="str">
        <f>"JP408058-6  993-335"</f>
        <v>JP408058-6  993-335</v>
      </c>
      <c r="G1283" s="3">
        <v>100</v>
      </c>
      <c r="H1283" t="str">
        <f>"JP408058-6  993-335"</f>
        <v>JP408058-6  993-335</v>
      </c>
    </row>
    <row r="1284" spans="1:8" x14ac:dyDescent="0.25">
      <c r="E1284" t="str">
        <f>"201812045552"</f>
        <v>201812045552</v>
      </c>
      <c r="F1284" t="str">
        <f>"56 506/JP-02-0112-4"</f>
        <v>56 506/JP-02-0112-4</v>
      </c>
      <c r="G1284" s="3">
        <v>375</v>
      </c>
      <c r="H1284" t="str">
        <f>"56 506/JP-02-0112-4"</f>
        <v>56 506/JP-02-0112-4</v>
      </c>
    </row>
    <row r="1285" spans="1:8" x14ac:dyDescent="0.25">
      <c r="A1285" t="s">
        <v>425</v>
      </c>
      <c r="B1285">
        <v>220</v>
      </c>
      <c r="C1285" s="2">
        <v>2000</v>
      </c>
      <c r="D1285" s="1">
        <v>43462</v>
      </c>
      <c r="E1285" t="str">
        <f>"201812125698"</f>
        <v>201812125698</v>
      </c>
      <c r="F1285" t="str">
        <f>"1002-335"</f>
        <v>1002-335</v>
      </c>
      <c r="G1285" s="3">
        <v>100</v>
      </c>
      <c r="H1285" t="str">
        <f>"1002-335"</f>
        <v>1002-335</v>
      </c>
    </row>
    <row r="1286" spans="1:8" x14ac:dyDescent="0.25">
      <c r="E1286" t="str">
        <f>"201812125702"</f>
        <v>201812125702</v>
      </c>
      <c r="F1286" t="str">
        <f>"16 330"</f>
        <v>16 330</v>
      </c>
      <c r="G1286" s="3">
        <v>400</v>
      </c>
      <c r="H1286" t="str">
        <f>"16 330"</f>
        <v>16 330</v>
      </c>
    </row>
    <row r="1287" spans="1:8" x14ac:dyDescent="0.25">
      <c r="E1287" t="str">
        <f>"201812125703"</f>
        <v>201812125703</v>
      </c>
      <c r="F1287" t="str">
        <f>"13 606"</f>
        <v>13 606</v>
      </c>
      <c r="G1287" s="3">
        <v>400</v>
      </c>
      <c r="H1287" t="str">
        <f>"13 606"</f>
        <v>13 606</v>
      </c>
    </row>
    <row r="1288" spans="1:8" x14ac:dyDescent="0.25">
      <c r="E1288" t="str">
        <f>"201812145841"</f>
        <v>201812145841</v>
      </c>
      <c r="F1288" t="str">
        <f>"16 444  1JP51718  J2-0728-3"</f>
        <v>16 444  1JP51718  J2-0728-3</v>
      </c>
      <c r="G1288" s="3">
        <v>1100</v>
      </c>
      <c r="H1288" t="str">
        <f>"16 444  1JP51718  J2-0728-3"</f>
        <v>16 444  1JP51718  J2-0728-3</v>
      </c>
    </row>
    <row r="1289" spans="1:8" x14ac:dyDescent="0.25">
      <c r="A1289" t="s">
        <v>426</v>
      </c>
      <c r="B1289">
        <v>80061</v>
      </c>
      <c r="C1289" s="2">
        <v>638.4</v>
      </c>
      <c r="D1289" s="1">
        <v>43444</v>
      </c>
      <c r="E1289" t="str">
        <f>"000547185"</f>
        <v>000547185</v>
      </c>
      <c r="F1289" t="str">
        <f>"ACCT#4812W1083/POL#15R29980-ZA"</f>
        <v>ACCT#4812W1083/POL#15R29980-ZA</v>
      </c>
      <c r="G1289" s="3">
        <v>638.4</v>
      </c>
      <c r="H1289" t="str">
        <f>"ACCT#4812W1083/POL#15R29980-ZA"</f>
        <v>ACCT#4812W1083/POL#15R29980-ZA</v>
      </c>
    </row>
    <row r="1290" spans="1:8" x14ac:dyDescent="0.25">
      <c r="A1290" t="s">
        <v>426</v>
      </c>
      <c r="B1290">
        <v>80261</v>
      </c>
      <c r="C1290" s="2">
        <v>924</v>
      </c>
      <c r="D1290" s="1">
        <v>43461</v>
      </c>
      <c r="E1290" t="str">
        <f>"4812W1083"</f>
        <v>4812W1083</v>
      </c>
      <c r="F1290" t="str">
        <f>"POLICY#15R29980-ZAS/BILL#54879"</f>
        <v>POLICY#15R29980-ZAS/BILL#54879</v>
      </c>
      <c r="G1290" s="3">
        <v>924</v>
      </c>
      <c r="H1290" t="str">
        <f>"POLICY#15R29980-ZAS/BILL#54879"</f>
        <v>POLICY#15R29980-ZAS/BILL#54879</v>
      </c>
    </row>
    <row r="1291" spans="1:8" x14ac:dyDescent="0.25">
      <c r="A1291" t="s">
        <v>427</v>
      </c>
      <c r="B1291">
        <v>80062</v>
      </c>
      <c r="C1291" s="2">
        <v>427.95</v>
      </c>
      <c r="D1291" s="1">
        <v>43444</v>
      </c>
      <c r="E1291" t="str">
        <f>"IN00392546"</f>
        <v>IN00392546</v>
      </c>
      <c r="F1291" t="str">
        <f>"BLOOD ALCOHOL KITS"</f>
        <v>BLOOD ALCOHOL KITS</v>
      </c>
      <c r="G1291" s="3">
        <v>427.95</v>
      </c>
      <c r="H1291" t="str">
        <f>"BLOOD ALCOHOL KITS"</f>
        <v>BLOOD ALCOHOL KITS</v>
      </c>
    </row>
    <row r="1292" spans="1:8" x14ac:dyDescent="0.25">
      <c r="E1292" t="str">
        <f>""</f>
        <v/>
      </c>
      <c r="F1292" t="str">
        <f>""</f>
        <v/>
      </c>
      <c r="H1292" t="str">
        <f>"FREIGHT"</f>
        <v>FREIGHT</v>
      </c>
    </row>
    <row r="1293" spans="1:8" x14ac:dyDescent="0.25">
      <c r="A1293" t="s">
        <v>428</v>
      </c>
      <c r="B1293">
        <v>80262</v>
      </c>
      <c r="C1293" s="2">
        <v>892.5</v>
      </c>
      <c r="D1293" s="1">
        <v>43461</v>
      </c>
      <c r="E1293" t="str">
        <f>"839342873"</f>
        <v>839342873</v>
      </c>
      <c r="F1293" t="str">
        <f>"ACCT#1005022937/WEST INFO CHGS"</f>
        <v>ACCT#1005022937/WEST INFO CHGS</v>
      </c>
      <c r="G1293" s="3">
        <v>892.5</v>
      </c>
      <c r="H1293" t="str">
        <f>"ACCT#1005022937/WEST INFO CHGS"</f>
        <v>ACCT#1005022937/WEST INFO CHGS</v>
      </c>
    </row>
    <row r="1294" spans="1:8" x14ac:dyDescent="0.25">
      <c r="A1294" t="s">
        <v>429</v>
      </c>
      <c r="B1294">
        <v>80063</v>
      </c>
      <c r="C1294" s="2">
        <v>11405.67</v>
      </c>
      <c r="D1294" s="1">
        <v>43444</v>
      </c>
      <c r="E1294" t="str">
        <f>"201812045523"</f>
        <v>201812045523</v>
      </c>
      <c r="F1294" t="str">
        <f>"ACCT#8260163000003669"</f>
        <v>ACCT#8260163000003669</v>
      </c>
      <c r="G1294" s="3">
        <v>11405.67</v>
      </c>
      <c r="H1294" t="str">
        <f>"ACCT#8260163000003669"</f>
        <v>ACCT#8260163000003669</v>
      </c>
    </row>
    <row r="1295" spans="1:8" x14ac:dyDescent="0.25">
      <c r="E1295" t="str">
        <f>""</f>
        <v/>
      </c>
      <c r="F1295" t="str">
        <f>""</f>
        <v/>
      </c>
      <c r="H1295" t="str">
        <f>"ACCT#8260163000003669"</f>
        <v>ACCT#8260163000003669</v>
      </c>
    </row>
    <row r="1296" spans="1:8" x14ac:dyDescent="0.25">
      <c r="E1296" t="str">
        <f>""</f>
        <v/>
      </c>
      <c r="F1296" t="str">
        <f>""</f>
        <v/>
      </c>
      <c r="H1296" t="str">
        <f>"ACCT#8260163000003669"</f>
        <v>ACCT#8260163000003669</v>
      </c>
    </row>
    <row r="1297" spans="1:8" x14ac:dyDescent="0.25">
      <c r="A1297" t="s">
        <v>430</v>
      </c>
      <c r="B1297">
        <v>80064</v>
      </c>
      <c r="C1297" s="2">
        <v>1167.5999999999999</v>
      </c>
      <c r="D1297" s="1">
        <v>43444</v>
      </c>
      <c r="E1297" t="str">
        <f>"201812045564"</f>
        <v>201812045564</v>
      </c>
      <c r="F1297" t="str">
        <f>"Acct# 6035301200160982"</f>
        <v>Acct# 6035301200160982</v>
      </c>
      <c r="G1297" s="3">
        <v>1167.5999999999999</v>
      </c>
      <c r="H1297" t="str">
        <f>"Inv# 300503807"</f>
        <v>Inv# 300503807</v>
      </c>
    </row>
    <row r="1298" spans="1:8" x14ac:dyDescent="0.25">
      <c r="E1298" t="str">
        <f>""</f>
        <v/>
      </c>
      <c r="F1298" t="str">
        <f>""</f>
        <v/>
      </c>
      <c r="H1298" t="str">
        <f>"Inv# 200531967"</f>
        <v>Inv# 200531967</v>
      </c>
    </row>
    <row r="1299" spans="1:8" x14ac:dyDescent="0.25">
      <c r="E1299" t="str">
        <f>""</f>
        <v/>
      </c>
      <c r="F1299" t="str">
        <f>""</f>
        <v/>
      </c>
      <c r="H1299" t="str">
        <f>"Inv# 300498978"</f>
        <v>Inv# 300498978</v>
      </c>
    </row>
    <row r="1300" spans="1:8" x14ac:dyDescent="0.25">
      <c r="E1300" t="str">
        <f>""</f>
        <v/>
      </c>
      <c r="F1300" t="str">
        <f>""</f>
        <v/>
      </c>
      <c r="H1300" t="str">
        <f>"Inv# 300504760"</f>
        <v>Inv# 300504760</v>
      </c>
    </row>
    <row r="1301" spans="1:8" x14ac:dyDescent="0.25">
      <c r="E1301" t="str">
        <f>""</f>
        <v/>
      </c>
      <c r="F1301" t="str">
        <f>""</f>
        <v/>
      </c>
      <c r="H1301" t="str">
        <f>"Inv# 30048653"</f>
        <v>Inv# 30048653</v>
      </c>
    </row>
    <row r="1302" spans="1:8" x14ac:dyDescent="0.25">
      <c r="E1302" t="str">
        <f>""</f>
        <v/>
      </c>
      <c r="F1302" t="str">
        <f>""</f>
        <v/>
      </c>
      <c r="H1302" t="str">
        <f>"Inv# 200529147"</f>
        <v>Inv# 200529147</v>
      </c>
    </row>
    <row r="1303" spans="1:8" x14ac:dyDescent="0.25">
      <c r="E1303" t="str">
        <f>""</f>
        <v/>
      </c>
      <c r="F1303" t="str">
        <f>""</f>
        <v/>
      </c>
      <c r="H1303" t="str">
        <f>"Inv# 300501664"</f>
        <v>Inv# 300501664</v>
      </c>
    </row>
    <row r="1304" spans="1:8" x14ac:dyDescent="0.25">
      <c r="E1304" t="str">
        <f>""</f>
        <v/>
      </c>
      <c r="F1304" t="str">
        <f>""</f>
        <v/>
      </c>
      <c r="H1304" t="str">
        <f>"Inv# 100066367"</f>
        <v>Inv# 100066367</v>
      </c>
    </row>
    <row r="1305" spans="1:8" x14ac:dyDescent="0.25">
      <c r="A1305" t="s">
        <v>431</v>
      </c>
      <c r="B1305">
        <v>80065</v>
      </c>
      <c r="C1305" s="2">
        <v>295</v>
      </c>
      <c r="D1305" s="1">
        <v>43444</v>
      </c>
      <c r="E1305" t="str">
        <f>"11314  10/17/18"</f>
        <v>11314  10/17/18</v>
      </c>
      <c r="F1305" t="str">
        <f>"SERVICE"</f>
        <v>SERVICE</v>
      </c>
      <c r="G1305" s="3">
        <v>200</v>
      </c>
      <c r="H1305" t="str">
        <f>"SERVICE"</f>
        <v>SERVICE</v>
      </c>
    </row>
    <row r="1306" spans="1:8" x14ac:dyDescent="0.25">
      <c r="E1306" t="str">
        <f>"12149"</f>
        <v>12149</v>
      </c>
      <c r="F1306" t="str">
        <f>"SERVICE"</f>
        <v>SERVICE</v>
      </c>
      <c r="G1306" s="3">
        <v>75</v>
      </c>
      <c r="H1306" t="str">
        <f>"SERVICE"</f>
        <v>SERVICE</v>
      </c>
    </row>
    <row r="1307" spans="1:8" x14ac:dyDescent="0.25">
      <c r="E1307" t="str">
        <f>"12205"</f>
        <v>12205</v>
      </c>
      <c r="F1307" t="str">
        <f>"SERVICE"</f>
        <v>SERVICE</v>
      </c>
      <c r="G1307" s="3">
        <v>20</v>
      </c>
      <c r="H1307" t="str">
        <f>"SERVICE"</f>
        <v>SERVICE</v>
      </c>
    </row>
    <row r="1308" spans="1:8" x14ac:dyDescent="0.25">
      <c r="A1308" t="s">
        <v>432</v>
      </c>
      <c r="B1308">
        <v>80066</v>
      </c>
      <c r="C1308" s="2">
        <v>8700</v>
      </c>
      <c r="D1308" s="1">
        <v>43444</v>
      </c>
      <c r="E1308" t="str">
        <f>"3300001782"</f>
        <v>3300001782</v>
      </c>
      <c r="F1308" t="str">
        <f>"CUST#100009/INV#3300001782"</f>
        <v>CUST#100009/INV#3300001782</v>
      </c>
      <c r="G1308" s="3">
        <v>2900</v>
      </c>
      <c r="H1308" t="str">
        <f>"CUST#100009/INV#3300001782"</f>
        <v>CUST#100009/INV#3300001782</v>
      </c>
    </row>
    <row r="1309" spans="1:8" x14ac:dyDescent="0.25">
      <c r="E1309" t="str">
        <f>"3300001782 - 1"</f>
        <v>3300001782 - 1</v>
      </c>
      <c r="F1309" t="str">
        <f>"CUST#100009/INV#3300001782"</f>
        <v>CUST#100009/INV#3300001782</v>
      </c>
      <c r="G1309" s="3">
        <v>2900</v>
      </c>
      <c r="H1309" t="str">
        <f>"CUST#100009/INV#3300001782"</f>
        <v>CUST#100009/INV#3300001782</v>
      </c>
    </row>
    <row r="1310" spans="1:8" x14ac:dyDescent="0.25">
      <c r="E1310" t="str">
        <f>"3300001856"</f>
        <v>3300001856</v>
      </c>
      <c r="F1310" t="str">
        <f>"CUST#100010/INV#3300001856"</f>
        <v>CUST#100010/INV#3300001856</v>
      </c>
      <c r="G1310" s="3">
        <v>2900</v>
      </c>
      <c r="H1310" t="str">
        <f>"CUST#100010/INV#3300001856"</f>
        <v>CUST#100010/INV#3300001856</v>
      </c>
    </row>
    <row r="1311" spans="1:8" x14ac:dyDescent="0.25">
      <c r="A1311" t="s">
        <v>433</v>
      </c>
      <c r="B1311">
        <v>80067</v>
      </c>
      <c r="C1311" s="2">
        <v>75</v>
      </c>
      <c r="D1311" s="1">
        <v>43444</v>
      </c>
      <c r="E1311" t="str">
        <f>"201811305439"</f>
        <v>201811305439</v>
      </c>
      <c r="F1311" t="str">
        <f>"FERAL HOGS"</f>
        <v>FERAL HOGS</v>
      </c>
      <c r="G1311" s="3">
        <v>75</v>
      </c>
      <c r="H1311" t="str">
        <f>"FERAL HOGS"</f>
        <v>FERAL HOGS</v>
      </c>
    </row>
    <row r="1312" spans="1:8" x14ac:dyDescent="0.25">
      <c r="A1312" t="s">
        <v>434</v>
      </c>
      <c r="B1312">
        <v>171</v>
      </c>
      <c r="C1312" s="2">
        <v>1764.94</v>
      </c>
      <c r="D1312" s="1">
        <v>43445</v>
      </c>
      <c r="E1312" t="str">
        <f>"739304"</f>
        <v>739304</v>
      </c>
      <c r="F1312" t="str">
        <f>"INV 739304"</f>
        <v>INV 739304</v>
      </c>
      <c r="G1312" s="3">
        <v>397.28</v>
      </c>
      <c r="H1312" t="str">
        <f>"INV 739304"</f>
        <v>INV 739304</v>
      </c>
    </row>
    <row r="1313" spans="1:8" x14ac:dyDescent="0.25">
      <c r="E1313" t="str">
        <f>"739939"</f>
        <v>739939</v>
      </c>
      <c r="F1313" t="str">
        <f>"INV 739939"</f>
        <v>INV 739939</v>
      </c>
      <c r="G1313" s="3">
        <v>261.74</v>
      </c>
      <c r="H1313" t="str">
        <f>"INV 739939"</f>
        <v>INV 739939</v>
      </c>
    </row>
    <row r="1314" spans="1:8" x14ac:dyDescent="0.25">
      <c r="E1314" t="str">
        <f>"740334"</f>
        <v>740334</v>
      </c>
      <c r="F1314" t="str">
        <f>"INV 740334 UNIT 6502"</f>
        <v>INV 740334 UNIT 6502</v>
      </c>
      <c r="G1314" s="3">
        <v>552.96</v>
      </c>
      <c r="H1314" t="str">
        <f>"INV 740334 UNIT 6502"</f>
        <v>INV 740334 UNIT 6502</v>
      </c>
    </row>
    <row r="1315" spans="1:8" x14ac:dyDescent="0.25">
      <c r="E1315" t="str">
        <f>"740335"</f>
        <v>740335</v>
      </c>
      <c r="F1315" t="str">
        <f>"INV 740335 UNIT 1669"</f>
        <v>INV 740335 UNIT 1669</v>
      </c>
      <c r="G1315" s="3">
        <v>414.72</v>
      </c>
      <c r="H1315" t="str">
        <f>"INV 740335 UNIT 1669"</f>
        <v>INV 740335 UNIT 1669</v>
      </c>
    </row>
    <row r="1316" spans="1:8" x14ac:dyDescent="0.25">
      <c r="E1316" t="str">
        <f>"740336"</f>
        <v>740336</v>
      </c>
      <c r="F1316" t="str">
        <f>"INV 740336 UNIT 6535"</f>
        <v>INV 740336 UNIT 6535</v>
      </c>
      <c r="G1316" s="3">
        <v>138.24</v>
      </c>
      <c r="H1316" t="str">
        <f>"INV 740336 UNIT 6535"</f>
        <v>INV 740336 UNIT 6535</v>
      </c>
    </row>
    <row r="1317" spans="1:8" x14ac:dyDescent="0.25">
      <c r="A1317" t="s">
        <v>434</v>
      </c>
      <c r="B1317">
        <v>223</v>
      </c>
      <c r="C1317" s="2">
        <v>138.24</v>
      </c>
      <c r="D1317" s="1">
        <v>43462</v>
      </c>
      <c r="E1317" t="str">
        <f>"741985"</f>
        <v>741985</v>
      </c>
      <c r="F1317" t="str">
        <f>"INV 741985 / UNIT 7279"</f>
        <v>INV 741985 / UNIT 7279</v>
      </c>
      <c r="G1317" s="3">
        <v>138.24</v>
      </c>
      <c r="H1317" t="str">
        <f>"INV 741985 / UNIT 7279"</f>
        <v>INV 741985 / UNIT 7279</v>
      </c>
    </row>
    <row r="1318" spans="1:8" x14ac:dyDescent="0.25">
      <c r="A1318" t="s">
        <v>435</v>
      </c>
      <c r="B1318">
        <v>80263</v>
      </c>
      <c r="C1318" s="2">
        <v>81.180000000000007</v>
      </c>
      <c r="D1318" s="1">
        <v>43461</v>
      </c>
      <c r="E1318" t="str">
        <f>"201812195972"</f>
        <v>201812195972</v>
      </c>
      <c r="F1318" t="str">
        <f>"INDIGENT HEALTH"</f>
        <v>INDIGENT HEALTH</v>
      </c>
      <c r="G1318" s="3">
        <v>55.41</v>
      </c>
      <c r="H1318" t="str">
        <f>"INDIGENT HEALTH"</f>
        <v>INDIGENT HEALTH</v>
      </c>
    </row>
    <row r="1319" spans="1:8" x14ac:dyDescent="0.25">
      <c r="E1319" t="str">
        <f>"201812195978"</f>
        <v>201812195978</v>
      </c>
      <c r="F1319" t="str">
        <f>"INDIGENT HEALTH"</f>
        <v>INDIGENT HEALTH</v>
      </c>
      <c r="G1319" s="3">
        <v>25.77</v>
      </c>
      <c r="H1319" t="str">
        <f>"INDIGENT HEALTH"</f>
        <v>INDIGENT HEALTH</v>
      </c>
    </row>
    <row r="1320" spans="1:8" x14ac:dyDescent="0.25">
      <c r="A1320" t="s">
        <v>436</v>
      </c>
      <c r="B1320">
        <v>80068</v>
      </c>
      <c r="C1320" s="2">
        <v>525</v>
      </c>
      <c r="D1320" s="1">
        <v>43444</v>
      </c>
      <c r="E1320" t="str">
        <f>"201812035491"</f>
        <v>201812035491</v>
      </c>
      <c r="F1320" t="str">
        <f>"REIMBURSE-SITE EVAL REGIST"</f>
        <v>REIMBURSE-SITE EVAL REGIST</v>
      </c>
      <c r="G1320" s="3">
        <v>525</v>
      </c>
      <c r="H1320" t="str">
        <f>"REIMBURSE-SITE EVAL REGIST"</f>
        <v>REIMBURSE-SITE EVAL REGIST</v>
      </c>
    </row>
    <row r="1321" spans="1:8" x14ac:dyDescent="0.25">
      <c r="A1321" t="s">
        <v>436</v>
      </c>
      <c r="B1321">
        <v>80264</v>
      </c>
      <c r="C1321" s="2">
        <v>111</v>
      </c>
      <c r="D1321" s="1">
        <v>43461</v>
      </c>
      <c r="E1321" t="str">
        <f>"201812125721"</f>
        <v>201812125721</v>
      </c>
      <c r="F1321" t="str">
        <f>"REIMBURSEMENT TCEQ CLASS"</f>
        <v>REIMBURSEMENT TCEQ CLASS</v>
      </c>
      <c r="G1321" s="3">
        <v>111</v>
      </c>
      <c r="H1321" t="str">
        <f>"REIMBURSEMENT TCEQ CLASS"</f>
        <v>REIMBURSEMENT TCEQ CLASS</v>
      </c>
    </row>
    <row r="1322" spans="1:8" x14ac:dyDescent="0.25">
      <c r="A1322" t="s">
        <v>437</v>
      </c>
      <c r="B1322">
        <v>80093</v>
      </c>
      <c r="C1322" s="2">
        <v>13932.11</v>
      </c>
      <c r="D1322" s="1">
        <v>43452</v>
      </c>
      <c r="E1322" t="str">
        <f>"Pay App 01R"</f>
        <v>Pay App 01R</v>
      </c>
      <c r="F1322" t="str">
        <f>"WATER DAMAGE REPAIRS"</f>
        <v>WATER DAMAGE REPAIRS</v>
      </c>
      <c r="G1322" s="3">
        <v>13932.11</v>
      </c>
      <c r="H1322" t="str">
        <f>"WATER DAMAGE REPAIRS"</f>
        <v>WATER DAMAGE REPAIRS</v>
      </c>
    </row>
    <row r="1323" spans="1:8" x14ac:dyDescent="0.25">
      <c r="A1323" t="s">
        <v>438</v>
      </c>
      <c r="B1323">
        <v>276</v>
      </c>
      <c r="C1323" s="2">
        <v>500</v>
      </c>
      <c r="D1323" s="1">
        <v>43462</v>
      </c>
      <c r="E1323" t="str">
        <f>"201812195932"</f>
        <v>201812195932</v>
      </c>
      <c r="F1323" t="str">
        <f>"56 076 / 121318"</f>
        <v>56 076 / 121318</v>
      </c>
      <c r="G1323" s="3">
        <v>250</v>
      </c>
      <c r="H1323" t="str">
        <f>"56 076 / 121318"</f>
        <v>56 076 / 121318</v>
      </c>
    </row>
    <row r="1324" spans="1:8" x14ac:dyDescent="0.25">
      <c r="E1324" t="str">
        <f>"201812195933"</f>
        <v>201812195933</v>
      </c>
      <c r="F1324" t="str">
        <f>"55 867 / 121318"</f>
        <v>55 867 / 121318</v>
      </c>
      <c r="G1324" s="3">
        <v>250</v>
      </c>
      <c r="H1324" t="str">
        <f>"55 867 / 121318"</f>
        <v>55 867 / 121318</v>
      </c>
    </row>
    <row r="1325" spans="1:8" x14ac:dyDescent="0.25">
      <c r="A1325" t="s">
        <v>439</v>
      </c>
      <c r="B1325">
        <v>179</v>
      </c>
      <c r="C1325" s="2">
        <v>7</v>
      </c>
      <c r="D1325" s="1">
        <v>43445</v>
      </c>
      <c r="E1325" t="str">
        <f>"201812045519"</f>
        <v>201812045519</v>
      </c>
      <c r="F1325" t="str">
        <f>"INSPECTION FEE-2007 FRHT/PCT#2"</f>
        <v>INSPECTION FEE-2007 FRHT/PCT#2</v>
      </c>
      <c r="G1325" s="3">
        <v>7</v>
      </c>
      <c r="H1325" t="str">
        <f>"INSPECTION FEE-2007 FRHT/PCT#2"</f>
        <v>INSPECTION FEE-2007 FRHT/PCT#2</v>
      </c>
    </row>
    <row r="1326" spans="1:8" x14ac:dyDescent="0.25">
      <c r="A1326" t="s">
        <v>439</v>
      </c>
      <c r="B1326">
        <v>239</v>
      </c>
      <c r="C1326" s="2">
        <v>7</v>
      </c>
      <c r="D1326" s="1">
        <v>43462</v>
      </c>
      <c r="E1326" t="str">
        <f>"201812125762"</f>
        <v>201812125762</v>
      </c>
      <c r="F1326" t="str">
        <f>"2017 PACK BELLY DUMP INSP/P2"</f>
        <v>2017 PACK BELLY DUMP INSP/P2</v>
      </c>
      <c r="G1326" s="3">
        <v>7</v>
      </c>
      <c r="H1326" t="str">
        <f>"2017 PACK BELLY DUMP INSP/P2"</f>
        <v>2017 PACK BELLY DUMP INSP/P2</v>
      </c>
    </row>
    <row r="1327" spans="1:8" x14ac:dyDescent="0.25">
      <c r="A1327" t="s">
        <v>440</v>
      </c>
      <c r="B1327">
        <v>80069</v>
      </c>
      <c r="C1327" s="2">
        <v>62885.57</v>
      </c>
      <c r="D1327" s="1">
        <v>43444</v>
      </c>
      <c r="E1327" t="str">
        <f>"020-18319"</f>
        <v>020-18319</v>
      </c>
      <c r="F1327" t="str">
        <f>"CUST#42161/ORD#99397"</f>
        <v>CUST#42161/ORD#99397</v>
      </c>
      <c r="G1327" s="3">
        <v>35988.6</v>
      </c>
      <c r="H1327" t="str">
        <f>"CUST#42161/ORD#99397"</f>
        <v>CUST#42161/ORD#99397</v>
      </c>
    </row>
    <row r="1328" spans="1:8" x14ac:dyDescent="0.25">
      <c r="E1328" t="str">
        <f>""</f>
        <v/>
      </c>
      <c r="F1328" t="str">
        <f>""</f>
        <v/>
      </c>
      <c r="H1328" t="str">
        <f>"CUST#42161/ORD#99397"</f>
        <v>CUST#42161/ORD#99397</v>
      </c>
    </row>
    <row r="1329" spans="1:8" x14ac:dyDescent="0.25">
      <c r="E1329" t="str">
        <f>"020-18320"</f>
        <v>020-18320</v>
      </c>
      <c r="F1329" t="str">
        <f>"CUST#42161/ORD#99398"</f>
        <v>CUST#42161/ORD#99398</v>
      </c>
      <c r="G1329" s="3">
        <v>556.97</v>
      </c>
      <c r="H1329" t="str">
        <f>"CUST#42161/ORD#99398"</f>
        <v>CUST#42161/ORD#99398</v>
      </c>
    </row>
    <row r="1330" spans="1:8" x14ac:dyDescent="0.25">
      <c r="E1330" t="str">
        <f>"070-2789"</f>
        <v>070-2789</v>
      </c>
      <c r="F1330" t="str">
        <f>"CUST#46405/ORD#2702"</f>
        <v>CUST#46405/ORD#2702</v>
      </c>
      <c r="G1330" s="3">
        <v>26340</v>
      </c>
      <c r="H1330" t="str">
        <f>"CUST#46405/ORD#2702"</f>
        <v>CUST#46405/ORD#2702</v>
      </c>
    </row>
    <row r="1331" spans="1:8" x14ac:dyDescent="0.25">
      <c r="A1331" t="s">
        <v>440</v>
      </c>
      <c r="B1331">
        <v>80265</v>
      </c>
      <c r="C1331" s="2">
        <v>2750</v>
      </c>
      <c r="D1331" s="1">
        <v>43461</v>
      </c>
      <c r="E1331" t="str">
        <f>"130-3980"</f>
        <v>130-3980</v>
      </c>
      <c r="F1331" t="str">
        <f>"CUST#42161/ORD#3400"</f>
        <v>CUST#42161/ORD#3400</v>
      </c>
      <c r="G1331" s="3">
        <v>2750</v>
      </c>
      <c r="H1331" t="str">
        <f>"CUST#42161/ORD#3400"</f>
        <v>CUST#42161/ORD#3400</v>
      </c>
    </row>
    <row r="1332" spans="1:8" x14ac:dyDescent="0.25">
      <c r="E1332" t="str">
        <f>""</f>
        <v/>
      </c>
      <c r="F1332" t="str">
        <f>""</f>
        <v/>
      </c>
      <c r="H1332" t="str">
        <f>"CUST#42161/ORD#3400"</f>
        <v>CUST#42161/ORD#3400</v>
      </c>
    </row>
    <row r="1333" spans="1:8" x14ac:dyDescent="0.25">
      <c r="A1333" t="s">
        <v>441</v>
      </c>
      <c r="B1333">
        <v>80070</v>
      </c>
      <c r="C1333" s="2">
        <v>556.41</v>
      </c>
      <c r="D1333" s="1">
        <v>43444</v>
      </c>
      <c r="E1333" t="str">
        <f>"65753022-00"</f>
        <v>65753022-00</v>
      </c>
      <c r="F1333" t="str">
        <f>"INV 65753022-00"</f>
        <v>INV 65753022-00</v>
      </c>
      <c r="G1333" s="3">
        <v>556.41</v>
      </c>
      <c r="H1333" t="str">
        <f>"INV 65753022-00"</f>
        <v>INV 65753022-00</v>
      </c>
    </row>
    <row r="1334" spans="1:8" x14ac:dyDescent="0.25">
      <c r="A1334" t="s">
        <v>441</v>
      </c>
      <c r="B1334">
        <v>80266</v>
      </c>
      <c r="C1334" s="2">
        <v>1260.9100000000001</v>
      </c>
      <c r="D1334" s="1">
        <v>43461</v>
      </c>
      <c r="E1334" t="str">
        <f>"65796954-00"</f>
        <v>65796954-00</v>
      </c>
      <c r="F1334" t="str">
        <f>"CUST#706810/GEN SVCS"</f>
        <v>CUST#706810/GEN SVCS</v>
      </c>
      <c r="G1334" s="3">
        <v>1106.0899999999999</v>
      </c>
      <c r="H1334" t="str">
        <f>"CUST#706810/GEN SVCS"</f>
        <v>CUST#706810/GEN SVCS</v>
      </c>
    </row>
    <row r="1335" spans="1:8" x14ac:dyDescent="0.25">
      <c r="E1335" t="str">
        <f>"65808718-00"</f>
        <v>65808718-00</v>
      </c>
      <c r="F1335" t="str">
        <f>"INV 65808718-00"</f>
        <v>INV 65808718-00</v>
      </c>
      <c r="G1335" s="3">
        <v>154.82</v>
      </c>
      <c r="H1335" t="str">
        <f>"INV 65808718-00"</f>
        <v>INV 65808718-00</v>
      </c>
    </row>
    <row r="1336" spans="1:8" x14ac:dyDescent="0.25">
      <c r="A1336" t="s">
        <v>442</v>
      </c>
      <c r="B1336">
        <v>80071</v>
      </c>
      <c r="C1336" s="2">
        <v>1215</v>
      </c>
      <c r="D1336" s="1">
        <v>43444</v>
      </c>
      <c r="E1336" t="str">
        <f>"I2017103726"</f>
        <v>I2017103726</v>
      </c>
      <c r="F1336" t="str">
        <f>"Variphy Annual Renewal"</f>
        <v>Variphy Annual Renewal</v>
      </c>
      <c r="G1336" s="3">
        <v>1215</v>
      </c>
      <c r="H1336" t="str">
        <f>"OP-SMUU-ALL"</f>
        <v>OP-SMUU-ALL</v>
      </c>
    </row>
    <row r="1337" spans="1:8" x14ac:dyDescent="0.25">
      <c r="E1337" t="str">
        <f>""</f>
        <v/>
      </c>
      <c r="F1337" t="str">
        <f>""</f>
        <v/>
      </c>
      <c r="H1337" t="str">
        <f>"Discount"</f>
        <v>Discount</v>
      </c>
    </row>
    <row r="1338" spans="1:8" x14ac:dyDescent="0.25">
      <c r="A1338" t="s">
        <v>443</v>
      </c>
      <c r="B1338">
        <v>80267</v>
      </c>
      <c r="C1338" s="2">
        <v>120</v>
      </c>
      <c r="D1338" s="1">
        <v>43461</v>
      </c>
      <c r="E1338" t="str">
        <f>"201812195944"</f>
        <v>201812195944</v>
      </c>
      <c r="F1338" t="str">
        <f>"PER DIEM"</f>
        <v>PER DIEM</v>
      </c>
      <c r="G1338" s="3">
        <v>120</v>
      </c>
      <c r="H1338" t="str">
        <f>"PER DIEM"</f>
        <v>PER DIEM</v>
      </c>
    </row>
    <row r="1339" spans="1:8" x14ac:dyDescent="0.25">
      <c r="A1339" t="s">
        <v>444</v>
      </c>
      <c r="B1339">
        <v>80268</v>
      </c>
      <c r="C1339" s="2">
        <v>50</v>
      </c>
      <c r="D1339" s="1">
        <v>43461</v>
      </c>
      <c r="E1339" t="str">
        <f>"201812125750"</f>
        <v>201812125750</v>
      </c>
      <c r="F1339" t="str">
        <f>"FERAL HOGS"</f>
        <v>FERAL HOGS</v>
      </c>
      <c r="G1339" s="3">
        <v>50</v>
      </c>
      <c r="H1339" t="str">
        <f>"FERAL HOGS"</f>
        <v>FERAL HOGS</v>
      </c>
    </row>
    <row r="1340" spans="1:8" x14ac:dyDescent="0.25">
      <c r="A1340" t="s">
        <v>445</v>
      </c>
      <c r="B1340">
        <v>80072</v>
      </c>
      <c r="C1340" s="2">
        <v>20</v>
      </c>
      <c r="D1340" s="1">
        <v>43444</v>
      </c>
      <c r="E1340" t="str">
        <f>"201811305460"</f>
        <v>201811305460</v>
      </c>
      <c r="F1340" t="str">
        <f>"FERAL HOGS"</f>
        <v>FERAL HOGS</v>
      </c>
      <c r="G1340" s="3">
        <v>20</v>
      </c>
      <c r="H1340" t="str">
        <f>"FERAL HOGS"</f>
        <v>FERAL HOGS</v>
      </c>
    </row>
    <row r="1341" spans="1:8" x14ac:dyDescent="0.25">
      <c r="A1341" t="s">
        <v>446</v>
      </c>
      <c r="B1341">
        <v>80269</v>
      </c>
      <c r="C1341" s="2">
        <v>111.63</v>
      </c>
      <c r="D1341" s="1">
        <v>43461</v>
      </c>
      <c r="E1341" t="str">
        <f>"2007122"</f>
        <v>2007122</v>
      </c>
      <c r="F1341" t="str">
        <f>"ACCT#17460002268 003/REMOTE BA"</f>
        <v>ACCT#17460002268 003/REMOTE BA</v>
      </c>
      <c r="G1341" s="3">
        <v>111.63</v>
      </c>
      <c r="H1341" t="str">
        <f>"ACCT#17460002268 003/REMOTE BA"</f>
        <v>ACCT#17460002268 003/REMOTE BA</v>
      </c>
    </row>
    <row r="1342" spans="1:8" x14ac:dyDescent="0.25">
      <c r="A1342" t="s">
        <v>447</v>
      </c>
      <c r="B1342">
        <v>236</v>
      </c>
      <c r="C1342" s="2">
        <v>850</v>
      </c>
      <c r="D1342" s="1">
        <v>43462</v>
      </c>
      <c r="E1342" t="str">
        <f>"201812145831"</f>
        <v>201812145831</v>
      </c>
      <c r="F1342" t="str">
        <f>"16 644 - COMPETENCY EVALUATION"</f>
        <v>16 644 - COMPETENCY EVALUATION</v>
      </c>
      <c r="G1342" s="3">
        <v>850</v>
      </c>
      <c r="H1342" t="str">
        <f>"16 644 - COMPETENCY EVALUATION"</f>
        <v>16 644 - COMPETENCY EVALUATION</v>
      </c>
    </row>
    <row r="1343" spans="1:8" x14ac:dyDescent="0.25">
      <c r="A1343" t="s">
        <v>448</v>
      </c>
      <c r="B1343">
        <v>80073</v>
      </c>
      <c r="C1343" s="2">
        <v>48730.68</v>
      </c>
      <c r="D1343" s="1">
        <v>43444</v>
      </c>
      <c r="E1343" t="str">
        <f>"201812045561"</f>
        <v>201812045561</v>
      </c>
      <c r="F1343" t="str">
        <f>"Inv#869395921847"</f>
        <v>Inv#869395921847</v>
      </c>
      <c r="G1343" s="3">
        <v>48730.68</v>
      </c>
      <c r="H1343" t="str">
        <f>"Fuel"</f>
        <v>Fuel</v>
      </c>
    </row>
    <row r="1344" spans="1:8" x14ac:dyDescent="0.25">
      <c r="E1344" t="str">
        <f>""</f>
        <v/>
      </c>
      <c r="F1344" t="str">
        <f>""</f>
        <v/>
      </c>
      <c r="H1344" t="str">
        <f>"Tax"</f>
        <v>Tax</v>
      </c>
    </row>
    <row r="1345" spans="5:8" x14ac:dyDescent="0.25">
      <c r="E1345" t="str">
        <f>""</f>
        <v/>
      </c>
      <c r="F1345" t="str">
        <f>""</f>
        <v/>
      </c>
      <c r="H1345" t="str">
        <f>"Maintenace"</f>
        <v>Maintenace</v>
      </c>
    </row>
    <row r="1346" spans="5:8" x14ac:dyDescent="0.25">
      <c r="E1346" t="str">
        <f>""</f>
        <v/>
      </c>
      <c r="F1346" t="str">
        <f>""</f>
        <v/>
      </c>
      <c r="H1346" t="str">
        <f>"Fuel"</f>
        <v>Fuel</v>
      </c>
    </row>
    <row r="1347" spans="5:8" x14ac:dyDescent="0.25">
      <c r="E1347" t="str">
        <f>""</f>
        <v/>
      </c>
      <c r="F1347" t="str">
        <f>""</f>
        <v/>
      </c>
      <c r="H1347" t="str">
        <f>"Tax"</f>
        <v>Tax</v>
      </c>
    </row>
    <row r="1348" spans="5:8" x14ac:dyDescent="0.25">
      <c r="E1348" t="str">
        <f>""</f>
        <v/>
      </c>
      <c r="F1348" t="str">
        <f>""</f>
        <v/>
      </c>
      <c r="H1348" t="str">
        <f>"Maintenace"</f>
        <v>Maintenace</v>
      </c>
    </row>
    <row r="1349" spans="5:8" x14ac:dyDescent="0.25">
      <c r="E1349" t="str">
        <f>""</f>
        <v/>
      </c>
      <c r="F1349" t="str">
        <f>""</f>
        <v/>
      </c>
      <c r="H1349" t="str">
        <f>"Fuel"</f>
        <v>Fuel</v>
      </c>
    </row>
    <row r="1350" spans="5:8" x14ac:dyDescent="0.25">
      <c r="E1350" t="str">
        <f>""</f>
        <v/>
      </c>
      <c r="F1350" t="str">
        <f>""</f>
        <v/>
      </c>
      <c r="H1350" t="str">
        <f>"Tax"</f>
        <v>Tax</v>
      </c>
    </row>
    <row r="1351" spans="5:8" x14ac:dyDescent="0.25">
      <c r="E1351" t="str">
        <f>""</f>
        <v/>
      </c>
      <c r="F1351" t="str">
        <f>""</f>
        <v/>
      </c>
      <c r="H1351" t="str">
        <f>"Fuel"</f>
        <v>Fuel</v>
      </c>
    </row>
    <row r="1352" spans="5:8" x14ac:dyDescent="0.25">
      <c r="E1352" t="str">
        <f>""</f>
        <v/>
      </c>
      <c r="F1352" t="str">
        <f>""</f>
        <v/>
      </c>
      <c r="H1352" t="str">
        <f>"Tax"</f>
        <v>Tax</v>
      </c>
    </row>
    <row r="1353" spans="5:8" x14ac:dyDescent="0.25">
      <c r="E1353" t="str">
        <f>""</f>
        <v/>
      </c>
      <c r="F1353" t="str">
        <f>""</f>
        <v/>
      </c>
      <c r="H1353" t="str">
        <f>"Maintenace"</f>
        <v>Maintenace</v>
      </c>
    </row>
    <row r="1354" spans="5:8" x14ac:dyDescent="0.25">
      <c r="E1354" t="str">
        <f>""</f>
        <v/>
      </c>
      <c r="F1354" t="str">
        <f>""</f>
        <v/>
      </c>
      <c r="H1354" t="str">
        <f>"Sheriff's Office"</f>
        <v>Sheriff's Office</v>
      </c>
    </row>
    <row r="1355" spans="5:8" x14ac:dyDescent="0.25">
      <c r="E1355" t="str">
        <f>""</f>
        <v/>
      </c>
      <c r="F1355" t="str">
        <f>""</f>
        <v/>
      </c>
      <c r="H1355" t="str">
        <f>"Tax"</f>
        <v>Tax</v>
      </c>
    </row>
    <row r="1356" spans="5:8" x14ac:dyDescent="0.25">
      <c r="E1356" t="str">
        <f>""</f>
        <v/>
      </c>
      <c r="F1356" t="str">
        <f>""</f>
        <v/>
      </c>
      <c r="H1356" t="str">
        <f>"Maintenance"</f>
        <v>Maintenance</v>
      </c>
    </row>
    <row r="1357" spans="5:8" x14ac:dyDescent="0.25">
      <c r="E1357" t="str">
        <f>""</f>
        <v/>
      </c>
      <c r="F1357" t="str">
        <f>""</f>
        <v/>
      </c>
      <c r="H1357" t="str">
        <f>"Fuel"</f>
        <v>Fuel</v>
      </c>
    </row>
    <row r="1358" spans="5:8" x14ac:dyDescent="0.25">
      <c r="E1358" t="str">
        <f>""</f>
        <v/>
      </c>
      <c r="F1358" t="str">
        <f>""</f>
        <v/>
      </c>
      <c r="H1358" t="str">
        <f>"Tax"</f>
        <v>Tax</v>
      </c>
    </row>
    <row r="1359" spans="5:8" x14ac:dyDescent="0.25">
      <c r="E1359" t="str">
        <f>""</f>
        <v/>
      </c>
      <c r="F1359" t="str">
        <f>""</f>
        <v/>
      </c>
      <c r="H1359" t="str">
        <f>"Maintenace"</f>
        <v>Maintenace</v>
      </c>
    </row>
    <row r="1360" spans="5:8" x14ac:dyDescent="0.25">
      <c r="E1360" t="str">
        <f>""</f>
        <v/>
      </c>
      <c r="F1360" t="str">
        <f>""</f>
        <v/>
      </c>
      <c r="H1360" t="str">
        <f>"Fuel"</f>
        <v>Fuel</v>
      </c>
    </row>
    <row r="1361" spans="1:8" x14ac:dyDescent="0.25">
      <c r="E1361" t="str">
        <f>""</f>
        <v/>
      </c>
      <c r="F1361" t="str">
        <f>""</f>
        <v/>
      </c>
      <c r="H1361" t="str">
        <f>"Tax"</f>
        <v>Tax</v>
      </c>
    </row>
    <row r="1362" spans="1:8" x14ac:dyDescent="0.25">
      <c r="E1362" t="str">
        <f>""</f>
        <v/>
      </c>
      <c r="F1362" t="str">
        <f>""</f>
        <v/>
      </c>
      <c r="H1362" t="str">
        <f>"Fuel"</f>
        <v>Fuel</v>
      </c>
    </row>
    <row r="1363" spans="1:8" x14ac:dyDescent="0.25">
      <c r="E1363" t="str">
        <f>""</f>
        <v/>
      </c>
      <c r="F1363" t="str">
        <f>""</f>
        <v/>
      </c>
      <c r="H1363" t="str">
        <f>"Tax"</f>
        <v>Tax</v>
      </c>
    </row>
    <row r="1364" spans="1:8" x14ac:dyDescent="0.25">
      <c r="E1364" t="str">
        <f>""</f>
        <v/>
      </c>
      <c r="F1364" t="str">
        <f>""</f>
        <v/>
      </c>
      <c r="H1364" t="str">
        <f>"Maintenance"</f>
        <v>Maintenance</v>
      </c>
    </row>
    <row r="1365" spans="1:8" x14ac:dyDescent="0.25">
      <c r="E1365" t="str">
        <f>""</f>
        <v/>
      </c>
      <c r="F1365" t="str">
        <f>""</f>
        <v/>
      </c>
      <c r="H1365" t="str">
        <f>"Fuel"</f>
        <v>Fuel</v>
      </c>
    </row>
    <row r="1366" spans="1:8" x14ac:dyDescent="0.25">
      <c r="E1366" t="str">
        <f>""</f>
        <v/>
      </c>
      <c r="F1366" t="str">
        <f>""</f>
        <v/>
      </c>
      <c r="H1366" t="str">
        <f>"Tax"</f>
        <v>Tax</v>
      </c>
    </row>
    <row r="1367" spans="1:8" x14ac:dyDescent="0.25">
      <c r="E1367" t="str">
        <f>""</f>
        <v/>
      </c>
      <c r="F1367" t="str">
        <f>""</f>
        <v/>
      </c>
      <c r="H1367" t="str">
        <f>"Maintenace"</f>
        <v>Maintenace</v>
      </c>
    </row>
    <row r="1368" spans="1:8" x14ac:dyDescent="0.25">
      <c r="E1368" t="str">
        <f>""</f>
        <v/>
      </c>
      <c r="F1368" t="str">
        <f>""</f>
        <v/>
      </c>
      <c r="H1368" t="str">
        <f>"Maintenance"</f>
        <v>Maintenance</v>
      </c>
    </row>
    <row r="1369" spans="1:8" x14ac:dyDescent="0.25">
      <c r="A1369" t="s">
        <v>449</v>
      </c>
      <c r="B1369">
        <v>80270</v>
      </c>
      <c r="C1369" s="2">
        <v>3070.42</v>
      </c>
      <c r="D1369" s="1">
        <v>43461</v>
      </c>
      <c r="E1369" t="str">
        <f>"201812125767"</f>
        <v>201812125767</v>
      </c>
      <c r="F1369" t="str">
        <f>"CUST#90285-209209/PCT#3"</f>
        <v>CUST#90285-209209/PCT#3</v>
      </c>
      <c r="G1369" s="3">
        <v>3070.42</v>
      </c>
      <c r="H1369" t="str">
        <f>"CUST#90285-209209/PCT#3"</f>
        <v>CUST#90285-209209/PCT#3</v>
      </c>
    </row>
    <row r="1370" spans="1:8" x14ac:dyDescent="0.25">
      <c r="A1370" t="s">
        <v>450</v>
      </c>
      <c r="B1370">
        <v>211</v>
      </c>
      <c r="C1370" s="2">
        <v>95.5</v>
      </c>
      <c r="D1370" s="1">
        <v>43445</v>
      </c>
      <c r="E1370" t="str">
        <f>"332912"</f>
        <v>332912</v>
      </c>
      <c r="F1370" t="str">
        <f>"Inv# 332912"</f>
        <v>Inv# 332912</v>
      </c>
      <c r="G1370" s="3">
        <v>95.5</v>
      </c>
      <c r="H1370" t="str">
        <f>"Inv# 332912"</f>
        <v>Inv# 332912</v>
      </c>
    </row>
    <row r="1371" spans="1:8" x14ac:dyDescent="0.25">
      <c r="A1371" t="s">
        <v>450</v>
      </c>
      <c r="B1371">
        <v>277</v>
      </c>
      <c r="C1371" s="2">
        <v>2791.91</v>
      </c>
      <c r="D1371" s="1">
        <v>43462</v>
      </c>
      <c r="E1371" t="str">
        <f>"333121 &amp; 333626"</f>
        <v>333121 &amp; 333626</v>
      </c>
      <c r="F1371" t="str">
        <f>"Sign Materials"</f>
        <v>Sign Materials</v>
      </c>
      <c r="G1371" s="3">
        <v>1109.9100000000001</v>
      </c>
      <c r="H1371" t="str">
        <f>"24 x24  Reflective"</f>
        <v>24 x24  Reflective</v>
      </c>
    </row>
    <row r="1372" spans="1:8" x14ac:dyDescent="0.25">
      <c r="E1372" t="str">
        <f>""</f>
        <v/>
      </c>
      <c r="F1372" t="str">
        <f>""</f>
        <v/>
      </c>
      <c r="H1372" t="str">
        <f>"24 x50yds"</f>
        <v>24 x50yds</v>
      </c>
    </row>
    <row r="1373" spans="1:8" x14ac:dyDescent="0.25">
      <c r="E1373" t="str">
        <f>""</f>
        <v/>
      </c>
      <c r="F1373" t="str">
        <f>""</f>
        <v/>
      </c>
      <c r="H1373" t="str">
        <f>"18 x24  Reflective"</f>
        <v>18 x24  Reflective</v>
      </c>
    </row>
    <row r="1374" spans="1:8" x14ac:dyDescent="0.25">
      <c r="E1374" t="str">
        <f>"333663"</f>
        <v>333663</v>
      </c>
      <c r="F1374" t="str">
        <f>"10' x 2# Green U-Channel"</f>
        <v>10' x 2# Green U-Channel</v>
      </c>
      <c r="G1374" s="3">
        <v>1682</v>
      </c>
      <c r="H1374" t="str">
        <f>"10' x 2# Green U-Channel"</f>
        <v>10' x 2# Green U-Channel</v>
      </c>
    </row>
    <row r="1375" spans="1:8" x14ac:dyDescent="0.25">
      <c r="A1375" t="s">
        <v>451</v>
      </c>
      <c r="B1375">
        <v>80074</v>
      </c>
      <c r="C1375" s="2">
        <v>178.1</v>
      </c>
      <c r="D1375" s="1">
        <v>43444</v>
      </c>
      <c r="E1375" t="str">
        <f>"1018-DR14926"</f>
        <v>1018-DR14926</v>
      </c>
      <c r="F1375" t="str">
        <f>"CLIENT ID:CXD14926/10/01-10/31"</f>
        <v>CLIENT ID:CXD14926/10/01-10/31</v>
      </c>
      <c r="G1375" s="3">
        <v>178.1</v>
      </c>
      <c r="H1375" t="str">
        <f>"CLIENT ID:CXD14926/10/01-10/31"</f>
        <v>CLIENT ID:CXD14926/10/01-10/31</v>
      </c>
    </row>
    <row r="1376" spans="1:8" x14ac:dyDescent="0.25">
      <c r="A1376" t="s">
        <v>451</v>
      </c>
      <c r="B1376">
        <v>80271</v>
      </c>
      <c r="C1376" s="2">
        <v>75.5</v>
      </c>
      <c r="D1376" s="1">
        <v>43461</v>
      </c>
      <c r="E1376" t="str">
        <f>"1118-DR14926"</f>
        <v>1118-DR14926</v>
      </c>
      <c r="F1376" t="str">
        <f>"CLIENT ID:CXD 14926"</f>
        <v>CLIENT ID:CXD 14926</v>
      </c>
      <c r="G1376" s="3">
        <v>75.5</v>
      </c>
      <c r="H1376" t="str">
        <f>"CLIENT ID:CXD 14926"</f>
        <v>CLIENT ID:CXD 14926</v>
      </c>
    </row>
    <row r="1377" spans="1:8" x14ac:dyDescent="0.25">
      <c r="A1377" t="s">
        <v>452</v>
      </c>
      <c r="B1377">
        <v>173</v>
      </c>
      <c r="C1377" s="2">
        <v>7938.33</v>
      </c>
      <c r="D1377" s="1">
        <v>43445</v>
      </c>
      <c r="E1377" t="str">
        <f>"15767"</f>
        <v>15767</v>
      </c>
      <c r="F1377" t="str">
        <f>"COLD MIX/FREIGHT"</f>
        <v>COLD MIX/FREIGHT</v>
      </c>
      <c r="G1377" s="3">
        <v>2603.1</v>
      </c>
      <c r="H1377" t="str">
        <f>"COLD MIX/FREIGHT"</f>
        <v>COLD MIX/FREIGHT</v>
      </c>
    </row>
    <row r="1378" spans="1:8" x14ac:dyDescent="0.25">
      <c r="E1378" t="str">
        <f>"15788"</f>
        <v>15788</v>
      </c>
      <c r="F1378" t="str">
        <f>"COLD MIX/FREIGHT/PCT#3"</f>
        <v>COLD MIX/FREIGHT/PCT#3</v>
      </c>
      <c r="G1378" s="3">
        <v>2734.8</v>
      </c>
      <c r="H1378" t="str">
        <f>"COLD MIX/FREIGHT/PCT#3"</f>
        <v>COLD MIX/FREIGHT/PCT#3</v>
      </c>
    </row>
    <row r="1379" spans="1:8" x14ac:dyDescent="0.25">
      <c r="E1379" t="str">
        <f>"15808"</f>
        <v>15808</v>
      </c>
      <c r="F1379" t="str">
        <f>"COLD MIX/FREIGHT/PCT#4"</f>
        <v>COLD MIX/FREIGHT/PCT#4</v>
      </c>
      <c r="G1379" s="3">
        <v>2600.4299999999998</v>
      </c>
      <c r="H1379" t="str">
        <f>"COLD MIX/FREIGHT/PCT#4"</f>
        <v>COLD MIX/FREIGHT/PCT#4</v>
      </c>
    </row>
    <row r="1380" spans="1:8" x14ac:dyDescent="0.25">
      <c r="A1380" t="s">
        <v>452</v>
      </c>
      <c r="B1380">
        <v>227</v>
      </c>
      <c r="C1380" s="2">
        <v>1368.9</v>
      </c>
      <c r="D1380" s="1">
        <v>43462</v>
      </c>
      <c r="E1380" t="str">
        <f>"15908"</f>
        <v>15908</v>
      </c>
      <c r="F1380" t="str">
        <f>"COLD MIX / PCT #1"</f>
        <v>COLD MIX / PCT #1</v>
      </c>
      <c r="G1380" s="3">
        <v>1368.9</v>
      </c>
      <c r="H1380" t="str">
        <f>"COLD MIX / PCT #1"</f>
        <v>COLD MIX / PCT #1</v>
      </c>
    </row>
    <row r="1381" spans="1:8" x14ac:dyDescent="0.25">
      <c r="A1381" t="s">
        <v>453</v>
      </c>
      <c r="B1381">
        <v>80075</v>
      </c>
      <c r="C1381" s="2">
        <v>421.23</v>
      </c>
      <c r="D1381" s="1">
        <v>43444</v>
      </c>
      <c r="E1381" t="str">
        <f>"201812045563"</f>
        <v>201812045563</v>
      </c>
      <c r="F1381" t="str">
        <f>"Acct# 2476"</f>
        <v>Acct# 2476</v>
      </c>
      <c r="G1381" s="3">
        <v>421.23</v>
      </c>
      <c r="H1381" t="str">
        <f>"Inv# 002573"</f>
        <v>Inv# 002573</v>
      </c>
    </row>
    <row r="1382" spans="1:8" x14ac:dyDescent="0.25">
      <c r="E1382" t="str">
        <f>""</f>
        <v/>
      </c>
      <c r="F1382" t="str">
        <f>""</f>
        <v/>
      </c>
      <c r="H1382" t="str">
        <f>"Inv# 004820"</f>
        <v>Inv# 004820</v>
      </c>
    </row>
    <row r="1383" spans="1:8" x14ac:dyDescent="0.25">
      <c r="E1383" t="str">
        <f>""</f>
        <v/>
      </c>
      <c r="F1383" t="str">
        <f>""</f>
        <v/>
      </c>
      <c r="H1383" t="str">
        <f>"Inv# 00272"</f>
        <v>Inv# 00272</v>
      </c>
    </row>
    <row r="1384" spans="1:8" x14ac:dyDescent="0.25">
      <c r="E1384" t="str">
        <f>""</f>
        <v/>
      </c>
      <c r="F1384" t="str">
        <f>""</f>
        <v/>
      </c>
      <c r="H1384" t="str">
        <f>"Inv# 009026"</f>
        <v>Inv# 009026</v>
      </c>
    </row>
    <row r="1385" spans="1:8" x14ac:dyDescent="0.25">
      <c r="E1385" t="str">
        <f>""</f>
        <v/>
      </c>
      <c r="F1385" t="str">
        <f>""</f>
        <v/>
      </c>
      <c r="H1385" t="str">
        <f>"Inv# 003840"</f>
        <v>Inv# 003840</v>
      </c>
    </row>
    <row r="1386" spans="1:8" x14ac:dyDescent="0.25">
      <c r="E1386" t="str">
        <f>""</f>
        <v/>
      </c>
      <c r="F1386" t="str">
        <f>""</f>
        <v/>
      </c>
      <c r="H1386" t="str">
        <f>"Inv# 001792"</f>
        <v>Inv# 001792</v>
      </c>
    </row>
    <row r="1387" spans="1:8" x14ac:dyDescent="0.25">
      <c r="E1387" t="str">
        <f>""</f>
        <v/>
      </c>
      <c r="F1387" t="str">
        <f>""</f>
        <v/>
      </c>
      <c r="H1387" t="str">
        <f>"Inv# 003166"</f>
        <v>Inv# 003166</v>
      </c>
    </row>
    <row r="1388" spans="1:8" x14ac:dyDescent="0.25">
      <c r="E1388" t="str">
        <f>""</f>
        <v/>
      </c>
      <c r="F1388" t="str">
        <f>""</f>
        <v/>
      </c>
      <c r="H1388" t="str">
        <f>"Inv# 000253"</f>
        <v>Inv# 000253</v>
      </c>
    </row>
    <row r="1389" spans="1:8" x14ac:dyDescent="0.25">
      <c r="E1389" t="str">
        <f>""</f>
        <v/>
      </c>
      <c r="F1389" t="str">
        <f>""</f>
        <v/>
      </c>
      <c r="H1389" t="str">
        <f>"Inv# 009990"</f>
        <v>Inv# 009990</v>
      </c>
    </row>
    <row r="1390" spans="1:8" x14ac:dyDescent="0.25">
      <c r="E1390" t="str">
        <f>""</f>
        <v/>
      </c>
      <c r="F1390" t="str">
        <f>""</f>
        <v/>
      </c>
      <c r="H1390" t="str">
        <f>"Inv# 007022"</f>
        <v>Inv# 007022</v>
      </c>
    </row>
    <row r="1391" spans="1:8" x14ac:dyDescent="0.25">
      <c r="A1391" t="s">
        <v>454</v>
      </c>
      <c r="B1391">
        <v>80272</v>
      </c>
      <c r="C1391" s="2">
        <v>113.89</v>
      </c>
      <c r="D1391" s="1">
        <v>43461</v>
      </c>
      <c r="E1391" t="str">
        <f>"0037510-2162-1"</f>
        <v>0037510-2162-1</v>
      </c>
      <c r="F1391" t="str">
        <f>"CUST ID:16-27603-83003/ANIMAL"</f>
        <v>CUST ID:16-27603-83003/ANIMAL</v>
      </c>
      <c r="G1391" s="3">
        <v>113.89</v>
      </c>
      <c r="H1391" t="str">
        <f>"CUST ID:16-27603-83003/ANIMAL"</f>
        <v>CUST ID:16-27603-83003/ANIMAL</v>
      </c>
    </row>
    <row r="1392" spans="1:8" x14ac:dyDescent="0.25">
      <c r="A1392" t="s">
        <v>455</v>
      </c>
      <c r="B1392">
        <v>79886</v>
      </c>
      <c r="C1392" s="2">
        <v>18288.16</v>
      </c>
      <c r="D1392" s="1">
        <v>43441</v>
      </c>
      <c r="E1392" t="str">
        <f>"1702069495"</f>
        <v>1702069495</v>
      </c>
      <c r="F1392" t="str">
        <f>"ACCT#5150-005117630 / 11302018"</f>
        <v>ACCT#5150-005117630 / 11302018</v>
      </c>
      <c r="G1392" s="3">
        <v>250.29</v>
      </c>
      <c r="H1392" t="str">
        <f>"ACCT#5150-005117630 / 11302018"</f>
        <v>ACCT#5150-005117630 / 11302018</v>
      </c>
    </row>
    <row r="1393" spans="1:8" x14ac:dyDescent="0.25">
      <c r="E1393" t="str">
        <f>"1702069496"</f>
        <v>1702069496</v>
      </c>
      <c r="F1393" t="str">
        <f>"ACCT#5150-005117766 / 11302018"</f>
        <v>ACCT#5150-005117766 / 11302018</v>
      </c>
      <c r="G1393" s="3">
        <v>109.87</v>
      </c>
      <c r="H1393" t="str">
        <f>"ACCT#5150-005117766 / 11302018"</f>
        <v>ACCT#5150-005117766 / 11302018</v>
      </c>
    </row>
    <row r="1394" spans="1:8" x14ac:dyDescent="0.25">
      <c r="E1394" t="str">
        <f>"1702069497"</f>
        <v>1702069497</v>
      </c>
      <c r="F1394" t="str">
        <f>"ACCT#5150-005117838 / 11302018"</f>
        <v>ACCT#5150-005117838 / 11302018</v>
      </c>
      <c r="G1394" s="3">
        <v>101.69</v>
      </c>
      <c r="H1394" t="str">
        <f>"ACCT#5150-005117838 / 11302018"</f>
        <v>ACCT#5150-005117838 / 11302018</v>
      </c>
    </row>
    <row r="1395" spans="1:8" x14ac:dyDescent="0.25">
      <c r="E1395" t="str">
        <f>"1702069499"</f>
        <v>1702069499</v>
      </c>
      <c r="F1395" t="str">
        <f>"ACCT#5150-005117882 / 11302018"</f>
        <v>ACCT#5150-005117882 / 11302018</v>
      </c>
      <c r="G1395" s="3">
        <v>137.32</v>
      </c>
      <c r="H1395" t="str">
        <f>"ACCT#5150-005117882 / 11302018"</f>
        <v>ACCT#5150-005117882 / 11302018</v>
      </c>
    </row>
    <row r="1396" spans="1:8" x14ac:dyDescent="0.25">
      <c r="E1396" t="str">
        <f>"1702069501"</f>
        <v>1702069501</v>
      </c>
      <c r="F1396" t="str">
        <f>"ACCT#5150-005118183 / 11302018"</f>
        <v>ACCT#5150-005118183 / 11302018</v>
      </c>
      <c r="G1396" s="3">
        <v>589.49</v>
      </c>
      <c r="H1396" t="str">
        <f>"ACCT#5150-005118183 / 11302018"</f>
        <v>ACCT#5150-005118183 / 11302018</v>
      </c>
    </row>
    <row r="1397" spans="1:8" x14ac:dyDescent="0.25">
      <c r="E1397" t="str">
        <f>"1702069513"</f>
        <v>1702069513</v>
      </c>
      <c r="F1397" t="str">
        <f>"ACCT#5150-005129483 / 11302018"</f>
        <v>ACCT#5150-005129483 / 11302018</v>
      </c>
      <c r="G1397" s="3">
        <v>17099.5</v>
      </c>
      <c r="H1397" t="str">
        <f>"ACCT#5150-005129483 / 11302018"</f>
        <v>ACCT#5150-005129483 / 11302018</v>
      </c>
    </row>
    <row r="1398" spans="1:8" x14ac:dyDescent="0.25">
      <c r="A1398" t="s">
        <v>456</v>
      </c>
      <c r="B1398">
        <v>235</v>
      </c>
      <c r="C1398" s="2">
        <v>104</v>
      </c>
      <c r="D1398" s="1">
        <v>43462</v>
      </c>
      <c r="E1398" t="str">
        <f>"201812145822"</f>
        <v>201812145822</v>
      </c>
      <c r="F1398" t="str">
        <f>"Employee Uniforms"</f>
        <v>Employee Uniforms</v>
      </c>
      <c r="G1398" s="3">
        <v>104</v>
      </c>
      <c r="H1398" t="str">
        <f>"shirts"</f>
        <v>shirts</v>
      </c>
    </row>
    <row r="1399" spans="1:8" x14ac:dyDescent="0.25">
      <c r="E1399" t="str">
        <f>""</f>
        <v/>
      </c>
      <c r="F1399" t="str">
        <f>""</f>
        <v/>
      </c>
      <c r="H1399" t="str">
        <f>"Jacket"</f>
        <v>Jacket</v>
      </c>
    </row>
    <row r="1400" spans="1:8" x14ac:dyDescent="0.25">
      <c r="A1400" t="s">
        <v>457</v>
      </c>
      <c r="B1400">
        <v>80273</v>
      </c>
      <c r="C1400" s="2">
        <v>5470.08</v>
      </c>
      <c r="D1400" s="1">
        <v>43461</v>
      </c>
      <c r="E1400" t="str">
        <f>"296367"</f>
        <v>296367</v>
      </c>
      <c r="F1400" t="str">
        <f>"COBRA EQUIPMENT RENTALS"</f>
        <v>COBRA EQUIPMENT RENTALS</v>
      </c>
      <c r="G1400" s="3">
        <v>5470.08</v>
      </c>
      <c r="H1400" t="str">
        <f>"Dozer Rental"</f>
        <v>Dozer Rental</v>
      </c>
    </row>
    <row r="1401" spans="1:8" x14ac:dyDescent="0.25">
      <c r="A1401" t="s">
        <v>458</v>
      </c>
      <c r="B1401">
        <v>80076</v>
      </c>
      <c r="C1401" s="2">
        <v>65.819999999999993</v>
      </c>
      <c r="D1401" s="1">
        <v>43444</v>
      </c>
      <c r="E1401" t="str">
        <f>"18-21581"</f>
        <v>18-21581</v>
      </c>
      <c r="F1401" t="str">
        <f>"WEI-ANN LIN (REIMBURSEMENTS ON"</f>
        <v>WEI-ANN LIN (REIMBURSEMENTS ON</v>
      </c>
      <c r="G1401" s="3">
        <v>65.819999999999993</v>
      </c>
      <c r="H1401" t="str">
        <f>""</f>
        <v/>
      </c>
    </row>
    <row r="1402" spans="1:8" x14ac:dyDescent="0.25">
      <c r="A1402" t="s">
        <v>459</v>
      </c>
      <c r="B1402">
        <v>229</v>
      </c>
      <c r="C1402" s="2">
        <v>14373.33</v>
      </c>
      <c r="D1402" s="1">
        <v>43462</v>
      </c>
      <c r="E1402" t="str">
        <f>"21455"</f>
        <v>21455</v>
      </c>
      <c r="F1402" t="str">
        <f>"INV 21455 - NOVEMBER 2018"</f>
        <v>INV 21455 - NOVEMBER 2018</v>
      </c>
      <c r="G1402" s="3">
        <v>14373.33</v>
      </c>
      <c r="H1402" t="str">
        <f>"INV 21455"</f>
        <v>INV 21455</v>
      </c>
    </row>
    <row r="1403" spans="1:8" x14ac:dyDescent="0.25">
      <c r="A1403" t="s">
        <v>460</v>
      </c>
      <c r="B1403">
        <v>80077</v>
      </c>
      <c r="C1403" s="2">
        <v>70</v>
      </c>
      <c r="D1403" s="1">
        <v>43444</v>
      </c>
      <c r="E1403" t="str">
        <f>"12936"</f>
        <v>12936</v>
      </c>
      <c r="F1403" t="str">
        <f>"SERVICE"</f>
        <v>SERVICE</v>
      </c>
      <c r="G1403" s="3">
        <v>70</v>
      </c>
      <c r="H1403" t="str">
        <f>"SERVICE"</f>
        <v>SERVICE</v>
      </c>
    </row>
    <row r="1404" spans="1:8" x14ac:dyDescent="0.25">
      <c r="A1404" t="s">
        <v>461</v>
      </c>
      <c r="B1404">
        <v>80274</v>
      </c>
      <c r="C1404" s="2">
        <v>318.51</v>
      </c>
      <c r="D1404" s="1">
        <v>43461</v>
      </c>
      <c r="E1404" t="str">
        <f>"095400612"</f>
        <v>095400612</v>
      </c>
      <c r="F1404" t="str">
        <f>"CUST#662445931/TAX OFFICE"</f>
        <v>CUST#662445931/TAX OFFICE</v>
      </c>
      <c r="G1404" s="3">
        <v>145.44</v>
      </c>
      <c r="H1404" t="str">
        <f>"CUST#662445931/TAX OFFICE"</f>
        <v>CUST#662445931/TAX OFFICE</v>
      </c>
    </row>
    <row r="1405" spans="1:8" x14ac:dyDescent="0.25">
      <c r="E1405" t="str">
        <f>"095400613"</f>
        <v>095400613</v>
      </c>
      <c r="F1405" t="str">
        <f>"CUST#662445931/TAX OFFICE"</f>
        <v>CUST#662445931/TAX OFFICE</v>
      </c>
      <c r="G1405" s="3">
        <v>60.18</v>
      </c>
      <c r="H1405" t="str">
        <f>"CUST#662445931/TAX OFFICE"</f>
        <v>CUST#662445931/TAX OFFICE</v>
      </c>
    </row>
    <row r="1406" spans="1:8" x14ac:dyDescent="0.25">
      <c r="E1406" t="str">
        <f>"095400619"</f>
        <v>095400619</v>
      </c>
      <c r="F1406" t="str">
        <f>"CUST#723230843/TAX OFFICE"</f>
        <v>CUST#723230843/TAX OFFICE</v>
      </c>
      <c r="G1406" s="3">
        <v>112.89</v>
      </c>
      <c r="H1406" t="str">
        <f>"CUST#723230843/TAX OFFICE"</f>
        <v>CUST#723230843/TAX OFFICE</v>
      </c>
    </row>
    <row r="1407" spans="1:8" x14ac:dyDescent="0.25">
      <c r="A1407" t="s">
        <v>461</v>
      </c>
      <c r="B1407">
        <v>80078</v>
      </c>
      <c r="C1407" s="2">
        <v>201.64</v>
      </c>
      <c r="D1407" s="1">
        <v>43444</v>
      </c>
      <c r="E1407" t="str">
        <f>"1383511"</f>
        <v>1383511</v>
      </c>
      <c r="F1407" t="str">
        <f>"CONTRACT#010-0095885-001"</f>
        <v>CONTRACT#010-0095885-001</v>
      </c>
      <c r="G1407" s="3">
        <v>201.64</v>
      </c>
      <c r="H1407" t="str">
        <f>"CONTRACT#010-0095885-001"</f>
        <v>CONTRACT#010-0095885-001</v>
      </c>
    </row>
    <row r="1408" spans="1:8" x14ac:dyDescent="0.25">
      <c r="A1408" t="s">
        <v>461</v>
      </c>
      <c r="B1408">
        <v>80275</v>
      </c>
      <c r="C1408" s="2">
        <v>201.64</v>
      </c>
      <c r="D1408" s="1">
        <v>43461</v>
      </c>
      <c r="E1408" t="str">
        <f>"1436237"</f>
        <v>1436237</v>
      </c>
      <c r="F1408" t="str">
        <f>"CONTRACT#010-0095885-001 DEC"</f>
        <v>CONTRACT#010-0095885-001 DEC</v>
      </c>
      <c r="G1408" s="3">
        <v>201.64</v>
      </c>
      <c r="H1408" t="str">
        <f>"CONTRACT#010-0095885-001 DEC"</f>
        <v>CONTRACT#010-0095885-001 DEC</v>
      </c>
    </row>
    <row r="1409" spans="1:8" x14ac:dyDescent="0.25">
      <c r="A1409" t="s">
        <v>462</v>
      </c>
      <c r="B1409">
        <v>80276</v>
      </c>
      <c r="C1409" s="2">
        <v>128.1</v>
      </c>
      <c r="D1409" s="1">
        <v>43461</v>
      </c>
      <c r="E1409" t="str">
        <f>"201812125728"</f>
        <v>201812125728</v>
      </c>
      <c r="F1409" t="str">
        <f>"REIMBURSE FOOD/LODGING"</f>
        <v>REIMBURSE FOOD/LODGING</v>
      </c>
      <c r="G1409" s="3">
        <v>128.1</v>
      </c>
      <c r="H1409" t="str">
        <f>"REIMBURSE FOOD/LODGING"</f>
        <v>REIMBURSE FOOD/LODGING</v>
      </c>
    </row>
    <row r="1410" spans="1:8" x14ac:dyDescent="0.25">
      <c r="A1410" t="s">
        <v>463</v>
      </c>
      <c r="B1410">
        <v>80079</v>
      </c>
      <c r="C1410" s="2">
        <v>25</v>
      </c>
      <c r="D1410" s="1">
        <v>43444</v>
      </c>
      <c r="E1410" t="str">
        <f>"201812035482"</f>
        <v>201812035482</v>
      </c>
      <c r="F1410" t="str">
        <f>"FERAL HOGS"</f>
        <v>FERAL HOGS</v>
      </c>
      <c r="G1410" s="3">
        <v>25</v>
      </c>
      <c r="H1410" t="str">
        <f>"FERAL HOGS"</f>
        <v>FERAL HOGS</v>
      </c>
    </row>
    <row r="1411" spans="1:8" x14ac:dyDescent="0.25">
      <c r="A1411" t="s">
        <v>464</v>
      </c>
      <c r="B1411">
        <v>80277</v>
      </c>
      <c r="C1411" s="2">
        <v>15675</v>
      </c>
      <c r="D1411" s="1">
        <v>43461</v>
      </c>
      <c r="E1411" t="str">
        <f>"Pay App 3"</f>
        <v>Pay App 3</v>
      </c>
      <c r="F1411" t="str">
        <f>"Cedar Creek Park Repair"</f>
        <v>Cedar Creek Park Repair</v>
      </c>
      <c r="G1411" s="3">
        <v>15675</v>
      </c>
      <c r="H1411" t="str">
        <f>"Pay App #3"</f>
        <v>Pay App #3</v>
      </c>
    </row>
    <row r="1412" spans="1:8" x14ac:dyDescent="0.25">
      <c r="A1412" t="s">
        <v>465</v>
      </c>
      <c r="B1412">
        <v>80278</v>
      </c>
      <c r="C1412" s="2">
        <v>148134</v>
      </c>
      <c r="D1412" s="1">
        <v>43461</v>
      </c>
      <c r="E1412" t="str">
        <f>"6406297"</f>
        <v>6406297</v>
      </c>
      <c r="F1412" t="str">
        <f>"New Holland TS6-130"</f>
        <v>New Holland TS6-130</v>
      </c>
      <c r="G1412" s="3">
        <v>148134</v>
      </c>
      <c r="H1412" t="str">
        <f>"payment"</f>
        <v>payment</v>
      </c>
    </row>
    <row r="1413" spans="1:8" x14ac:dyDescent="0.25">
      <c r="A1413" t="s">
        <v>51</v>
      </c>
      <c r="B1413">
        <v>80279</v>
      </c>
      <c r="C1413" s="2">
        <v>80.489999999999995</v>
      </c>
      <c r="D1413" s="1">
        <v>43461</v>
      </c>
      <c r="E1413" t="str">
        <f>"201812135780"</f>
        <v>201812135780</v>
      </c>
      <c r="F1413" t="str">
        <f>"ACCT#015397/JUVENILE BOOT CAMP"</f>
        <v>ACCT#015397/JUVENILE BOOT CAMP</v>
      </c>
      <c r="G1413" s="3">
        <v>80.489999999999995</v>
      </c>
      <c r="H1413" t="str">
        <f>"ACCT#015397/JUVENILE BOOT CAMP"</f>
        <v>ACCT#015397/JUVENILE BOOT CAMP</v>
      </c>
    </row>
    <row r="1414" spans="1:8" x14ac:dyDescent="0.25">
      <c r="A1414" t="s">
        <v>466</v>
      </c>
      <c r="B1414">
        <v>80280</v>
      </c>
      <c r="C1414" s="2">
        <v>225</v>
      </c>
      <c r="D1414" s="1">
        <v>43461</v>
      </c>
      <c r="E1414" t="str">
        <f>"3830"</f>
        <v>3830</v>
      </c>
      <c r="F1414" t="str">
        <f>"FLUSH &amp; STEAM CLEAN RADIATOR"</f>
        <v>FLUSH &amp; STEAM CLEAN RADIATOR</v>
      </c>
      <c r="G1414" s="3">
        <v>225</v>
      </c>
      <c r="H1414" t="str">
        <f>"FLUSH &amp; STEAM CLEAN RADIATOR"</f>
        <v>FLUSH &amp; STEAM CLEAN RADIATOR</v>
      </c>
    </row>
    <row r="1415" spans="1:8" x14ac:dyDescent="0.25">
      <c r="A1415" t="s">
        <v>467</v>
      </c>
      <c r="B1415">
        <v>80080</v>
      </c>
      <c r="C1415" s="2">
        <v>126493.92</v>
      </c>
      <c r="D1415" s="1">
        <v>43444</v>
      </c>
      <c r="E1415" t="str">
        <f>"1"</f>
        <v>1</v>
      </c>
      <c r="F1415" t="str">
        <f>"LOWER ELGIN RD BRIDGE WORK"</f>
        <v>LOWER ELGIN RD BRIDGE WORK</v>
      </c>
      <c r="G1415" s="3">
        <v>126493.92</v>
      </c>
      <c r="H1415" t="str">
        <f>"LOWER ELGIN RD BRIDGE WORK"</f>
        <v>LOWER ELGIN RD BRIDGE WORK</v>
      </c>
    </row>
    <row r="1416" spans="1:8" x14ac:dyDescent="0.25">
      <c r="A1416" t="s">
        <v>90</v>
      </c>
      <c r="B1416">
        <v>79887</v>
      </c>
      <c r="C1416" s="2">
        <v>349.75</v>
      </c>
      <c r="D1416" s="1">
        <v>43441</v>
      </c>
      <c r="E1416" t="str">
        <f>"201812075600"</f>
        <v>201812075600</v>
      </c>
      <c r="F1416" t="str">
        <f>"ACCT#5000057374 / 12032018"</f>
        <v>ACCT#5000057374 / 12032018</v>
      </c>
      <c r="G1416" s="3">
        <v>349.75</v>
      </c>
      <c r="H1416" t="str">
        <f>"ACCT#5000057374 / 12032018"</f>
        <v>ACCT#5000057374 / 12032018</v>
      </c>
    </row>
    <row r="1417" spans="1:8" x14ac:dyDescent="0.25">
      <c r="A1417" t="s">
        <v>104</v>
      </c>
      <c r="B1417">
        <v>80081</v>
      </c>
      <c r="C1417" s="2">
        <v>3605.91</v>
      </c>
      <c r="D1417" s="1">
        <v>43444</v>
      </c>
      <c r="E1417" t="str">
        <f>"30129160"</f>
        <v>30129160</v>
      </c>
      <c r="F1417" t="str">
        <f>"CUST#BASPCT2/ORD#37-18894/P2"</f>
        <v>CUST#BASPCT2/ORD#37-18894/P2</v>
      </c>
      <c r="G1417" s="3">
        <v>3605.91</v>
      </c>
      <c r="H1417" t="str">
        <f>"CUST#BASPCT2/ORD#37-18894/P2"</f>
        <v>CUST#BASPCT2/ORD#37-18894/P2</v>
      </c>
    </row>
    <row r="1418" spans="1:8" x14ac:dyDescent="0.25">
      <c r="A1418" t="s">
        <v>468</v>
      </c>
      <c r="B1418">
        <v>80098</v>
      </c>
      <c r="C1418" s="2">
        <v>2492.5</v>
      </c>
      <c r="D1418" s="1">
        <v>43461</v>
      </c>
      <c r="E1418" t="str">
        <f>"201812275987"</f>
        <v>201812275987</v>
      </c>
      <c r="F1418" t="str">
        <f>"GATE INSTALLATION - P1"</f>
        <v>GATE INSTALLATION - P1</v>
      </c>
      <c r="G1418" s="3">
        <v>2492.5</v>
      </c>
      <c r="H1418" t="str">
        <f>"GATE INSTALLATION - P1"</f>
        <v>GATE INSTALLATION - P1</v>
      </c>
    </row>
    <row r="1419" spans="1:8" x14ac:dyDescent="0.25">
      <c r="A1419" t="s">
        <v>469</v>
      </c>
      <c r="B1419">
        <v>80082</v>
      </c>
      <c r="C1419" s="2">
        <v>17329</v>
      </c>
      <c r="D1419" s="1">
        <v>43444</v>
      </c>
      <c r="E1419" t="str">
        <f>"93546996"</f>
        <v>93546996</v>
      </c>
      <c r="F1419" t="str">
        <f>"ArcGIS Jumpstart"</f>
        <v>ArcGIS Jumpstart</v>
      </c>
      <c r="G1419" s="3">
        <v>17329</v>
      </c>
      <c r="H1419" t="str">
        <f>"Balance"</f>
        <v>Balance</v>
      </c>
    </row>
    <row r="1420" spans="1:8" x14ac:dyDescent="0.25">
      <c r="A1420" t="s">
        <v>470</v>
      </c>
      <c r="B1420">
        <v>80083</v>
      </c>
      <c r="C1420" s="2">
        <v>10425.370000000001</v>
      </c>
      <c r="D1420" s="1">
        <v>43444</v>
      </c>
      <c r="E1420" t="str">
        <f>"9401958769"</f>
        <v>9401958769</v>
      </c>
      <c r="F1420" t="str">
        <f>"ACCT#912904/BOL#9383/PCT#2"</f>
        <v>ACCT#912904/BOL#9383/PCT#2</v>
      </c>
      <c r="G1420" s="3">
        <v>10425.370000000001</v>
      </c>
      <c r="H1420" t="str">
        <f>"ACCT#912904/BOL#9383/PCT#2"</f>
        <v>ACCT#912904/BOL#9383/PCT#2</v>
      </c>
    </row>
    <row r="1421" spans="1:8" x14ac:dyDescent="0.25">
      <c r="A1421" t="s">
        <v>471</v>
      </c>
      <c r="B1421">
        <v>23</v>
      </c>
      <c r="C1421" s="2">
        <v>49837.5</v>
      </c>
      <c r="D1421" s="1">
        <v>43461</v>
      </c>
      <c r="E1421" t="str">
        <f>"201812135779"</f>
        <v>201812135779</v>
      </c>
      <c r="F1421" t="str">
        <f>"DEBT SERVICE PMT - SERIES 2015"</f>
        <v>DEBT SERVICE PMT - SERIES 2015</v>
      </c>
      <c r="G1421" s="3">
        <v>49837.5</v>
      </c>
      <c r="H1421" t="str">
        <f>"DEBT SERVICE PMT - SERIES 2015"</f>
        <v>DEBT SERVICE PMT - SERIES 2015</v>
      </c>
    </row>
    <row r="1422" spans="1:8" x14ac:dyDescent="0.25">
      <c r="A1422" t="s">
        <v>472</v>
      </c>
      <c r="B1422">
        <v>80099</v>
      </c>
      <c r="C1422" s="2">
        <v>5400</v>
      </c>
      <c r="D1422" s="1">
        <v>43461</v>
      </c>
      <c r="E1422" t="str">
        <f>"470"</f>
        <v>470</v>
      </c>
      <c r="F1422" t="str">
        <f>"HYDROSEEDING-CEDAR CREEK PARK"</f>
        <v>HYDROSEEDING-CEDAR CREEK PARK</v>
      </c>
      <c r="G1422" s="3">
        <v>5400</v>
      </c>
      <c r="H1422" t="str">
        <f>"HYDROSEEDING-CEDAR CREEK PARK"</f>
        <v>HYDROSEEDING-CEDAR CREEK PARK</v>
      </c>
    </row>
    <row r="1423" spans="1:8" x14ac:dyDescent="0.25">
      <c r="A1423" t="s">
        <v>473</v>
      </c>
      <c r="B1423">
        <v>80281</v>
      </c>
      <c r="C1423" s="2">
        <v>4927.5</v>
      </c>
      <c r="D1423" s="1">
        <v>43461</v>
      </c>
      <c r="E1423" t="str">
        <f>"26650"</f>
        <v>26650</v>
      </c>
      <c r="F1423" t="str">
        <f>"HOISTING WIRE ROPE &amp; SLING"</f>
        <v>HOISTING WIRE ROPE &amp; SLING</v>
      </c>
      <c r="G1423" s="3">
        <v>4927.5</v>
      </c>
      <c r="H1423" t="str">
        <f>"1/2  Wire Rope"</f>
        <v>1/2  Wire Rope</v>
      </c>
    </row>
    <row r="1424" spans="1:8" x14ac:dyDescent="0.25">
      <c r="A1424" t="s">
        <v>216</v>
      </c>
      <c r="B1424">
        <v>80084</v>
      </c>
      <c r="C1424" s="2">
        <v>34.450000000000003</v>
      </c>
      <c r="D1424" s="1">
        <v>43444</v>
      </c>
      <c r="E1424" t="str">
        <f>"7974188"</f>
        <v>7974188</v>
      </c>
      <c r="F1424" t="str">
        <f>"Acct# 3780"</f>
        <v>Acct# 3780</v>
      </c>
      <c r="G1424" s="3">
        <v>34.450000000000003</v>
      </c>
      <c r="H1424" t="str">
        <f>"Inv# 7974188"</f>
        <v>Inv# 7974188</v>
      </c>
    </row>
    <row r="1425" spans="1:8" x14ac:dyDescent="0.25">
      <c r="A1425" t="s">
        <v>216</v>
      </c>
      <c r="B1425">
        <v>80091</v>
      </c>
      <c r="C1425" s="2">
        <v>5039.6000000000004</v>
      </c>
      <c r="D1425" s="1">
        <v>43447</v>
      </c>
      <c r="E1425" t="str">
        <f>"H6575-63088"</f>
        <v>H6575-63088</v>
      </c>
      <c r="F1425" t="str">
        <f>"CITIBANK (SOUTH DAKOTA)N.A./TH"</f>
        <v>CITIBANK (SOUTH DAKOTA)N.A./TH</v>
      </c>
      <c r="G1425" s="3">
        <v>5039.6000000000004</v>
      </c>
      <c r="H1425" t="str">
        <f>"8' X 6  Fence Posts"</f>
        <v>8' X 6  Fence Posts</v>
      </c>
    </row>
    <row r="1426" spans="1:8" x14ac:dyDescent="0.25">
      <c r="E1426" t="str">
        <f>""</f>
        <v/>
      </c>
      <c r="F1426" t="str">
        <f>""</f>
        <v/>
      </c>
      <c r="H1426" t="str">
        <f>"Delivery"</f>
        <v>Delivery</v>
      </c>
    </row>
    <row r="1427" spans="1:8" x14ac:dyDescent="0.25">
      <c r="A1427" t="s">
        <v>474</v>
      </c>
      <c r="B1427">
        <v>80085</v>
      </c>
      <c r="C1427" s="2">
        <v>9443.51</v>
      </c>
      <c r="D1427" s="1">
        <v>43444</v>
      </c>
      <c r="E1427" t="str">
        <f>"201810118"</f>
        <v>201810118</v>
      </c>
      <c r="F1427" t="str">
        <f>"PROJ#2017072/911 ER OPER &amp; IT"</f>
        <v>PROJ#2017072/911 ER OPER &amp; IT</v>
      </c>
      <c r="G1427" s="3">
        <v>9443.51</v>
      </c>
      <c r="H1427" t="str">
        <f>"PROJ#2017072/911 ER OPER &amp; IT"</f>
        <v>PROJ#2017072/911 ER OPER &amp; IT</v>
      </c>
    </row>
    <row r="1428" spans="1:8" x14ac:dyDescent="0.25">
      <c r="A1428" t="s">
        <v>474</v>
      </c>
      <c r="B1428">
        <v>80282</v>
      </c>
      <c r="C1428" s="2">
        <v>13798.93</v>
      </c>
      <c r="D1428" s="1">
        <v>43461</v>
      </c>
      <c r="E1428" t="str">
        <f>"201811101"</f>
        <v>201811101</v>
      </c>
      <c r="F1428" t="str">
        <f>"PROJ:2017072/911 ER OPER &amp; IT"</f>
        <v>PROJ:2017072/911 ER OPER &amp; IT</v>
      </c>
      <c r="G1428" s="3">
        <v>13798.93</v>
      </c>
      <c r="H1428" t="str">
        <f>"PROJ:2017072/911 ER OPER &amp; IT"</f>
        <v>PROJ:2017072/911 ER OPER &amp; IT</v>
      </c>
    </row>
    <row r="1429" spans="1:8" x14ac:dyDescent="0.25">
      <c r="A1429" t="s">
        <v>255</v>
      </c>
      <c r="B1429">
        <v>80283</v>
      </c>
      <c r="C1429" s="2">
        <v>86.57</v>
      </c>
      <c r="D1429" s="1">
        <v>43461</v>
      </c>
      <c r="E1429" t="str">
        <f>"201812135781"</f>
        <v>201812135781</v>
      </c>
      <c r="F1429" t="str">
        <f>"ACCT#1645/OEM"</f>
        <v>ACCT#1645/OEM</v>
      </c>
      <c r="G1429" s="3">
        <v>86.57</v>
      </c>
      <c r="H1429" t="str">
        <f>"ACCT#1645/OEM"</f>
        <v>ACCT#1645/OEM</v>
      </c>
    </row>
    <row r="1430" spans="1:8" x14ac:dyDescent="0.25">
      <c r="A1430" t="s">
        <v>475</v>
      </c>
      <c r="B1430">
        <v>80086</v>
      </c>
      <c r="C1430" s="2">
        <v>354558.11</v>
      </c>
      <c r="D1430" s="1">
        <v>43444</v>
      </c>
      <c r="E1430" t="str">
        <f>"181204-3"</f>
        <v>181204-3</v>
      </c>
      <c r="F1430" t="str">
        <f>"PROJ#181204/COMMUNICATIONS BLD"</f>
        <v>PROJ#181204/COMMUNICATIONS BLD</v>
      </c>
      <c r="G1430" s="3">
        <v>354558.11</v>
      </c>
      <c r="H1430" t="str">
        <f>"PROJ#181204/COMMUNICATIONS BLD"</f>
        <v>PROJ#181204/COMMUNICATIONS BLD</v>
      </c>
    </row>
    <row r="1431" spans="1:8" x14ac:dyDescent="0.25">
      <c r="A1431" t="s">
        <v>408</v>
      </c>
      <c r="B1431">
        <v>80284</v>
      </c>
      <c r="C1431" s="2">
        <v>1307.82</v>
      </c>
      <c r="D1431" s="1">
        <v>43461</v>
      </c>
      <c r="E1431" t="str">
        <f>"NRCN-23557-WC1-245"</f>
        <v>NRCN-23557-WC1-245</v>
      </c>
      <c r="F1431" t="str">
        <f>"1ST QTR 2019 WORKERS COMP"</f>
        <v>1ST QTR 2019 WORKERS COMP</v>
      </c>
      <c r="G1431" s="3">
        <v>1307.82</v>
      </c>
      <c r="H1431" t="str">
        <f>"1ST QTR 2019 WORKERS COMP"</f>
        <v>1ST QTR 2019 WORKERS COMP</v>
      </c>
    </row>
    <row r="1432" spans="1:8" x14ac:dyDescent="0.25">
      <c r="A1432" t="s">
        <v>476</v>
      </c>
      <c r="B1432">
        <v>80095</v>
      </c>
      <c r="C1432" s="2">
        <v>500</v>
      </c>
      <c r="D1432" s="1">
        <v>43453</v>
      </c>
      <c r="E1432" t="str">
        <f>"201812195940"</f>
        <v>201812195940</v>
      </c>
      <c r="F1432" t="str">
        <f>"DEPOSIT - 2019 LOADTRAIL / P2"</f>
        <v>DEPOSIT - 2019 LOADTRAIL / P2</v>
      </c>
      <c r="G1432" s="3">
        <v>500</v>
      </c>
      <c r="H1432" t="str">
        <f>"DEPOSIT - 2019 LOADTRAIL / P2"</f>
        <v>DEPOSIT - 2019 LOADTRAIL / P2</v>
      </c>
    </row>
    <row r="1433" spans="1:8" x14ac:dyDescent="0.25">
      <c r="A1433" t="s">
        <v>477</v>
      </c>
      <c r="B1433">
        <v>80087</v>
      </c>
      <c r="C1433" s="2">
        <v>4000</v>
      </c>
      <c r="D1433" s="1">
        <v>43444</v>
      </c>
      <c r="E1433" t="str">
        <f>"BC05312018"</f>
        <v>BC05312018</v>
      </c>
      <c r="F1433" t="str">
        <f>"CONT#BC16-016"</f>
        <v>CONT#BC16-016</v>
      </c>
      <c r="G1433" s="3">
        <v>4000</v>
      </c>
      <c r="H1433" t="str">
        <f>"CONT#BC16-016"</f>
        <v>CONT#BC16-016</v>
      </c>
    </row>
    <row r="1434" spans="1:8" x14ac:dyDescent="0.25">
      <c r="A1434" t="s">
        <v>448</v>
      </c>
      <c r="B1434">
        <v>80088</v>
      </c>
      <c r="C1434" s="2">
        <v>1871.58</v>
      </c>
      <c r="D1434" s="1">
        <v>43444</v>
      </c>
      <c r="E1434" t="str">
        <f>"869395921847"</f>
        <v>869395921847</v>
      </c>
      <c r="F1434" t="str">
        <f>"Inv#869395921847"</f>
        <v>Inv#869395921847</v>
      </c>
      <c r="G1434" s="3">
        <v>1871.58</v>
      </c>
      <c r="H1434" t="str">
        <f>"Fuel"</f>
        <v>Fuel</v>
      </c>
    </row>
    <row r="1435" spans="1:8" x14ac:dyDescent="0.25">
      <c r="E1435" t="str">
        <f>""</f>
        <v/>
      </c>
      <c r="F1435" t="str">
        <f>""</f>
        <v/>
      </c>
      <c r="H1435" t="str">
        <f>"Tax"</f>
        <v>Tax</v>
      </c>
    </row>
    <row r="1436" spans="1:8" x14ac:dyDescent="0.25">
      <c r="E1436" t="str">
        <f>""</f>
        <v/>
      </c>
      <c r="F1436" t="str">
        <f>""</f>
        <v/>
      </c>
      <c r="H1436" t="str">
        <f>"Maintenance"</f>
        <v>Maintenance</v>
      </c>
    </row>
    <row r="1437" spans="1:8" x14ac:dyDescent="0.25">
      <c r="A1437" t="s">
        <v>453</v>
      </c>
      <c r="B1437">
        <v>80089</v>
      </c>
      <c r="C1437" s="2">
        <v>75.760000000000005</v>
      </c>
      <c r="D1437" s="1">
        <v>43444</v>
      </c>
      <c r="E1437" t="str">
        <f>"001423 007049 0001"</f>
        <v>001423 007049 0001</v>
      </c>
      <c r="F1437" t="str">
        <f>"Acct# 2476"</f>
        <v>Acct# 2476</v>
      </c>
      <c r="G1437" s="3">
        <v>75.760000000000005</v>
      </c>
      <c r="H1437" t="str">
        <f>"Inv# 001423"</f>
        <v>Inv# 001423</v>
      </c>
    </row>
    <row r="1438" spans="1:8" x14ac:dyDescent="0.25">
      <c r="E1438" t="str">
        <f>""</f>
        <v/>
      </c>
      <c r="F1438" t="str">
        <f>""</f>
        <v/>
      </c>
      <c r="H1438" t="str">
        <f>"Inv# 007049"</f>
        <v>Inv# 007049</v>
      </c>
    </row>
    <row r="1439" spans="1:8" x14ac:dyDescent="0.25">
      <c r="E1439" t="str">
        <f>""</f>
        <v/>
      </c>
      <c r="F1439" t="str">
        <f>""</f>
        <v/>
      </c>
      <c r="H1439" t="str">
        <f>"Inv# 000177"</f>
        <v>Inv# 000177</v>
      </c>
    </row>
    <row r="1440" spans="1:8" x14ac:dyDescent="0.25">
      <c r="A1440" t="s">
        <v>478</v>
      </c>
      <c r="B1440">
        <v>80090</v>
      </c>
      <c r="C1440" s="2">
        <v>7580.99</v>
      </c>
      <c r="D1440" s="1">
        <v>43444</v>
      </c>
      <c r="E1440" t="str">
        <f>"I-1-33686-1"</f>
        <v>I-1-33686-1</v>
      </c>
      <c r="F1440" t="str">
        <f>"LPHCP - Audio Loggers"</f>
        <v>LPHCP - Audio Loggers</v>
      </c>
      <c r="G1440" s="3">
        <v>7580.99</v>
      </c>
      <c r="H1440" t="str">
        <f>"Part # SM4"</f>
        <v>Part # SM4</v>
      </c>
    </row>
    <row r="1441" spans="1:8" x14ac:dyDescent="0.25">
      <c r="E1441" t="str">
        <f>""</f>
        <v/>
      </c>
      <c r="F1441" t="str">
        <f>""</f>
        <v/>
      </c>
      <c r="H1441" t="str">
        <f>"Part # SDXC64"</f>
        <v>Part # SDXC64</v>
      </c>
    </row>
    <row r="1442" spans="1:8" x14ac:dyDescent="0.25">
      <c r="E1442" t="str">
        <f>""</f>
        <v/>
      </c>
      <c r="F1442" t="str">
        <f>""</f>
        <v/>
      </c>
      <c r="H1442" t="str">
        <f>"Part # SM4GPS"</f>
        <v>Part # SM4GPS</v>
      </c>
    </row>
    <row r="1443" spans="1:8" x14ac:dyDescent="0.25">
      <c r="E1443" t="str">
        <f>""</f>
        <v/>
      </c>
      <c r="F1443" t="str">
        <f>""</f>
        <v/>
      </c>
      <c r="H1443" t="str">
        <f>"Shipping"</f>
        <v>Shipping</v>
      </c>
    </row>
    <row r="1444" spans="1:8" x14ac:dyDescent="0.25">
      <c r="A1444" t="s">
        <v>479</v>
      </c>
      <c r="B1444">
        <v>29</v>
      </c>
      <c r="C1444" s="2">
        <v>5967.42</v>
      </c>
      <c r="D1444" s="1">
        <v>43462</v>
      </c>
      <c r="E1444" t="str">
        <f>"201812275993"</f>
        <v>201812275993</v>
      </c>
      <c r="F1444" t="str">
        <f>"ALLSTATE-AMERICAN HERITAGE LIF"</f>
        <v>ALLSTATE-AMERICAN HERITAGE LIF</v>
      </c>
      <c r="G1444" s="3">
        <v>0.06</v>
      </c>
      <c r="H1444" t="str">
        <f>"ALLSTATE-AMERICAN HERITAGE LIF"</f>
        <v>ALLSTATE-AMERICAN HERITAGE LIF</v>
      </c>
    </row>
    <row r="1445" spans="1:8" x14ac:dyDescent="0.25">
      <c r="E1445" t="str">
        <f>"AS 201812125722"</f>
        <v>AS 201812125722</v>
      </c>
      <c r="F1445" t="str">
        <f t="shared" ref="F1445:F1458" si="17">"ALLSTATE"</f>
        <v>ALLSTATE</v>
      </c>
      <c r="G1445" s="3">
        <v>547.05999999999995</v>
      </c>
      <c r="H1445" t="str">
        <f t="shared" ref="H1445:H1458" si="18">"ALLSTATE"</f>
        <v>ALLSTATE</v>
      </c>
    </row>
    <row r="1446" spans="1:8" x14ac:dyDescent="0.25">
      <c r="E1446" t="str">
        <f>"AS 201812125723"</f>
        <v>AS 201812125723</v>
      </c>
      <c r="F1446" t="str">
        <f t="shared" si="17"/>
        <v>ALLSTATE</v>
      </c>
      <c r="G1446" s="3">
        <v>27.14</v>
      </c>
      <c r="H1446" t="str">
        <f t="shared" si="18"/>
        <v>ALLSTATE</v>
      </c>
    </row>
    <row r="1447" spans="1:8" x14ac:dyDescent="0.25">
      <c r="E1447" t="str">
        <f>"AS 201812255984"</f>
        <v>AS 201812255984</v>
      </c>
      <c r="F1447" t="str">
        <f t="shared" si="17"/>
        <v>ALLSTATE</v>
      </c>
      <c r="G1447" s="3">
        <v>547.05999999999995</v>
      </c>
      <c r="H1447" t="str">
        <f t="shared" si="18"/>
        <v>ALLSTATE</v>
      </c>
    </row>
    <row r="1448" spans="1:8" x14ac:dyDescent="0.25">
      <c r="E1448" t="str">
        <f>"AS 201812255985"</f>
        <v>AS 201812255985</v>
      </c>
      <c r="F1448" t="str">
        <f t="shared" si="17"/>
        <v>ALLSTATE</v>
      </c>
      <c r="G1448" s="3">
        <v>27.14</v>
      </c>
      <c r="H1448" t="str">
        <f t="shared" si="18"/>
        <v>ALLSTATE</v>
      </c>
    </row>
    <row r="1449" spans="1:8" x14ac:dyDescent="0.25">
      <c r="E1449" t="str">
        <f>"ASD201812125722"</f>
        <v>ASD201812125722</v>
      </c>
      <c r="F1449" t="str">
        <f t="shared" si="17"/>
        <v>ALLSTATE</v>
      </c>
      <c r="G1449" s="3">
        <v>193.92</v>
      </c>
      <c r="H1449" t="str">
        <f t="shared" si="18"/>
        <v>ALLSTATE</v>
      </c>
    </row>
    <row r="1450" spans="1:8" x14ac:dyDescent="0.25">
      <c r="E1450" t="str">
        <f>"ASD201812255984"</f>
        <v>ASD201812255984</v>
      </c>
      <c r="F1450" t="str">
        <f t="shared" si="17"/>
        <v>ALLSTATE</v>
      </c>
      <c r="G1450" s="3">
        <v>193.92</v>
      </c>
      <c r="H1450" t="str">
        <f t="shared" si="18"/>
        <v>ALLSTATE</v>
      </c>
    </row>
    <row r="1451" spans="1:8" x14ac:dyDescent="0.25">
      <c r="E1451" t="str">
        <f>"ASI201812125722"</f>
        <v>ASI201812125722</v>
      </c>
      <c r="F1451" t="str">
        <f t="shared" si="17"/>
        <v>ALLSTATE</v>
      </c>
      <c r="G1451" s="3">
        <v>684.22</v>
      </c>
      <c r="H1451" t="str">
        <f t="shared" si="18"/>
        <v>ALLSTATE</v>
      </c>
    </row>
    <row r="1452" spans="1:8" x14ac:dyDescent="0.25">
      <c r="E1452" t="str">
        <f>"ASI201812125723"</f>
        <v>ASI201812125723</v>
      </c>
      <c r="F1452" t="str">
        <f t="shared" si="17"/>
        <v>ALLSTATE</v>
      </c>
      <c r="G1452" s="3">
        <v>67.150000000000006</v>
      </c>
      <c r="H1452" t="str">
        <f t="shared" si="18"/>
        <v>ALLSTATE</v>
      </c>
    </row>
    <row r="1453" spans="1:8" x14ac:dyDescent="0.25">
      <c r="E1453" t="str">
        <f>"ASI201812255984"</f>
        <v>ASI201812255984</v>
      </c>
      <c r="F1453" t="str">
        <f t="shared" si="17"/>
        <v>ALLSTATE</v>
      </c>
      <c r="G1453" s="3">
        <v>684.22</v>
      </c>
      <c r="H1453" t="str">
        <f t="shared" si="18"/>
        <v>ALLSTATE</v>
      </c>
    </row>
    <row r="1454" spans="1:8" x14ac:dyDescent="0.25">
      <c r="E1454" t="str">
        <f>"ASI201812255985"</f>
        <v>ASI201812255985</v>
      </c>
      <c r="F1454" t="str">
        <f t="shared" si="17"/>
        <v>ALLSTATE</v>
      </c>
      <c r="G1454" s="3">
        <v>67.150000000000006</v>
      </c>
      <c r="H1454" t="str">
        <f t="shared" si="18"/>
        <v>ALLSTATE</v>
      </c>
    </row>
    <row r="1455" spans="1:8" x14ac:dyDescent="0.25">
      <c r="E1455" t="str">
        <f>"AST201812125722"</f>
        <v>AST201812125722</v>
      </c>
      <c r="F1455" t="str">
        <f t="shared" si="17"/>
        <v>ALLSTATE</v>
      </c>
      <c r="G1455" s="3">
        <v>1410.36</v>
      </c>
      <c r="H1455" t="str">
        <f t="shared" si="18"/>
        <v>ALLSTATE</v>
      </c>
    </row>
    <row r="1456" spans="1:8" x14ac:dyDescent="0.25">
      <c r="E1456" t="str">
        <f>"AST201812125723"</f>
        <v>AST201812125723</v>
      </c>
      <c r="F1456" t="str">
        <f t="shared" si="17"/>
        <v>ALLSTATE</v>
      </c>
      <c r="G1456" s="3">
        <v>53.83</v>
      </c>
      <c r="H1456" t="str">
        <f t="shared" si="18"/>
        <v>ALLSTATE</v>
      </c>
    </row>
    <row r="1457" spans="1:8" x14ac:dyDescent="0.25">
      <c r="E1457" t="str">
        <f>"AST201812255984"</f>
        <v>AST201812255984</v>
      </c>
      <c r="F1457" t="str">
        <f t="shared" si="17"/>
        <v>ALLSTATE</v>
      </c>
      <c r="G1457" s="3">
        <v>1410.36</v>
      </c>
      <c r="H1457" t="str">
        <f t="shared" si="18"/>
        <v>ALLSTATE</v>
      </c>
    </row>
    <row r="1458" spans="1:8" x14ac:dyDescent="0.25">
      <c r="E1458" t="str">
        <f>"AST201812255985"</f>
        <v>AST201812255985</v>
      </c>
      <c r="F1458" t="str">
        <f t="shared" si="17"/>
        <v>ALLSTATE</v>
      </c>
      <c r="G1458" s="3">
        <v>53.83</v>
      </c>
      <c r="H1458" t="str">
        <f t="shared" si="18"/>
        <v>ALLSTATE</v>
      </c>
    </row>
    <row r="1459" spans="1:8" x14ac:dyDescent="0.25">
      <c r="A1459" t="s">
        <v>480</v>
      </c>
      <c r="B1459">
        <v>9</v>
      </c>
      <c r="C1459" s="2">
        <v>8.61</v>
      </c>
      <c r="D1459" s="1">
        <v>43448</v>
      </c>
      <c r="E1459" t="str">
        <f>"201812125714"</f>
        <v>201812125714</v>
      </c>
      <c r="F1459" t="str">
        <f>"BARBARA ANN BOGART FY 17/18"</f>
        <v>BARBARA ANN BOGART FY 17/18</v>
      </c>
      <c r="G1459" s="3">
        <v>8.61</v>
      </c>
      <c r="H1459" t="str">
        <f>"BARBARA ANN BOGART FY 17/18"</f>
        <v>BARBARA ANN BOGART FY 17/18</v>
      </c>
    </row>
    <row r="1460" spans="1:8" x14ac:dyDescent="0.25">
      <c r="A1460" t="s">
        <v>481</v>
      </c>
      <c r="B1460">
        <v>11</v>
      </c>
      <c r="C1460" s="2">
        <v>2908.61</v>
      </c>
      <c r="D1460" s="1">
        <v>43448</v>
      </c>
      <c r="E1460" t="str">
        <f>"DHM201812125727"</f>
        <v>DHM201812125727</v>
      </c>
      <c r="F1460" t="str">
        <f>"AP - DENTAL HMO"</f>
        <v>AP - DENTAL HMO</v>
      </c>
      <c r="G1460" s="3">
        <v>56.6</v>
      </c>
      <c r="H1460" t="str">
        <f>"AP - DENTAL HMO"</f>
        <v>AP - DENTAL HMO</v>
      </c>
    </row>
    <row r="1461" spans="1:8" x14ac:dyDescent="0.25">
      <c r="E1461" t="str">
        <f>"DTX201812125727"</f>
        <v>DTX201812125727</v>
      </c>
      <c r="F1461" t="str">
        <f>"AP - TEXAS DENTAL"</f>
        <v>AP - TEXAS DENTAL</v>
      </c>
      <c r="G1461" s="3">
        <v>388.16</v>
      </c>
      <c r="H1461" t="str">
        <f>"AP - TEXAS DENTAL"</f>
        <v>AP - TEXAS DENTAL</v>
      </c>
    </row>
    <row r="1462" spans="1:8" x14ac:dyDescent="0.25">
      <c r="E1462" t="str">
        <f>"FD 201812125727"</f>
        <v>FD 201812125727</v>
      </c>
      <c r="F1462" t="str">
        <f>"AP - FT DEARBORN PRE-TAX"</f>
        <v>AP - FT DEARBORN PRE-TAX</v>
      </c>
      <c r="G1462" s="3">
        <v>271.92</v>
      </c>
      <c r="H1462" t="str">
        <f>"AP - FT DEARBORN PRE-TAX"</f>
        <v>AP - FT DEARBORN PRE-TAX</v>
      </c>
    </row>
    <row r="1463" spans="1:8" x14ac:dyDescent="0.25">
      <c r="E1463" t="str">
        <f>"FDT201812125727"</f>
        <v>FDT201812125727</v>
      </c>
      <c r="F1463" t="str">
        <f>"AP - FT DEARBORN AFTER TAX"</f>
        <v>AP - FT DEARBORN AFTER TAX</v>
      </c>
      <c r="G1463" s="3">
        <v>70.25</v>
      </c>
      <c r="H1463" t="str">
        <f>"AP - FT DEARBORN AFTER TAX"</f>
        <v>AP - FT DEARBORN AFTER TAX</v>
      </c>
    </row>
    <row r="1464" spans="1:8" x14ac:dyDescent="0.25">
      <c r="E1464" t="str">
        <f>"FLX201812125727"</f>
        <v>FLX201812125727</v>
      </c>
      <c r="F1464" t="str">
        <f>"AP - TEX FLEX"</f>
        <v>AP - TEX FLEX</v>
      </c>
      <c r="G1464" s="3">
        <v>220</v>
      </c>
      <c r="H1464" t="str">
        <f>"AP - TEX FLEX"</f>
        <v>AP - TEX FLEX</v>
      </c>
    </row>
    <row r="1465" spans="1:8" x14ac:dyDescent="0.25">
      <c r="E1465" t="str">
        <f>"MHS201812125727"</f>
        <v>MHS201812125727</v>
      </c>
      <c r="F1465" t="str">
        <f>"AP - HEALTH SELECT MEDICAL"</f>
        <v>AP - HEALTH SELECT MEDICAL</v>
      </c>
      <c r="G1465" s="3">
        <v>1436.65</v>
      </c>
      <c r="H1465" t="str">
        <f>"AP - HEALTH SELECT MEDICAL"</f>
        <v>AP - HEALTH SELECT MEDICAL</v>
      </c>
    </row>
    <row r="1466" spans="1:8" x14ac:dyDescent="0.25">
      <c r="E1466" t="str">
        <f>"MSW201812125727"</f>
        <v>MSW201812125727</v>
      </c>
      <c r="F1466" t="str">
        <f>"AP - SCOTT &amp; WHITE MEDICAL"</f>
        <v>AP - SCOTT &amp; WHITE MEDICAL</v>
      </c>
      <c r="G1466" s="3">
        <v>431.02</v>
      </c>
      <c r="H1466" t="str">
        <f>"AP - SCOTT &amp; WHITE MEDICAL"</f>
        <v>AP - SCOTT &amp; WHITE MEDICAL</v>
      </c>
    </row>
    <row r="1467" spans="1:8" x14ac:dyDescent="0.25">
      <c r="E1467" t="str">
        <f>"SPE201812125727"</f>
        <v>SPE201812125727</v>
      </c>
      <c r="F1467" t="str">
        <f>"AP - STATE VISION"</f>
        <v>AP - STATE VISION</v>
      </c>
      <c r="G1467" s="3">
        <v>34.01</v>
      </c>
      <c r="H1467" t="str">
        <f>"AP - STATE VISION"</f>
        <v>AP - STATE VISION</v>
      </c>
    </row>
    <row r="1468" spans="1:8" x14ac:dyDescent="0.25">
      <c r="A1468" t="s">
        <v>481</v>
      </c>
      <c r="B1468">
        <v>18</v>
      </c>
      <c r="C1468" s="2">
        <v>2908.61</v>
      </c>
      <c r="D1468" s="1">
        <v>43462</v>
      </c>
      <c r="E1468" t="str">
        <f>"DHM201812255986"</f>
        <v>DHM201812255986</v>
      </c>
      <c r="F1468" t="str">
        <f>"AP - DENTAL HMO"</f>
        <v>AP - DENTAL HMO</v>
      </c>
      <c r="G1468" s="3">
        <v>56.6</v>
      </c>
      <c r="H1468" t="str">
        <f>"AP - DENTAL HMO"</f>
        <v>AP - DENTAL HMO</v>
      </c>
    </row>
    <row r="1469" spans="1:8" x14ac:dyDescent="0.25">
      <c r="E1469" t="str">
        <f>"DTX201812255986"</f>
        <v>DTX201812255986</v>
      </c>
      <c r="F1469" t="str">
        <f>"AP - TEXAS DENTAL"</f>
        <v>AP - TEXAS DENTAL</v>
      </c>
      <c r="G1469" s="3">
        <v>388.16</v>
      </c>
      <c r="H1469" t="str">
        <f>"AP - TEXAS DENTAL"</f>
        <v>AP - TEXAS DENTAL</v>
      </c>
    </row>
    <row r="1470" spans="1:8" x14ac:dyDescent="0.25">
      <c r="E1470" t="str">
        <f>"FD 201812255986"</f>
        <v>FD 201812255986</v>
      </c>
      <c r="F1470" t="str">
        <f>"AP - FT DEARBORN PRE-TAX"</f>
        <v>AP - FT DEARBORN PRE-TAX</v>
      </c>
      <c r="G1470" s="3">
        <v>271.92</v>
      </c>
      <c r="H1470" t="str">
        <f>"AP - FT DEARBORN PRE-TAX"</f>
        <v>AP - FT DEARBORN PRE-TAX</v>
      </c>
    </row>
    <row r="1471" spans="1:8" x14ac:dyDescent="0.25">
      <c r="E1471" t="str">
        <f>"FDT201812255986"</f>
        <v>FDT201812255986</v>
      </c>
      <c r="F1471" t="str">
        <f>"AP - FT DEARBORN AFTER TAX"</f>
        <v>AP - FT DEARBORN AFTER TAX</v>
      </c>
      <c r="G1471" s="3">
        <v>70.25</v>
      </c>
      <c r="H1471" t="str">
        <f>"AP - FT DEARBORN AFTER TAX"</f>
        <v>AP - FT DEARBORN AFTER TAX</v>
      </c>
    </row>
    <row r="1472" spans="1:8" x14ac:dyDescent="0.25">
      <c r="E1472" t="str">
        <f>"FLX201812255986"</f>
        <v>FLX201812255986</v>
      </c>
      <c r="F1472" t="str">
        <f>"AP - TEX FLEX"</f>
        <v>AP - TEX FLEX</v>
      </c>
      <c r="G1472" s="3">
        <v>220</v>
      </c>
      <c r="H1472" t="str">
        <f>"AP - TEX FLEX"</f>
        <v>AP - TEX FLEX</v>
      </c>
    </row>
    <row r="1473" spans="1:8" x14ac:dyDescent="0.25">
      <c r="E1473" t="str">
        <f>"MHS201812255986"</f>
        <v>MHS201812255986</v>
      </c>
      <c r="F1473" t="str">
        <f>"AP - HEALTH SELECT MEDICAL"</f>
        <v>AP - HEALTH SELECT MEDICAL</v>
      </c>
      <c r="G1473" s="3">
        <v>1436.65</v>
      </c>
      <c r="H1473" t="str">
        <f>"AP - HEALTH SELECT MEDICAL"</f>
        <v>AP - HEALTH SELECT MEDICAL</v>
      </c>
    </row>
    <row r="1474" spans="1:8" x14ac:dyDescent="0.25">
      <c r="E1474" t="str">
        <f>"MSW201812255986"</f>
        <v>MSW201812255986</v>
      </c>
      <c r="F1474" t="str">
        <f>"AP - SCOTT &amp; WHITE MEDICAL"</f>
        <v>AP - SCOTT &amp; WHITE MEDICAL</v>
      </c>
      <c r="G1474" s="3">
        <v>431.02</v>
      </c>
      <c r="H1474" t="str">
        <f>"AP - SCOTT &amp; WHITE MEDICAL"</f>
        <v>AP - SCOTT &amp; WHITE MEDICAL</v>
      </c>
    </row>
    <row r="1475" spans="1:8" x14ac:dyDescent="0.25">
      <c r="E1475" t="str">
        <f>"SPE201812255986"</f>
        <v>SPE201812255986</v>
      </c>
      <c r="F1475" t="str">
        <f>"AP - STATE VISION"</f>
        <v>AP - STATE VISION</v>
      </c>
      <c r="G1475" s="3">
        <v>34.01</v>
      </c>
      <c r="H1475" t="str">
        <f>"AP - STATE VISION"</f>
        <v>AP - STATE VISION</v>
      </c>
    </row>
    <row r="1476" spans="1:8" x14ac:dyDescent="0.25">
      <c r="A1476" t="s">
        <v>482</v>
      </c>
      <c r="B1476">
        <v>47197</v>
      </c>
      <c r="C1476" s="2">
        <v>11.38</v>
      </c>
      <c r="D1476" s="1">
        <v>43448</v>
      </c>
      <c r="E1476" t="str">
        <f>"201812125751"</f>
        <v>201812125751</v>
      </c>
      <c r="F1476" t="str">
        <f>"CHESTER LEE MCDONALD"</f>
        <v>CHESTER LEE MCDONALD</v>
      </c>
      <c r="G1476" s="3">
        <v>11.38</v>
      </c>
      <c r="H1476" t="str">
        <f>"CHESTER LEE MCDONALD"</f>
        <v>CHESTER LEE MCDONALD</v>
      </c>
    </row>
    <row r="1477" spans="1:8" x14ac:dyDescent="0.25">
      <c r="A1477" t="s">
        <v>483</v>
      </c>
      <c r="B1477">
        <v>30</v>
      </c>
      <c r="C1477" s="2">
        <v>4818.84</v>
      </c>
      <c r="D1477" s="1">
        <v>43462</v>
      </c>
      <c r="E1477" t="str">
        <f>"201812275992"</f>
        <v>201812275992</v>
      </c>
      <c r="F1477" t="str">
        <f>"COLONIAL LIFE &amp; ACCIDENT INS."</f>
        <v>COLONIAL LIFE &amp; ACCIDENT INS.</v>
      </c>
      <c r="G1477" s="3">
        <v>-10.75</v>
      </c>
      <c r="H1477" t="str">
        <f>"COLONIAL LIFE &amp; ACCIDENT INS."</f>
        <v>COLONIAL LIFE &amp; ACCIDENT INS.</v>
      </c>
    </row>
    <row r="1478" spans="1:8" x14ac:dyDescent="0.25">
      <c r="E1478" t="str">
        <f>"CL 201812125722"</f>
        <v>CL 201812125722</v>
      </c>
      <c r="F1478" t="str">
        <f t="shared" ref="F1478:F1501" si="19">"COLONIAL"</f>
        <v>COLONIAL</v>
      </c>
      <c r="G1478" s="3">
        <v>713.7</v>
      </c>
      <c r="H1478" t="str">
        <f t="shared" ref="H1478:H1501" si="20">"COLONIAL"</f>
        <v>COLONIAL</v>
      </c>
    </row>
    <row r="1479" spans="1:8" x14ac:dyDescent="0.25">
      <c r="E1479" t="str">
        <f>"CL 201812125723"</f>
        <v>CL 201812125723</v>
      </c>
      <c r="F1479" t="str">
        <f t="shared" si="19"/>
        <v>COLONIAL</v>
      </c>
      <c r="G1479" s="3">
        <v>14.49</v>
      </c>
      <c r="H1479" t="str">
        <f t="shared" si="20"/>
        <v>COLONIAL</v>
      </c>
    </row>
    <row r="1480" spans="1:8" x14ac:dyDescent="0.25">
      <c r="E1480" t="str">
        <f>"CL 201812255984"</f>
        <v>CL 201812255984</v>
      </c>
      <c r="F1480" t="str">
        <f t="shared" si="19"/>
        <v>COLONIAL</v>
      </c>
      <c r="G1480" s="3">
        <v>713.7</v>
      </c>
      <c r="H1480" t="str">
        <f t="shared" si="20"/>
        <v>COLONIAL</v>
      </c>
    </row>
    <row r="1481" spans="1:8" x14ac:dyDescent="0.25">
      <c r="E1481" t="str">
        <f>"CL 201812255985"</f>
        <v>CL 201812255985</v>
      </c>
      <c r="F1481" t="str">
        <f t="shared" si="19"/>
        <v>COLONIAL</v>
      </c>
      <c r="G1481" s="3">
        <v>14.49</v>
      </c>
      <c r="H1481" t="str">
        <f t="shared" si="20"/>
        <v>COLONIAL</v>
      </c>
    </row>
    <row r="1482" spans="1:8" x14ac:dyDescent="0.25">
      <c r="E1482" t="str">
        <f>"CLC201812125722"</f>
        <v>CLC201812125722</v>
      </c>
      <c r="F1482" t="str">
        <f t="shared" si="19"/>
        <v>COLONIAL</v>
      </c>
      <c r="G1482" s="3">
        <v>33.99</v>
      </c>
      <c r="H1482" t="str">
        <f t="shared" si="20"/>
        <v>COLONIAL</v>
      </c>
    </row>
    <row r="1483" spans="1:8" x14ac:dyDescent="0.25">
      <c r="E1483" t="str">
        <f>"CLC201812255984"</f>
        <v>CLC201812255984</v>
      </c>
      <c r="F1483" t="str">
        <f t="shared" si="19"/>
        <v>COLONIAL</v>
      </c>
      <c r="G1483" s="3">
        <v>33.99</v>
      </c>
      <c r="H1483" t="str">
        <f t="shared" si="20"/>
        <v>COLONIAL</v>
      </c>
    </row>
    <row r="1484" spans="1:8" x14ac:dyDescent="0.25">
      <c r="E1484" t="str">
        <f>"CLI201812125722"</f>
        <v>CLI201812125722</v>
      </c>
      <c r="F1484" t="str">
        <f t="shared" si="19"/>
        <v>COLONIAL</v>
      </c>
      <c r="G1484" s="3">
        <v>597.61</v>
      </c>
      <c r="H1484" t="str">
        <f t="shared" si="20"/>
        <v>COLONIAL</v>
      </c>
    </row>
    <row r="1485" spans="1:8" x14ac:dyDescent="0.25">
      <c r="E1485" t="str">
        <f>"CLI201812125723"</f>
        <v>CLI201812125723</v>
      </c>
      <c r="F1485" t="str">
        <f t="shared" si="19"/>
        <v>COLONIAL</v>
      </c>
      <c r="G1485" s="3">
        <v>5.18</v>
      </c>
      <c r="H1485" t="str">
        <f t="shared" si="20"/>
        <v>COLONIAL</v>
      </c>
    </row>
    <row r="1486" spans="1:8" x14ac:dyDescent="0.25">
      <c r="E1486" t="str">
        <f>"CLI201812255984"</f>
        <v>CLI201812255984</v>
      </c>
      <c r="F1486" t="str">
        <f t="shared" si="19"/>
        <v>COLONIAL</v>
      </c>
      <c r="G1486" s="3">
        <v>587.08000000000004</v>
      </c>
      <c r="H1486" t="str">
        <f t="shared" si="20"/>
        <v>COLONIAL</v>
      </c>
    </row>
    <row r="1487" spans="1:8" x14ac:dyDescent="0.25">
      <c r="E1487" t="str">
        <f>"CLI201812255985"</f>
        <v>CLI201812255985</v>
      </c>
      <c r="F1487" t="str">
        <f t="shared" si="19"/>
        <v>COLONIAL</v>
      </c>
      <c r="G1487" s="3">
        <v>5.18</v>
      </c>
      <c r="H1487" t="str">
        <f t="shared" si="20"/>
        <v>COLONIAL</v>
      </c>
    </row>
    <row r="1488" spans="1:8" x14ac:dyDescent="0.25">
      <c r="E1488" t="str">
        <f>"CLK201812125722"</f>
        <v>CLK201812125722</v>
      </c>
      <c r="F1488" t="str">
        <f t="shared" si="19"/>
        <v>COLONIAL</v>
      </c>
      <c r="G1488" s="3">
        <v>27.09</v>
      </c>
      <c r="H1488" t="str">
        <f t="shared" si="20"/>
        <v>COLONIAL</v>
      </c>
    </row>
    <row r="1489" spans="1:8" x14ac:dyDescent="0.25">
      <c r="E1489" t="str">
        <f>"CLK201812255984"</f>
        <v>CLK201812255984</v>
      </c>
      <c r="F1489" t="str">
        <f t="shared" si="19"/>
        <v>COLONIAL</v>
      </c>
      <c r="G1489" s="3">
        <v>27.09</v>
      </c>
      <c r="H1489" t="str">
        <f t="shared" si="20"/>
        <v>COLONIAL</v>
      </c>
    </row>
    <row r="1490" spans="1:8" x14ac:dyDescent="0.25">
      <c r="E1490" t="str">
        <f>"CLS201812125722"</f>
        <v>CLS201812125722</v>
      </c>
      <c r="F1490" t="str">
        <f t="shared" si="19"/>
        <v>COLONIAL</v>
      </c>
      <c r="G1490" s="3">
        <v>402.54</v>
      </c>
      <c r="H1490" t="str">
        <f t="shared" si="20"/>
        <v>COLONIAL</v>
      </c>
    </row>
    <row r="1491" spans="1:8" x14ac:dyDescent="0.25">
      <c r="E1491" t="str">
        <f>"CLS201812125723"</f>
        <v>CLS201812125723</v>
      </c>
      <c r="F1491" t="str">
        <f t="shared" si="19"/>
        <v>COLONIAL</v>
      </c>
      <c r="G1491" s="3">
        <v>28.57</v>
      </c>
      <c r="H1491" t="str">
        <f t="shared" si="20"/>
        <v>COLONIAL</v>
      </c>
    </row>
    <row r="1492" spans="1:8" x14ac:dyDescent="0.25">
      <c r="E1492" t="str">
        <f>"CLS201812255984"</f>
        <v>CLS201812255984</v>
      </c>
      <c r="F1492" t="str">
        <f t="shared" si="19"/>
        <v>COLONIAL</v>
      </c>
      <c r="G1492" s="3">
        <v>402.54</v>
      </c>
      <c r="H1492" t="str">
        <f t="shared" si="20"/>
        <v>COLONIAL</v>
      </c>
    </row>
    <row r="1493" spans="1:8" x14ac:dyDescent="0.25">
      <c r="E1493" t="str">
        <f>"CLS201812255985"</f>
        <v>CLS201812255985</v>
      </c>
      <c r="F1493" t="str">
        <f t="shared" si="19"/>
        <v>COLONIAL</v>
      </c>
      <c r="G1493" s="3">
        <v>28.57</v>
      </c>
      <c r="H1493" t="str">
        <f t="shared" si="20"/>
        <v>COLONIAL</v>
      </c>
    </row>
    <row r="1494" spans="1:8" x14ac:dyDescent="0.25">
      <c r="E1494" t="str">
        <f>"CLT201812125722"</f>
        <v>CLT201812125722</v>
      </c>
      <c r="F1494" t="str">
        <f t="shared" si="19"/>
        <v>COLONIAL</v>
      </c>
      <c r="G1494" s="3">
        <v>325.14</v>
      </c>
      <c r="H1494" t="str">
        <f t="shared" si="20"/>
        <v>COLONIAL</v>
      </c>
    </row>
    <row r="1495" spans="1:8" x14ac:dyDescent="0.25">
      <c r="E1495" t="str">
        <f>"CLT201812255984"</f>
        <v>CLT201812255984</v>
      </c>
      <c r="F1495" t="str">
        <f t="shared" si="19"/>
        <v>COLONIAL</v>
      </c>
      <c r="G1495" s="3">
        <v>325.14</v>
      </c>
      <c r="H1495" t="str">
        <f t="shared" si="20"/>
        <v>COLONIAL</v>
      </c>
    </row>
    <row r="1496" spans="1:8" x14ac:dyDescent="0.25">
      <c r="E1496" t="str">
        <f>"CLU201812125722"</f>
        <v>CLU201812125722</v>
      </c>
      <c r="F1496" t="str">
        <f t="shared" si="19"/>
        <v>COLONIAL</v>
      </c>
      <c r="G1496" s="3">
        <v>116.56</v>
      </c>
      <c r="H1496" t="str">
        <f t="shared" si="20"/>
        <v>COLONIAL</v>
      </c>
    </row>
    <row r="1497" spans="1:8" x14ac:dyDescent="0.25">
      <c r="E1497" t="str">
        <f>"CLU201812255984"</f>
        <v>CLU201812255984</v>
      </c>
      <c r="F1497" t="str">
        <f t="shared" si="19"/>
        <v>COLONIAL</v>
      </c>
      <c r="G1497" s="3">
        <v>116.56</v>
      </c>
      <c r="H1497" t="str">
        <f t="shared" si="20"/>
        <v>COLONIAL</v>
      </c>
    </row>
    <row r="1498" spans="1:8" x14ac:dyDescent="0.25">
      <c r="E1498" t="str">
        <f>"CLW201812125722"</f>
        <v>CLW201812125722</v>
      </c>
      <c r="F1498" t="str">
        <f t="shared" si="19"/>
        <v>COLONIAL</v>
      </c>
      <c r="G1498" s="3">
        <v>155.19</v>
      </c>
      <c r="H1498" t="str">
        <f t="shared" si="20"/>
        <v>COLONIAL</v>
      </c>
    </row>
    <row r="1499" spans="1:8" x14ac:dyDescent="0.25">
      <c r="E1499" t="str">
        <f>"CLW201812255984"</f>
        <v>CLW201812255984</v>
      </c>
      <c r="F1499" t="str">
        <f t="shared" si="19"/>
        <v>COLONIAL</v>
      </c>
      <c r="G1499" s="3">
        <v>155.19</v>
      </c>
      <c r="H1499" t="str">
        <f t="shared" si="20"/>
        <v>COLONIAL</v>
      </c>
    </row>
    <row r="1500" spans="1:8" x14ac:dyDescent="0.25">
      <c r="A1500" t="s">
        <v>483</v>
      </c>
      <c r="B1500">
        <v>39</v>
      </c>
      <c r="C1500" s="2">
        <v>0</v>
      </c>
      <c r="D1500" s="1">
        <v>43465</v>
      </c>
      <c r="E1500" t="str">
        <f>"CLT201901106514"</f>
        <v>CLT201901106514</v>
      </c>
      <c r="F1500" t="str">
        <f t="shared" si="19"/>
        <v>COLONIAL</v>
      </c>
      <c r="G1500" s="3">
        <v>-16.62</v>
      </c>
      <c r="H1500" t="str">
        <f t="shared" si="20"/>
        <v>COLONIAL</v>
      </c>
    </row>
    <row r="1501" spans="1:8" x14ac:dyDescent="0.25">
      <c r="E1501" t="str">
        <f>"CLT201901106515"</f>
        <v>CLT201901106515</v>
      </c>
      <c r="F1501" t="str">
        <f t="shared" si="19"/>
        <v>COLONIAL</v>
      </c>
      <c r="G1501" s="3">
        <v>16.62</v>
      </c>
      <c r="H1501" t="str">
        <f t="shared" si="20"/>
        <v>COLONIAL</v>
      </c>
    </row>
    <row r="1502" spans="1:8" x14ac:dyDescent="0.25">
      <c r="A1502" t="s">
        <v>484</v>
      </c>
      <c r="B1502">
        <v>5</v>
      </c>
      <c r="C1502" s="2">
        <v>1.56</v>
      </c>
      <c r="D1502" s="1">
        <v>43448</v>
      </c>
      <c r="E1502" t="str">
        <f>"201812125719"</f>
        <v>201812125719</v>
      </c>
      <c r="F1502" t="str">
        <f>"CONNIE STEWART FY 17/18"</f>
        <v>CONNIE STEWART FY 17/18</v>
      </c>
      <c r="G1502" s="3">
        <v>1.56</v>
      </c>
      <c r="H1502" t="str">
        <f>"CONNIE STEWART FY 17/18"</f>
        <v>CONNIE STEWART FY 17/18</v>
      </c>
    </row>
    <row r="1503" spans="1:8" x14ac:dyDescent="0.25">
      <c r="A1503" t="s">
        <v>485</v>
      </c>
      <c r="B1503">
        <v>12</v>
      </c>
      <c r="C1503" s="2">
        <v>6874.98</v>
      </c>
      <c r="D1503" s="1">
        <v>43448</v>
      </c>
      <c r="E1503" t="str">
        <f>"CPI201812125722"</f>
        <v>CPI201812125722</v>
      </c>
      <c r="F1503" t="str">
        <f>"DEFERRED COMP 457B PAYABLE"</f>
        <v>DEFERRED COMP 457B PAYABLE</v>
      </c>
      <c r="G1503" s="3">
        <v>6767.48</v>
      </c>
      <c r="H1503" t="str">
        <f>"DEFERRED COMP 457B PAYABLE"</f>
        <v>DEFERRED COMP 457B PAYABLE</v>
      </c>
    </row>
    <row r="1504" spans="1:8" x14ac:dyDescent="0.25">
      <c r="E1504" t="str">
        <f>"CPI201812125723"</f>
        <v>CPI201812125723</v>
      </c>
      <c r="F1504" t="str">
        <f>"DEFERRED COMP 457B PAYABLE"</f>
        <v>DEFERRED COMP 457B PAYABLE</v>
      </c>
      <c r="G1504" s="3">
        <v>107.5</v>
      </c>
      <c r="H1504" t="str">
        <f>"DEFERRED COMP 457B PAYABLE"</f>
        <v>DEFERRED COMP 457B PAYABLE</v>
      </c>
    </row>
    <row r="1505" spans="1:8" x14ac:dyDescent="0.25">
      <c r="A1505" t="s">
        <v>485</v>
      </c>
      <c r="B1505">
        <v>19</v>
      </c>
      <c r="C1505" s="2">
        <v>6874.98</v>
      </c>
      <c r="D1505" s="1">
        <v>43462</v>
      </c>
      <c r="E1505" t="str">
        <f>"CPI201812255984"</f>
        <v>CPI201812255984</v>
      </c>
      <c r="F1505" t="str">
        <f>"DEFERRED COMP 457B PAYABLE"</f>
        <v>DEFERRED COMP 457B PAYABLE</v>
      </c>
      <c r="G1505" s="3">
        <v>6767.48</v>
      </c>
      <c r="H1505" t="str">
        <f>"DEFERRED COMP 457B PAYABLE"</f>
        <v>DEFERRED COMP 457B PAYABLE</v>
      </c>
    </row>
    <row r="1506" spans="1:8" x14ac:dyDescent="0.25">
      <c r="E1506" t="str">
        <f>"CPI201812255985"</f>
        <v>CPI201812255985</v>
      </c>
      <c r="F1506" t="str">
        <f>"DEFERRED COMP 457B PAYABLE"</f>
        <v>DEFERRED COMP 457B PAYABLE</v>
      </c>
      <c r="G1506" s="3">
        <v>107.5</v>
      </c>
      <c r="H1506" t="str">
        <f>"DEFERRED COMP 457B PAYABLE"</f>
        <v>DEFERRED COMP 457B PAYABLE</v>
      </c>
    </row>
    <row r="1507" spans="1:8" x14ac:dyDescent="0.25">
      <c r="A1507" t="s">
        <v>486</v>
      </c>
      <c r="B1507">
        <v>47193</v>
      </c>
      <c r="C1507" s="2">
        <v>1368.7</v>
      </c>
      <c r="D1507" s="1">
        <v>43448</v>
      </c>
      <c r="E1507" t="str">
        <f>"B13201812125722"</f>
        <v>B13201812125722</v>
      </c>
      <c r="F1507" t="str">
        <f>"Rosa Warren 15-10357-TMD"</f>
        <v>Rosa Warren 15-10357-TMD</v>
      </c>
      <c r="G1507" s="3">
        <v>853.85</v>
      </c>
      <c r="H1507" t="str">
        <f>"Rosa Warren 15-10357-TMD"</f>
        <v>Rosa Warren 15-10357-TMD</v>
      </c>
    </row>
    <row r="1508" spans="1:8" x14ac:dyDescent="0.25">
      <c r="E1508" t="str">
        <f>"BJL201812125722"</f>
        <v>BJL201812125722</v>
      </c>
      <c r="F1508" t="str">
        <f>"Julian Luna 14-10230-TMD"</f>
        <v>Julian Luna 14-10230-TMD</v>
      </c>
      <c r="G1508" s="3">
        <v>514.85</v>
      </c>
      <c r="H1508" t="str">
        <f>"Julian Luna 14-10230-TMD"</f>
        <v>Julian Luna 14-10230-TMD</v>
      </c>
    </row>
    <row r="1509" spans="1:8" x14ac:dyDescent="0.25">
      <c r="A1509" t="s">
        <v>486</v>
      </c>
      <c r="B1509">
        <v>47221</v>
      </c>
      <c r="C1509" s="2">
        <v>1368.7</v>
      </c>
      <c r="D1509" s="1">
        <v>43462</v>
      </c>
      <c r="E1509" t="str">
        <f>"B13201812255984"</f>
        <v>B13201812255984</v>
      </c>
      <c r="F1509" t="str">
        <f>"Rosa Warren 15-10357-TMD"</f>
        <v>Rosa Warren 15-10357-TMD</v>
      </c>
      <c r="G1509" s="3">
        <v>853.85</v>
      </c>
      <c r="H1509" t="str">
        <f>"Rosa Warren 15-10357-TMD"</f>
        <v>Rosa Warren 15-10357-TMD</v>
      </c>
    </row>
    <row r="1510" spans="1:8" x14ac:dyDescent="0.25">
      <c r="E1510" t="str">
        <f>"BJL201812255984"</f>
        <v>BJL201812255984</v>
      </c>
      <c r="F1510" t="str">
        <f>"Julian Luna 14-10230-TMD"</f>
        <v>Julian Luna 14-10230-TMD</v>
      </c>
      <c r="G1510" s="3">
        <v>514.85</v>
      </c>
      <c r="H1510" t="str">
        <f>"Julian Luna 14-10230-TMD"</f>
        <v>Julian Luna 14-10230-TMD</v>
      </c>
    </row>
    <row r="1511" spans="1:8" x14ac:dyDescent="0.25">
      <c r="A1511" t="s">
        <v>487</v>
      </c>
      <c r="B1511">
        <v>47196</v>
      </c>
      <c r="C1511" s="2">
        <v>2.39</v>
      </c>
      <c r="D1511" s="1">
        <v>43448</v>
      </c>
      <c r="E1511" t="str">
        <f>"201812125754"</f>
        <v>201812125754</v>
      </c>
      <c r="F1511" t="str">
        <f>"GALE E LEE FY 17/18"</f>
        <v>GALE E LEE FY 17/18</v>
      </c>
      <c r="G1511" s="3">
        <v>2.39</v>
      </c>
      <c r="H1511" t="str">
        <f>"GALE E LEE"</f>
        <v>GALE E LEE</v>
      </c>
    </row>
    <row r="1512" spans="1:8" x14ac:dyDescent="0.25">
      <c r="A1512" t="s">
        <v>488</v>
      </c>
      <c r="B1512">
        <v>26</v>
      </c>
      <c r="C1512" s="2">
        <v>39945.230000000003</v>
      </c>
      <c r="D1512" s="1">
        <v>43462</v>
      </c>
      <c r="E1512" t="str">
        <f>"201812275990"</f>
        <v>201812275990</v>
      </c>
      <c r="F1512" t="str">
        <f>"GUARDIAN Retiree Dec 2018"</f>
        <v>GUARDIAN Retiree Dec 2018</v>
      </c>
      <c r="G1512" s="3">
        <v>3118.99</v>
      </c>
      <c r="H1512" t="str">
        <f t="shared" ref="H1512:H1575" si="21">"GUARDIAN"</f>
        <v>GUARDIAN</v>
      </c>
    </row>
    <row r="1513" spans="1:8" x14ac:dyDescent="0.25">
      <c r="E1513" t="str">
        <f>"201812275991"</f>
        <v>201812275991</v>
      </c>
      <c r="F1513" t="str">
        <f t="shared" ref="F1513:F1526" si="22">"GUARDIAN"</f>
        <v>GUARDIAN</v>
      </c>
      <c r="G1513" s="3">
        <v>204.73</v>
      </c>
      <c r="H1513" t="str">
        <f t="shared" si="21"/>
        <v>GUARDIAN</v>
      </c>
    </row>
    <row r="1514" spans="1:8" x14ac:dyDescent="0.25">
      <c r="E1514" t="str">
        <f>"ADC201812125722"</f>
        <v>ADC201812125722</v>
      </c>
      <c r="F1514" t="str">
        <f t="shared" si="22"/>
        <v>GUARDIAN</v>
      </c>
      <c r="G1514" s="3">
        <v>5.2</v>
      </c>
      <c r="H1514" t="str">
        <f t="shared" si="21"/>
        <v>GUARDIAN</v>
      </c>
    </row>
    <row r="1515" spans="1:8" x14ac:dyDescent="0.25">
      <c r="E1515" t="str">
        <f>"ADC201812125723"</f>
        <v>ADC201812125723</v>
      </c>
      <c r="F1515" t="str">
        <f t="shared" si="22"/>
        <v>GUARDIAN</v>
      </c>
      <c r="G1515" s="3">
        <v>0.16</v>
      </c>
      <c r="H1515" t="str">
        <f t="shared" si="21"/>
        <v>GUARDIAN</v>
      </c>
    </row>
    <row r="1516" spans="1:8" x14ac:dyDescent="0.25">
      <c r="E1516" t="str">
        <f>"ADC201812255984"</f>
        <v>ADC201812255984</v>
      </c>
      <c r="F1516" t="str">
        <f t="shared" si="22"/>
        <v>GUARDIAN</v>
      </c>
      <c r="G1516" s="3">
        <v>5.2</v>
      </c>
      <c r="H1516" t="str">
        <f t="shared" si="21"/>
        <v>GUARDIAN</v>
      </c>
    </row>
    <row r="1517" spans="1:8" x14ac:dyDescent="0.25">
      <c r="E1517" t="str">
        <f>"ADC201812255985"</f>
        <v>ADC201812255985</v>
      </c>
      <c r="F1517" t="str">
        <f t="shared" si="22"/>
        <v>GUARDIAN</v>
      </c>
      <c r="G1517" s="3">
        <v>0.16</v>
      </c>
      <c r="H1517" t="str">
        <f t="shared" si="21"/>
        <v>GUARDIAN</v>
      </c>
    </row>
    <row r="1518" spans="1:8" x14ac:dyDescent="0.25">
      <c r="E1518" t="str">
        <f>"ADE201812125722"</f>
        <v>ADE201812125722</v>
      </c>
      <c r="F1518" t="str">
        <f t="shared" si="22"/>
        <v>GUARDIAN</v>
      </c>
      <c r="G1518" s="3">
        <v>230.79</v>
      </c>
      <c r="H1518" t="str">
        <f t="shared" si="21"/>
        <v>GUARDIAN</v>
      </c>
    </row>
    <row r="1519" spans="1:8" x14ac:dyDescent="0.25">
      <c r="E1519" t="str">
        <f>"ADE201812125723"</f>
        <v>ADE201812125723</v>
      </c>
      <c r="F1519" t="str">
        <f t="shared" si="22"/>
        <v>GUARDIAN</v>
      </c>
      <c r="G1519" s="3">
        <v>6.3</v>
      </c>
      <c r="H1519" t="str">
        <f t="shared" si="21"/>
        <v>GUARDIAN</v>
      </c>
    </row>
    <row r="1520" spans="1:8" x14ac:dyDescent="0.25">
      <c r="E1520" t="str">
        <f>"ADE201812255984"</f>
        <v>ADE201812255984</v>
      </c>
      <c r="F1520" t="str">
        <f t="shared" si="22"/>
        <v>GUARDIAN</v>
      </c>
      <c r="G1520" s="3">
        <v>231.54</v>
      </c>
      <c r="H1520" t="str">
        <f t="shared" si="21"/>
        <v>GUARDIAN</v>
      </c>
    </row>
    <row r="1521" spans="5:8" x14ac:dyDescent="0.25">
      <c r="E1521" t="str">
        <f>"ADE201812255985"</f>
        <v>ADE201812255985</v>
      </c>
      <c r="F1521" t="str">
        <f t="shared" si="22"/>
        <v>GUARDIAN</v>
      </c>
      <c r="G1521" s="3">
        <v>6.3</v>
      </c>
      <c r="H1521" t="str">
        <f t="shared" si="21"/>
        <v>GUARDIAN</v>
      </c>
    </row>
    <row r="1522" spans="5:8" x14ac:dyDescent="0.25">
      <c r="E1522" t="str">
        <f>"ADS201812125722"</f>
        <v>ADS201812125722</v>
      </c>
      <c r="F1522" t="str">
        <f t="shared" si="22"/>
        <v>GUARDIAN</v>
      </c>
      <c r="G1522" s="3">
        <v>41.38</v>
      </c>
      <c r="H1522" t="str">
        <f t="shared" si="21"/>
        <v>GUARDIAN</v>
      </c>
    </row>
    <row r="1523" spans="5:8" x14ac:dyDescent="0.25">
      <c r="E1523" t="str">
        <f>"ADS201812125723"</f>
        <v>ADS201812125723</v>
      </c>
      <c r="F1523" t="str">
        <f t="shared" si="22"/>
        <v>GUARDIAN</v>
      </c>
      <c r="G1523" s="3">
        <v>0.53</v>
      </c>
      <c r="H1523" t="str">
        <f t="shared" si="21"/>
        <v>GUARDIAN</v>
      </c>
    </row>
    <row r="1524" spans="5:8" x14ac:dyDescent="0.25">
      <c r="E1524" t="str">
        <f>"ADS201812255984"</f>
        <v>ADS201812255984</v>
      </c>
      <c r="F1524" t="str">
        <f t="shared" si="22"/>
        <v>GUARDIAN</v>
      </c>
      <c r="G1524" s="3">
        <v>41.38</v>
      </c>
      <c r="H1524" t="str">
        <f t="shared" si="21"/>
        <v>GUARDIAN</v>
      </c>
    </row>
    <row r="1525" spans="5:8" x14ac:dyDescent="0.25">
      <c r="E1525" t="str">
        <f>"ADS201812255985"</f>
        <v>ADS201812255985</v>
      </c>
      <c r="F1525" t="str">
        <f t="shared" si="22"/>
        <v>GUARDIAN</v>
      </c>
      <c r="G1525" s="3">
        <v>0.53</v>
      </c>
      <c r="H1525" t="str">
        <f t="shared" si="21"/>
        <v>GUARDIAN</v>
      </c>
    </row>
    <row r="1526" spans="5:8" x14ac:dyDescent="0.25">
      <c r="E1526" t="str">
        <f>"GDC201812125722"</f>
        <v>GDC201812125722</v>
      </c>
      <c r="F1526" t="str">
        <f t="shared" si="22"/>
        <v>GUARDIAN</v>
      </c>
      <c r="G1526" s="3">
        <v>2614.92</v>
      </c>
      <c r="H1526" t="str">
        <f t="shared" si="21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1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1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1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1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1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1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1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1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1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1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1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1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1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1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1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1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1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1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1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1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1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1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1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1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1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1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1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1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1"/>
        <v>GUARDIAN</v>
      </c>
    </row>
    <row r="1556" spans="5:8" x14ac:dyDescent="0.25">
      <c r="E1556" t="str">
        <f>"GDC201812125723"</f>
        <v>GDC201812125723</v>
      </c>
      <c r="F1556" t="str">
        <f>"GUARDIAN"</f>
        <v>GUARDIAN</v>
      </c>
      <c r="G1556" s="3">
        <v>135.84</v>
      </c>
      <c r="H1556" t="str">
        <f t="shared" si="21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1"/>
        <v>GUARDIAN</v>
      </c>
    </row>
    <row r="1558" spans="5:8" x14ac:dyDescent="0.25">
      <c r="E1558" t="str">
        <f>"GDC201812255984"</f>
        <v>GDC201812255984</v>
      </c>
      <c r="F1558" t="str">
        <f>"GUARDIAN"</f>
        <v>GUARDIAN</v>
      </c>
      <c r="G1558" s="3">
        <v>2614.92</v>
      </c>
      <c r="H1558" t="str">
        <f t="shared" si="21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1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1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1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1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1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1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1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1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1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1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1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1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1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1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1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1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1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ref="H1576:H1639" si="23">"GUARDIAN"</f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3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3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3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3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3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3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3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3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3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3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3"/>
        <v>GUARDIAN</v>
      </c>
    </row>
    <row r="1588" spans="5:8" x14ac:dyDescent="0.25">
      <c r="E1588" t="str">
        <f>"GDC201812255985"</f>
        <v>GDC201812255985</v>
      </c>
      <c r="F1588" t="str">
        <f>"GUARDIAN"</f>
        <v>GUARDIAN</v>
      </c>
      <c r="G1588" s="3">
        <v>135.84</v>
      </c>
      <c r="H1588" t="str">
        <f t="shared" si="23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3"/>
        <v>GUARDIAN</v>
      </c>
    </row>
    <row r="1590" spans="5:8" x14ac:dyDescent="0.25">
      <c r="E1590" t="str">
        <f>"GDE201812125722"</f>
        <v>GDE201812125722</v>
      </c>
      <c r="F1590" t="str">
        <f>"GUARDIAN"</f>
        <v>GUARDIAN</v>
      </c>
      <c r="G1590" s="3">
        <v>4032.18</v>
      </c>
      <c r="H1590" t="str">
        <f t="shared" si="23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3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3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3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3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3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3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3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3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3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3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3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3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3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3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3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3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3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3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3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3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3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3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3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3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3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3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3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3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3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3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3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3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3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3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3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3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3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3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3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3"/>
        <v>GUARDIAN</v>
      </c>
    </row>
    <row r="1631" spans="5:8" x14ac:dyDescent="0.25">
      <c r="E1631" t="str">
        <f>"GDE201812125723"</f>
        <v>GDE201812125723</v>
      </c>
      <c r="F1631" t="str">
        <f>"GUARDIAN"</f>
        <v>GUARDIAN</v>
      </c>
      <c r="G1631" s="3">
        <v>169.29</v>
      </c>
      <c r="H1631" t="str">
        <f t="shared" si="23"/>
        <v>GUARDIAN</v>
      </c>
    </row>
    <row r="1632" spans="5:8" x14ac:dyDescent="0.25">
      <c r="E1632" t="str">
        <f>"GDE201812255984"</f>
        <v>GDE201812255984</v>
      </c>
      <c r="F1632" t="str">
        <f>"GUARDIAN"</f>
        <v>GUARDIAN</v>
      </c>
      <c r="G1632" s="3">
        <v>4016.79</v>
      </c>
      <c r="H1632" t="str">
        <f t="shared" si="23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3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3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3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3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3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3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3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ref="H1640:H1703" si="24">"GUARDIAN"</f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4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4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4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4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4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4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4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4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4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4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4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4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4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4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4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4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4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4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4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4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4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4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4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4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4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4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4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4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4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4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4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4"/>
        <v>GUARDIAN</v>
      </c>
    </row>
    <row r="1673" spans="5:8" x14ac:dyDescent="0.25">
      <c r="E1673" t="str">
        <f>"GDE201812255985"</f>
        <v>GDE201812255985</v>
      </c>
      <c r="F1673" t="str">
        <f>"GUARDIAN"</f>
        <v>GUARDIAN</v>
      </c>
      <c r="G1673" s="3">
        <v>169.29</v>
      </c>
      <c r="H1673" t="str">
        <f t="shared" si="24"/>
        <v>GUARDIAN</v>
      </c>
    </row>
    <row r="1674" spans="5:8" x14ac:dyDescent="0.25">
      <c r="E1674" t="str">
        <f>"GDF201812125722"</f>
        <v>GDF201812125722</v>
      </c>
      <c r="F1674" t="str">
        <f>"GUARDIAN"</f>
        <v>GUARDIAN</v>
      </c>
      <c r="G1674" s="3">
        <v>2460.29</v>
      </c>
      <c r="H1674" t="str">
        <f t="shared" si="24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24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4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4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4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4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4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4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4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4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4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4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4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4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4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4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4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4"/>
        <v>GUARDIAN</v>
      </c>
    </row>
    <row r="1692" spans="5:8" x14ac:dyDescent="0.25">
      <c r="E1692" t="str">
        <f>"GDF201812125723"</f>
        <v>GDF201812125723</v>
      </c>
      <c r="F1692" t="str">
        <f>"GUARDIAN"</f>
        <v>GUARDIAN</v>
      </c>
      <c r="G1692" s="3">
        <v>100.42</v>
      </c>
      <c r="H1692" t="str">
        <f t="shared" si="24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4"/>
        <v>GUARDIAN</v>
      </c>
    </row>
    <row r="1694" spans="5:8" x14ac:dyDescent="0.25">
      <c r="E1694" t="str">
        <f>"GDF201812255984"</f>
        <v>GDF201812255984</v>
      </c>
      <c r="F1694" t="str">
        <f>"GUARDIAN"</f>
        <v>GUARDIAN</v>
      </c>
      <c r="G1694" s="3">
        <v>2460.29</v>
      </c>
      <c r="H1694" t="str">
        <f t="shared" si="24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4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4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4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4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4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24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4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4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4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ref="H1704:H1763" si="25">"GUARDIAN"</f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5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5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5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5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5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25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5"/>
        <v>GUARDIAN</v>
      </c>
    </row>
    <row r="1712" spans="5:8" x14ac:dyDescent="0.25">
      <c r="E1712" t="str">
        <f>"GDF201812255985"</f>
        <v>GDF201812255985</v>
      </c>
      <c r="F1712" t="str">
        <f>"GUARDIAN"</f>
        <v>GUARDIAN</v>
      </c>
      <c r="G1712" s="3">
        <v>100.42</v>
      </c>
      <c r="H1712" t="str">
        <f t="shared" si="25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5"/>
        <v>GUARDIAN</v>
      </c>
    </row>
    <row r="1714" spans="5:8" x14ac:dyDescent="0.25">
      <c r="E1714" t="str">
        <f>"GDS201812125722"</f>
        <v>GDS201812125722</v>
      </c>
      <c r="F1714" t="str">
        <f>"GUARDIAN"</f>
        <v>GUARDIAN</v>
      </c>
      <c r="G1714" s="3">
        <v>1799.16</v>
      </c>
      <c r="H1714" t="str">
        <f t="shared" si="25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5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5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5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5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5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5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25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5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25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25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25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5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25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5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5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5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5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5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25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5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25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5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5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5"/>
        <v>GUARDIAN</v>
      </c>
    </row>
    <row r="1739" spans="5:8" x14ac:dyDescent="0.25">
      <c r="E1739" t="str">
        <f>"GDS201812255984"</f>
        <v>GDS201812255984</v>
      </c>
      <c r="F1739" t="str">
        <f>"GUARDIAN"</f>
        <v>GUARDIAN</v>
      </c>
      <c r="G1739" s="3">
        <v>1799.16</v>
      </c>
      <c r="H1739" t="str">
        <f t="shared" si="25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5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5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5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5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5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5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5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5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5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5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5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5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5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5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5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5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5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5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5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5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5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25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5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5"/>
        <v>GUARDIAN</v>
      </c>
    </row>
    <row r="1764" spans="5:8" x14ac:dyDescent="0.25">
      <c r="E1764" t="str">
        <f>"GV1201812125722"</f>
        <v>GV1201812125722</v>
      </c>
      <c r="F1764" t="str">
        <f>"GUARDIAN VISION"</f>
        <v>GUARDIAN VISION</v>
      </c>
      <c r="G1764" s="3">
        <v>352.8</v>
      </c>
      <c r="H1764" t="str">
        <f>"GUARDIAN VISION"</f>
        <v>GUARDIAN VISION</v>
      </c>
    </row>
    <row r="1765" spans="5:8" x14ac:dyDescent="0.25">
      <c r="E1765" t="str">
        <f>"GV1201812255984"</f>
        <v>GV1201812255984</v>
      </c>
      <c r="F1765" t="str">
        <f>"GUARDIAN VISION"</f>
        <v>GUARDIAN VISION</v>
      </c>
      <c r="G1765" s="3">
        <v>352.8</v>
      </c>
      <c r="H1765" t="str">
        <f>"GUARDIAN VISION"</f>
        <v>GUARDIAN VISION</v>
      </c>
    </row>
    <row r="1766" spans="5:8" x14ac:dyDescent="0.25">
      <c r="E1766" t="str">
        <f>"GVE201812125722"</f>
        <v>GVE201812125722</v>
      </c>
      <c r="F1766" t="str">
        <f>"GUARDIAN VISION VENDOR"</f>
        <v>GUARDIAN VISION VENDOR</v>
      </c>
      <c r="G1766" s="3">
        <v>583.02</v>
      </c>
      <c r="H1766" t="str">
        <f>"GUARDIAN VISION VENDOR"</f>
        <v>GUARDIAN VISION VENDOR</v>
      </c>
    </row>
    <row r="1767" spans="5:8" x14ac:dyDescent="0.25">
      <c r="E1767" t="str">
        <f>"GVE201812125723"</f>
        <v>GVE201812125723</v>
      </c>
      <c r="F1767" t="str">
        <f>"GUARDIAN VISION VENDOR"</f>
        <v>GUARDIAN VISION VENDOR</v>
      </c>
      <c r="G1767" s="3">
        <v>25.83</v>
      </c>
      <c r="H1767" t="str">
        <f>"GUARDIAN VISION VENDOR"</f>
        <v>GUARDIAN VISION VENDOR</v>
      </c>
    </row>
    <row r="1768" spans="5:8" x14ac:dyDescent="0.25">
      <c r="E1768" t="str">
        <f>"GVE201812255984"</f>
        <v>GVE201812255984</v>
      </c>
      <c r="F1768" t="str">
        <f>"GUARDIAN VISION VENDOR"</f>
        <v>GUARDIAN VISION VENDOR</v>
      </c>
      <c r="G1768" s="3">
        <v>571.95000000000005</v>
      </c>
      <c r="H1768" t="str">
        <f>"GUARDIAN VISION VENDOR"</f>
        <v>GUARDIAN VISION VENDOR</v>
      </c>
    </row>
    <row r="1769" spans="5:8" x14ac:dyDescent="0.25">
      <c r="E1769" t="str">
        <f>"GVE201812255985"</f>
        <v>GVE201812255985</v>
      </c>
      <c r="F1769" t="str">
        <f>"GUARDIAN VISION VENDOR"</f>
        <v>GUARDIAN VISION VENDOR</v>
      </c>
      <c r="G1769" s="3">
        <v>25.83</v>
      </c>
      <c r="H1769" t="str">
        <f>"GUARDIAN VISION VENDOR"</f>
        <v>GUARDIAN VISION VENDOR</v>
      </c>
    </row>
    <row r="1770" spans="5:8" x14ac:dyDescent="0.25">
      <c r="E1770" t="str">
        <f>"GVF201812125722"</f>
        <v>GVF201812125722</v>
      </c>
      <c r="F1770" t="str">
        <f>"GUARDIAN VISION"</f>
        <v>GUARDIAN VISION</v>
      </c>
      <c r="G1770" s="3">
        <v>541.75</v>
      </c>
      <c r="H1770" t="str">
        <f>"GUARDIAN VISION"</f>
        <v>GUARDIAN VISION</v>
      </c>
    </row>
    <row r="1771" spans="5:8" x14ac:dyDescent="0.25">
      <c r="E1771" t="str">
        <f>"GVF201812125723"</f>
        <v>GVF201812125723</v>
      </c>
      <c r="F1771" t="str">
        <f>"GUARDIAN VISION VENDOR"</f>
        <v>GUARDIAN VISION VENDOR</v>
      </c>
      <c r="G1771" s="3">
        <v>29.55</v>
      </c>
      <c r="H1771" t="str">
        <f>"GUARDIAN VISION VENDOR"</f>
        <v>GUARDIAN VISION VENDOR</v>
      </c>
    </row>
    <row r="1772" spans="5:8" x14ac:dyDescent="0.25">
      <c r="E1772" t="str">
        <f>"GVF201812255984"</f>
        <v>GVF201812255984</v>
      </c>
      <c r="F1772" t="str">
        <f>"GUARDIAN VISION"</f>
        <v>GUARDIAN VISION</v>
      </c>
      <c r="G1772" s="3">
        <v>541.75</v>
      </c>
      <c r="H1772" t="str">
        <f>"GUARDIAN VISION"</f>
        <v>GUARDIAN VISION</v>
      </c>
    </row>
    <row r="1773" spans="5:8" x14ac:dyDescent="0.25">
      <c r="E1773" t="str">
        <f>"GVF201812255985"</f>
        <v>GVF201812255985</v>
      </c>
      <c r="F1773" t="str">
        <f>"GUARDIAN VISION VENDOR"</f>
        <v>GUARDIAN VISION VENDOR</v>
      </c>
      <c r="G1773" s="3">
        <v>29.55</v>
      </c>
      <c r="H1773" t="str">
        <f>"GUARDIAN VISION VENDOR"</f>
        <v>GUARDIAN VISION VENDOR</v>
      </c>
    </row>
    <row r="1774" spans="5:8" x14ac:dyDescent="0.25">
      <c r="E1774" t="str">
        <f>"LIA201812125722"</f>
        <v>LIA201812125722</v>
      </c>
      <c r="F1774" t="str">
        <f>"GUARDIAN"</f>
        <v>GUARDIAN</v>
      </c>
      <c r="G1774" s="3">
        <v>225.82</v>
      </c>
      <c r="H1774" t="str">
        <f t="shared" ref="H1774:H1805" si="26">"GUARDIAN"</f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6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6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6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26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6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26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26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6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6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6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6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6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26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26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26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26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26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26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26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26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6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6"/>
        <v>GUARDIAN</v>
      </c>
    </row>
    <row r="1797" spans="5:8" x14ac:dyDescent="0.25">
      <c r="E1797" t="str">
        <f>"LIA201812125723"</f>
        <v>LIA201812125723</v>
      </c>
      <c r="F1797" t="str">
        <f>"GUARDIAN"</f>
        <v>GUARDIAN</v>
      </c>
      <c r="G1797" s="3">
        <v>40.799999999999997</v>
      </c>
      <c r="H1797" t="str">
        <f t="shared" si="26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26"/>
        <v>GUARDIAN</v>
      </c>
    </row>
    <row r="1799" spans="5:8" x14ac:dyDescent="0.25">
      <c r="E1799" t="str">
        <f>"LIA201812255984"</f>
        <v>LIA201812255984</v>
      </c>
      <c r="F1799" t="str">
        <f>"GUARDIAN"</f>
        <v>GUARDIAN</v>
      </c>
      <c r="G1799" s="3">
        <v>225.82</v>
      </c>
      <c r="H1799" t="str">
        <f t="shared" si="26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26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26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6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26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6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26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ref="H1806:H1837" si="27">"GUARDIAN"</f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7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7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7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7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7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7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27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7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7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7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7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7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7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7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7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7"/>
        <v>GUARDIAN</v>
      </c>
    </row>
    <row r="1823" spans="5:8" x14ac:dyDescent="0.25">
      <c r="E1823" t="str">
        <f>"LIA201812255985"</f>
        <v>LIA201812255985</v>
      </c>
      <c r="F1823" t="str">
        <f>"GUARDIAN"</f>
        <v>GUARDIAN</v>
      </c>
      <c r="G1823" s="3">
        <v>40.799999999999997</v>
      </c>
      <c r="H1823" t="str">
        <f t="shared" si="27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7"/>
        <v>GUARDIAN</v>
      </c>
    </row>
    <row r="1825" spans="5:8" x14ac:dyDescent="0.25">
      <c r="E1825" t="str">
        <f>"LIC201812125722"</f>
        <v>LIC201812125722</v>
      </c>
      <c r="F1825" t="str">
        <f>"GUARDIAN"</f>
        <v>GUARDIAN</v>
      </c>
      <c r="G1825" s="3">
        <v>34.18</v>
      </c>
      <c r="H1825" t="str">
        <f t="shared" si="27"/>
        <v>GUARDIAN</v>
      </c>
    </row>
    <row r="1826" spans="5:8" x14ac:dyDescent="0.25">
      <c r="E1826" t="str">
        <f>"LIC201812125723"</f>
        <v>LIC201812125723</v>
      </c>
      <c r="F1826" t="str">
        <f>"GUARDIAN"</f>
        <v>GUARDIAN</v>
      </c>
      <c r="G1826" s="3">
        <v>1.05</v>
      </c>
      <c r="H1826" t="str">
        <f t="shared" si="27"/>
        <v>GUARDIAN</v>
      </c>
    </row>
    <row r="1827" spans="5:8" x14ac:dyDescent="0.25">
      <c r="E1827" t="str">
        <f>"LIC201812255984"</f>
        <v>LIC201812255984</v>
      </c>
      <c r="F1827" t="str">
        <f>"GUARDIAN"</f>
        <v>GUARDIAN</v>
      </c>
      <c r="G1827" s="3">
        <v>34.18</v>
      </c>
      <c r="H1827" t="str">
        <f t="shared" si="27"/>
        <v>GUARDIAN</v>
      </c>
    </row>
    <row r="1828" spans="5:8" x14ac:dyDescent="0.25">
      <c r="E1828" t="str">
        <f>"LIC201812255985"</f>
        <v>LIC201812255985</v>
      </c>
      <c r="F1828" t="str">
        <f>"GUARDIAN"</f>
        <v>GUARDIAN</v>
      </c>
      <c r="G1828" s="3">
        <v>1.05</v>
      </c>
      <c r="H1828" t="str">
        <f t="shared" si="27"/>
        <v>GUARDIAN</v>
      </c>
    </row>
    <row r="1829" spans="5:8" x14ac:dyDescent="0.25">
      <c r="E1829" t="str">
        <f>"LIE201812125722"</f>
        <v>LIE201812125722</v>
      </c>
      <c r="F1829" t="str">
        <f>"GUARDIAN"</f>
        <v>GUARDIAN</v>
      </c>
      <c r="G1829" s="3">
        <v>3425.4</v>
      </c>
      <c r="H1829" t="str">
        <f t="shared" si="27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7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7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7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7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7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7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7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7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ref="H1838:H1869" si="28">"GUARDIAN"</f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8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8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28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28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28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28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8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28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8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28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28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8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8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8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8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28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28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8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8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8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8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8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28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8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28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28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28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28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28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28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28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ref="H1870:H1901" si="29">"GUARDIAN"</f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29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29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29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29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29"/>
        <v>GUARDIAN</v>
      </c>
    </row>
    <row r="1876" spans="5:8" x14ac:dyDescent="0.25">
      <c r="E1876" t="str">
        <f>"LIE201812125723"</f>
        <v>LIE201812125723</v>
      </c>
      <c r="F1876" t="str">
        <f>"GUARDIAN"</f>
        <v>GUARDIAN</v>
      </c>
      <c r="G1876" s="3">
        <v>80.849999999999994</v>
      </c>
      <c r="H1876" t="str">
        <f t="shared" si="29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29"/>
        <v>GUARDIAN</v>
      </c>
    </row>
    <row r="1878" spans="5:8" x14ac:dyDescent="0.25">
      <c r="E1878" t="str">
        <f>"LIE201812255984"</f>
        <v>LIE201812255984</v>
      </c>
      <c r="F1878" t="str">
        <f>"GUARDIAN"</f>
        <v>GUARDIAN</v>
      </c>
      <c r="G1878" s="3">
        <v>3413.3</v>
      </c>
      <c r="H1878" t="str">
        <f t="shared" si="29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29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29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29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29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29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29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29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29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29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29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29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29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29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29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29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29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29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29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29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29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29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29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29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ref="H1902:H1938" si="30">"GUARDIAN"</f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30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30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30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30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30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30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30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30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30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30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30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30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30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30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30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30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30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30"/>
        <v>GUARDIAN</v>
      </c>
    </row>
    <row r="1921" spans="1:8" x14ac:dyDescent="0.25">
      <c r="E1921" t="str">
        <f>""</f>
        <v/>
      </c>
      <c r="F1921" t="str">
        <f>""</f>
        <v/>
      </c>
      <c r="H1921" t="str">
        <f t="shared" si="30"/>
        <v>GUARDIAN</v>
      </c>
    </row>
    <row r="1922" spans="1:8" x14ac:dyDescent="0.25">
      <c r="E1922" t="str">
        <f>""</f>
        <v/>
      </c>
      <c r="F1922" t="str">
        <f>""</f>
        <v/>
      </c>
      <c r="H1922" t="str">
        <f t="shared" si="30"/>
        <v>GUARDIAN</v>
      </c>
    </row>
    <row r="1923" spans="1:8" x14ac:dyDescent="0.25">
      <c r="E1923" t="str">
        <f>""</f>
        <v/>
      </c>
      <c r="F1923" t="str">
        <f>""</f>
        <v/>
      </c>
      <c r="H1923" t="str">
        <f t="shared" si="30"/>
        <v>GUARDIAN</v>
      </c>
    </row>
    <row r="1924" spans="1:8" x14ac:dyDescent="0.25">
      <c r="E1924" t="str">
        <f>""</f>
        <v/>
      </c>
      <c r="F1924" t="str">
        <f>""</f>
        <v/>
      </c>
      <c r="H1924" t="str">
        <f t="shared" si="30"/>
        <v>GUARDIAN</v>
      </c>
    </row>
    <row r="1925" spans="1:8" x14ac:dyDescent="0.25">
      <c r="E1925" t="str">
        <f>"LIE201812255985"</f>
        <v>LIE201812255985</v>
      </c>
      <c r="F1925" t="str">
        <f>"GUARDIAN"</f>
        <v>GUARDIAN</v>
      </c>
      <c r="G1925" s="3">
        <v>80.849999999999994</v>
      </c>
      <c r="H1925" t="str">
        <f t="shared" si="30"/>
        <v>GUARDIAN</v>
      </c>
    </row>
    <row r="1926" spans="1:8" x14ac:dyDescent="0.25">
      <c r="E1926" t="str">
        <f>""</f>
        <v/>
      </c>
      <c r="F1926" t="str">
        <f>""</f>
        <v/>
      </c>
      <c r="H1926" t="str">
        <f t="shared" si="30"/>
        <v>GUARDIAN</v>
      </c>
    </row>
    <row r="1927" spans="1:8" x14ac:dyDescent="0.25">
      <c r="E1927" t="str">
        <f>"LIS201812125722"</f>
        <v>LIS201812125722</v>
      </c>
      <c r="F1927" t="str">
        <f t="shared" ref="F1927:F1938" si="31">"GUARDIAN"</f>
        <v>GUARDIAN</v>
      </c>
      <c r="G1927" s="3">
        <v>469.23</v>
      </c>
      <c r="H1927" t="str">
        <f t="shared" si="30"/>
        <v>GUARDIAN</v>
      </c>
    </row>
    <row r="1928" spans="1:8" x14ac:dyDescent="0.25">
      <c r="E1928" t="str">
        <f>"LIS201812125723"</f>
        <v>LIS201812125723</v>
      </c>
      <c r="F1928" t="str">
        <f t="shared" si="31"/>
        <v>GUARDIAN</v>
      </c>
      <c r="G1928" s="3">
        <v>36.15</v>
      </c>
      <c r="H1928" t="str">
        <f t="shared" si="30"/>
        <v>GUARDIAN</v>
      </c>
    </row>
    <row r="1929" spans="1:8" x14ac:dyDescent="0.25">
      <c r="E1929" t="str">
        <f>"LIS201812255984"</f>
        <v>LIS201812255984</v>
      </c>
      <c r="F1929" t="str">
        <f t="shared" si="31"/>
        <v>GUARDIAN</v>
      </c>
      <c r="G1929" s="3">
        <v>469.23</v>
      </c>
      <c r="H1929" t="str">
        <f t="shared" si="30"/>
        <v>GUARDIAN</v>
      </c>
    </row>
    <row r="1930" spans="1:8" x14ac:dyDescent="0.25">
      <c r="E1930" t="str">
        <f>"LIS201812255985"</f>
        <v>LIS201812255985</v>
      </c>
      <c r="F1930" t="str">
        <f t="shared" si="31"/>
        <v>GUARDIAN</v>
      </c>
      <c r="G1930" s="3">
        <v>36.15</v>
      </c>
      <c r="H1930" t="str">
        <f t="shared" si="30"/>
        <v>GUARDIAN</v>
      </c>
    </row>
    <row r="1931" spans="1:8" x14ac:dyDescent="0.25">
      <c r="E1931" t="str">
        <f>"LTD201812125722"</f>
        <v>LTD201812125722</v>
      </c>
      <c r="F1931" t="str">
        <f t="shared" si="31"/>
        <v>GUARDIAN</v>
      </c>
      <c r="G1931" s="3">
        <v>881.35</v>
      </c>
      <c r="H1931" t="str">
        <f t="shared" si="30"/>
        <v>GUARDIAN</v>
      </c>
    </row>
    <row r="1932" spans="1:8" x14ac:dyDescent="0.25">
      <c r="E1932" t="str">
        <f>"LTD201812255984"</f>
        <v>LTD201812255984</v>
      </c>
      <c r="F1932" t="str">
        <f t="shared" si="31"/>
        <v>GUARDIAN</v>
      </c>
      <c r="G1932" s="3">
        <v>892.19</v>
      </c>
      <c r="H1932" t="str">
        <f t="shared" si="30"/>
        <v>GUARDIAN</v>
      </c>
    </row>
    <row r="1933" spans="1:8" x14ac:dyDescent="0.25">
      <c r="A1933" t="s">
        <v>488</v>
      </c>
      <c r="B1933">
        <v>27</v>
      </c>
      <c r="C1933" s="2">
        <v>112.44</v>
      </c>
      <c r="D1933" s="1">
        <v>43462</v>
      </c>
      <c r="E1933" t="str">
        <f>"AEG201812125722"</f>
        <v>AEG201812125722</v>
      </c>
      <c r="F1933" t="str">
        <f t="shared" si="31"/>
        <v>GUARDIAN</v>
      </c>
      <c r="G1933" s="3">
        <v>6.66</v>
      </c>
      <c r="H1933" t="str">
        <f t="shared" si="30"/>
        <v>GUARDIAN</v>
      </c>
    </row>
    <row r="1934" spans="1:8" x14ac:dyDescent="0.25">
      <c r="E1934" t="str">
        <f>"AEG201812255984"</f>
        <v>AEG201812255984</v>
      </c>
      <c r="F1934" t="str">
        <f t="shared" si="31"/>
        <v>GUARDIAN</v>
      </c>
      <c r="G1934" s="3">
        <v>6.66</v>
      </c>
      <c r="H1934" t="str">
        <f t="shared" si="30"/>
        <v>GUARDIAN</v>
      </c>
    </row>
    <row r="1935" spans="1:8" x14ac:dyDescent="0.25">
      <c r="E1935" t="str">
        <f>"AFG201812125722"</f>
        <v>AFG201812125722</v>
      </c>
      <c r="F1935" t="str">
        <f t="shared" si="31"/>
        <v>GUARDIAN</v>
      </c>
      <c r="G1935" s="3">
        <v>49.56</v>
      </c>
      <c r="H1935" t="str">
        <f t="shared" si="30"/>
        <v>GUARDIAN</v>
      </c>
    </row>
    <row r="1936" spans="1:8" x14ac:dyDescent="0.25">
      <c r="E1936" t="str">
        <f>"AFG201812255984"</f>
        <v>AFG201812255984</v>
      </c>
      <c r="F1936" t="str">
        <f t="shared" si="31"/>
        <v>GUARDIAN</v>
      </c>
      <c r="G1936" s="3">
        <v>49.56</v>
      </c>
      <c r="H1936" t="str">
        <f t="shared" si="30"/>
        <v>GUARDIAN</v>
      </c>
    </row>
    <row r="1937" spans="1:8" x14ac:dyDescent="0.25">
      <c r="A1937" t="s">
        <v>488</v>
      </c>
      <c r="B1937">
        <v>38</v>
      </c>
      <c r="C1937" s="2">
        <v>0</v>
      </c>
      <c r="D1937" s="1">
        <v>43465</v>
      </c>
      <c r="E1937" t="str">
        <f>"ADE201901106514"</f>
        <v>ADE201901106514</v>
      </c>
      <c r="F1937" t="str">
        <f t="shared" si="31"/>
        <v>GUARDIAN</v>
      </c>
      <c r="G1937" s="3">
        <v>-0.75</v>
      </c>
      <c r="H1937" t="str">
        <f t="shared" si="30"/>
        <v>GUARDIAN</v>
      </c>
    </row>
    <row r="1938" spans="1:8" x14ac:dyDescent="0.25">
      <c r="E1938" t="str">
        <f>"GDE201901106514"</f>
        <v>GDE201901106514</v>
      </c>
      <c r="F1938" t="str">
        <f t="shared" si="31"/>
        <v>GUARDIAN</v>
      </c>
      <c r="G1938" s="3">
        <v>-15.39</v>
      </c>
      <c r="H1938" t="str">
        <f t="shared" si="30"/>
        <v>GUARDIAN</v>
      </c>
    </row>
    <row r="1939" spans="1:8" x14ac:dyDescent="0.25">
      <c r="E1939" t="str">
        <f>"GVE201901106514"</f>
        <v>GVE201901106514</v>
      </c>
      <c r="F1939" t="str">
        <f>"GUARDIAN VISION VENDOR"</f>
        <v>GUARDIAN VISION VENDOR</v>
      </c>
      <c r="G1939" s="3">
        <v>-3.69</v>
      </c>
      <c r="H1939" t="str">
        <f>"GUARDIAN VISION VENDOR"</f>
        <v>GUARDIAN VISION VENDOR</v>
      </c>
    </row>
    <row r="1940" spans="1:8" x14ac:dyDescent="0.25">
      <c r="E1940" t="str">
        <f>"LIE201901106514"</f>
        <v>LIE201901106514</v>
      </c>
      <c r="F1940" t="str">
        <f>"GUARDIAN"</f>
        <v>GUARDIAN</v>
      </c>
      <c r="G1940" s="3">
        <v>-12.1</v>
      </c>
      <c r="H1940" t="str">
        <f>"GUARDIAN"</f>
        <v>GUARDIAN</v>
      </c>
    </row>
    <row r="1941" spans="1:8" x14ac:dyDescent="0.25">
      <c r="E1941" t="str">
        <f>""</f>
        <v/>
      </c>
      <c r="F1941" t="str">
        <f>""</f>
        <v/>
      </c>
      <c r="H1941" t="str">
        <f>"GUARDIAN"</f>
        <v>GUARDIAN</v>
      </c>
    </row>
    <row r="1942" spans="1:8" x14ac:dyDescent="0.25">
      <c r="E1942" t="str">
        <f>"ADE201901106515"</f>
        <v>ADE201901106515</v>
      </c>
      <c r="F1942" t="str">
        <f>"GUARDIAN"</f>
        <v>GUARDIAN</v>
      </c>
      <c r="G1942" s="3">
        <v>0.75</v>
      </c>
      <c r="H1942" t="str">
        <f>"GUARDIAN"</f>
        <v>GUARDIAN</v>
      </c>
    </row>
    <row r="1943" spans="1:8" x14ac:dyDescent="0.25">
      <c r="E1943" t="str">
        <f>"GDE201901106515"</f>
        <v>GDE201901106515</v>
      </c>
      <c r="F1943" t="str">
        <f>"GUARDIAN"</f>
        <v>GUARDIAN</v>
      </c>
      <c r="G1943" s="3">
        <v>15.39</v>
      </c>
      <c r="H1943" t="str">
        <f>"GUARDIAN"</f>
        <v>GUARDIAN</v>
      </c>
    </row>
    <row r="1944" spans="1:8" x14ac:dyDescent="0.25">
      <c r="E1944" t="str">
        <f>"GVE201901106515"</f>
        <v>GVE201901106515</v>
      </c>
      <c r="F1944" t="str">
        <f>"GUARDIAN VISION VENDOR"</f>
        <v>GUARDIAN VISION VENDOR</v>
      </c>
      <c r="G1944" s="3">
        <v>3.69</v>
      </c>
      <c r="H1944" t="str">
        <f>"GUARDIAN VISION VENDOR"</f>
        <v>GUARDIAN VISION VENDOR</v>
      </c>
    </row>
    <row r="1945" spans="1:8" x14ac:dyDescent="0.25">
      <c r="E1945" t="str">
        <f>"LIE201901106515"</f>
        <v>LIE201901106515</v>
      </c>
      <c r="F1945" t="str">
        <f>"GUARDIAN"</f>
        <v>GUARDIAN</v>
      </c>
      <c r="G1945" s="3">
        <v>12.1</v>
      </c>
      <c r="H1945" t="str">
        <f>"GUARDIAN"</f>
        <v>GUARDIAN</v>
      </c>
    </row>
    <row r="1946" spans="1:8" x14ac:dyDescent="0.25">
      <c r="E1946" t="str">
        <f>""</f>
        <v/>
      </c>
      <c r="F1946" t="str">
        <f>""</f>
        <v/>
      </c>
      <c r="H1946" t="str">
        <f>"GUARDIAN"</f>
        <v>GUARDIAN</v>
      </c>
    </row>
    <row r="1947" spans="1:8" x14ac:dyDescent="0.25">
      <c r="A1947" t="s">
        <v>489</v>
      </c>
      <c r="B1947">
        <v>47192</v>
      </c>
      <c r="C1947" s="2">
        <v>238.43</v>
      </c>
      <c r="D1947" s="1">
        <v>43448</v>
      </c>
      <c r="E1947" t="str">
        <f>"IJ2201812125722"</f>
        <v>IJ2201812125722</v>
      </c>
      <c r="F1947" t="str">
        <f>"LISA JACKSON 2 IRS LEVY"</f>
        <v>LISA JACKSON 2 IRS LEVY</v>
      </c>
      <c r="G1947" s="3">
        <v>238.43</v>
      </c>
      <c r="H1947" t="str">
        <f>"LISA JACKSON 2 IRS LEVY"</f>
        <v>LISA JACKSON 2 IRS LEVY</v>
      </c>
    </row>
    <row r="1948" spans="1:8" x14ac:dyDescent="0.25">
      <c r="A1948" t="s">
        <v>490</v>
      </c>
      <c r="B1948">
        <v>10</v>
      </c>
      <c r="C1948" s="2">
        <v>217980.72</v>
      </c>
      <c r="D1948" s="1">
        <v>43448</v>
      </c>
      <c r="E1948" t="str">
        <f>"T1 201812125722"</f>
        <v>T1 201812125722</v>
      </c>
      <c r="F1948" t="str">
        <f>"FEDERAL WITHHOLDING"</f>
        <v>FEDERAL WITHHOLDING</v>
      </c>
      <c r="G1948" s="3">
        <v>71195.94</v>
      </c>
      <c r="H1948" t="str">
        <f>"FEDERAL WITHHOLDING"</f>
        <v>FEDERAL WITHHOLDING</v>
      </c>
    </row>
    <row r="1949" spans="1:8" x14ac:dyDescent="0.25">
      <c r="E1949" t="str">
        <f>"T1 201812125723"</f>
        <v>T1 201812125723</v>
      </c>
      <c r="F1949" t="str">
        <f>"FEDERAL WITHHOLDING"</f>
        <v>FEDERAL WITHHOLDING</v>
      </c>
      <c r="G1949" s="3">
        <v>3026.05</v>
      </c>
      <c r="H1949" t="str">
        <f>"FEDERAL WITHHOLDING"</f>
        <v>FEDERAL WITHHOLDING</v>
      </c>
    </row>
    <row r="1950" spans="1:8" x14ac:dyDescent="0.25">
      <c r="E1950" t="str">
        <f>"T1 201812125727"</f>
        <v>T1 201812125727</v>
      </c>
      <c r="F1950" t="str">
        <f>"FEDERAL WITHHOLDING"</f>
        <v>FEDERAL WITHHOLDING</v>
      </c>
      <c r="G1950" s="3">
        <v>3625.99</v>
      </c>
      <c r="H1950" t="str">
        <f>"FEDERAL WITHHOLDING"</f>
        <v>FEDERAL WITHHOLDING</v>
      </c>
    </row>
    <row r="1951" spans="1:8" x14ac:dyDescent="0.25">
      <c r="E1951" t="str">
        <f>"T3 201812125722"</f>
        <v>T3 201812125722</v>
      </c>
      <c r="F1951" t="str">
        <f>"SOCIAL SECURITY TAXES"</f>
        <v>SOCIAL SECURITY TAXES</v>
      </c>
      <c r="G1951" s="3">
        <v>104061.82</v>
      </c>
      <c r="H1951" t="str">
        <f t="shared" ref="H1951:H1982" si="32">"SOCIAL SECURITY TAXES"</f>
        <v>SOCIAL SECURITY TAXES</v>
      </c>
    </row>
    <row r="1952" spans="1:8" x14ac:dyDescent="0.25">
      <c r="E1952" t="str">
        <f>""</f>
        <v/>
      </c>
      <c r="F1952" t="str">
        <f>""</f>
        <v/>
      </c>
      <c r="H1952" t="str">
        <f t="shared" si="32"/>
        <v>SOCIAL SECURITY TAXES</v>
      </c>
    </row>
    <row r="1953" spans="5:8" x14ac:dyDescent="0.25">
      <c r="E1953" t="str">
        <f>""</f>
        <v/>
      </c>
      <c r="F1953" t="str">
        <f>""</f>
        <v/>
      </c>
      <c r="H1953" t="str">
        <f t="shared" si="32"/>
        <v>SOCIAL SECURITY TAXES</v>
      </c>
    </row>
    <row r="1954" spans="5:8" x14ac:dyDescent="0.25">
      <c r="E1954" t="str">
        <f>""</f>
        <v/>
      </c>
      <c r="F1954" t="str">
        <f>""</f>
        <v/>
      </c>
      <c r="H1954" t="str">
        <f t="shared" si="32"/>
        <v>SOCIAL SECURITY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32"/>
        <v>SOCIAL SECURITY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32"/>
        <v>SOCIAL SECURITY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32"/>
        <v>SOCIAL SECURITY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32"/>
        <v>SOCIAL SECURITY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32"/>
        <v>SOCIAL SECURITY TAXES</v>
      </c>
    </row>
    <row r="1960" spans="5:8" x14ac:dyDescent="0.25">
      <c r="E1960" t="str">
        <f>""</f>
        <v/>
      </c>
      <c r="F1960" t="str">
        <f>""</f>
        <v/>
      </c>
      <c r="H1960" t="str">
        <f t="shared" si="32"/>
        <v>SOCIAL SECURITY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32"/>
        <v>SOCIAL SECURITY TAXES</v>
      </c>
    </row>
    <row r="1962" spans="5:8" x14ac:dyDescent="0.25">
      <c r="E1962" t="str">
        <f>""</f>
        <v/>
      </c>
      <c r="F1962" t="str">
        <f>""</f>
        <v/>
      </c>
      <c r="H1962" t="str">
        <f t="shared" si="32"/>
        <v>SOCIAL SECURITY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32"/>
        <v>SOCIAL SECURITY TAXES</v>
      </c>
    </row>
    <row r="1964" spans="5:8" x14ac:dyDescent="0.25">
      <c r="E1964" t="str">
        <f>""</f>
        <v/>
      </c>
      <c r="F1964" t="str">
        <f>""</f>
        <v/>
      </c>
      <c r="H1964" t="str">
        <f t="shared" si="32"/>
        <v>SOCIAL SECURITY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32"/>
        <v>SOCIAL SECURITY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32"/>
        <v>SOCIAL SECURITY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32"/>
        <v>SOCIAL SECURITY TAXES</v>
      </c>
    </row>
    <row r="1968" spans="5:8" x14ac:dyDescent="0.25">
      <c r="E1968" t="str">
        <f>""</f>
        <v/>
      </c>
      <c r="F1968" t="str">
        <f>""</f>
        <v/>
      </c>
      <c r="H1968" t="str">
        <f t="shared" si="32"/>
        <v>SOCIAL SECURITY TAXES</v>
      </c>
    </row>
    <row r="1969" spans="5:8" x14ac:dyDescent="0.25">
      <c r="E1969" t="str">
        <f>""</f>
        <v/>
      </c>
      <c r="F1969" t="str">
        <f>""</f>
        <v/>
      </c>
      <c r="H1969" t="str">
        <f t="shared" si="32"/>
        <v>SOCIAL SECURITY TAXES</v>
      </c>
    </row>
    <row r="1970" spans="5:8" x14ac:dyDescent="0.25">
      <c r="E1970" t="str">
        <f>""</f>
        <v/>
      </c>
      <c r="F1970" t="str">
        <f>""</f>
        <v/>
      </c>
      <c r="H1970" t="str">
        <f t="shared" si="32"/>
        <v>SOCIAL SECURITY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32"/>
        <v>SOCIAL SECURITY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32"/>
        <v>SOCIAL SECURITY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32"/>
        <v>SOCIAL SECURITY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32"/>
        <v>SOCIAL SECURITY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32"/>
        <v>SOCIAL SECURITY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32"/>
        <v>SOCIAL SECURITY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32"/>
        <v>SOCIAL SECURITY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32"/>
        <v>SOCIAL SECURITY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32"/>
        <v>SOCIAL SECURITY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32"/>
        <v>SOCIAL SECURITY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32"/>
        <v>SOCIAL SECURITY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32"/>
        <v>SOCIAL SECURITY TAXES</v>
      </c>
    </row>
    <row r="1983" spans="5:8" x14ac:dyDescent="0.25">
      <c r="E1983" t="str">
        <f>""</f>
        <v/>
      </c>
      <c r="F1983" t="str">
        <f>""</f>
        <v/>
      </c>
      <c r="H1983" t="str">
        <f t="shared" ref="H1983:H2006" si="33">"SOCIAL SECURITY TAXES"</f>
        <v>SOCIAL SECURITY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33"/>
        <v>SOCIAL SECURITY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33"/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33"/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33"/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33"/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33"/>
        <v>SOCIAL SECURITY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33"/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33"/>
        <v>SOCIAL SECURITY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33"/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33"/>
        <v>SOCIAL SECURITY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33"/>
        <v>SOCIAL SECURITY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33"/>
        <v>SOCIAL SECURITY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33"/>
        <v>SOCIAL SECURITY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33"/>
        <v>SOCIAL SECURITY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33"/>
        <v>SOCIAL SECURITY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33"/>
        <v>SOCIAL SECURITY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33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3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3"/>
        <v>SOCIAL SECURITY TAXES</v>
      </c>
    </row>
    <row r="2003" spans="5:8" x14ac:dyDescent="0.25">
      <c r="E2003" t="str">
        <f>"T3 201812125723"</f>
        <v>T3 201812125723</v>
      </c>
      <c r="F2003" t="str">
        <f>"SOCIAL SECURITY TAXES"</f>
        <v>SOCIAL SECURITY TAXES</v>
      </c>
      <c r="G2003" s="3">
        <v>4183.32</v>
      </c>
      <c r="H2003" t="str">
        <f t="shared" si="33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3"/>
        <v>SOCIAL SECURITY TAXES</v>
      </c>
    </row>
    <row r="2005" spans="5:8" x14ac:dyDescent="0.25">
      <c r="E2005" t="str">
        <f>"T3 201812125727"</f>
        <v>T3 201812125727</v>
      </c>
      <c r="F2005" t="str">
        <f>"SOCIAL SECURITY TAXES"</f>
        <v>SOCIAL SECURITY TAXES</v>
      </c>
      <c r="G2005" s="3">
        <v>5200.34</v>
      </c>
      <c r="H2005" t="str">
        <f t="shared" si="33"/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33"/>
        <v>SOCIAL SECURITY TAXES</v>
      </c>
    </row>
    <row r="2007" spans="5:8" x14ac:dyDescent="0.25">
      <c r="E2007" t="str">
        <f>"T4 201812125722"</f>
        <v>T4 201812125722</v>
      </c>
      <c r="F2007" t="str">
        <f>"MEDICARE TAXES"</f>
        <v>MEDICARE TAXES</v>
      </c>
      <c r="G2007" s="3">
        <v>24492.6</v>
      </c>
      <c r="H2007" t="str">
        <f t="shared" ref="H2007:H2038" si="34">"MEDICARE TAXES"</f>
        <v>MEDICARE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34"/>
        <v>MEDICARE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4"/>
        <v>MEDICARE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34"/>
        <v>MEDICARE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34"/>
        <v>MEDICARE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34"/>
        <v>MEDICARE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34"/>
        <v>MEDICARE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34"/>
        <v>MEDICARE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34"/>
        <v>MEDICARE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34"/>
        <v>MEDICARE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34"/>
        <v>MEDICARE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34"/>
        <v>MEDICARE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34"/>
        <v>MEDICARE TAXES</v>
      </c>
    </row>
    <row r="2020" spans="5:8" x14ac:dyDescent="0.25">
      <c r="E2020" t="str">
        <f>""</f>
        <v/>
      </c>
      <c r="F2020" t="str">
        <f>""</f>
        <v/>
      </c>
      <c r="H2020" t="str">
        <f t="shared" si="34"/>
        <v>MEDICARE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34"/>
        <v>MEDICARE TAXES</v>
      </c>
    </row>
    <row r="2022" spans="5:8" x14ac:dyDescent="0.25">
      <c r="E2022" t="str">
        <f>""</f>
        <v/>
      </c>
      <c r="F2022" t="str">
        <f>""</f>
        <v/>
      </c>
      <c r="H2022" t="str">
        <f t="shared" si="34"/>
        <v>MEDICARE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34"/>
        <v>MEDICARE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34"/>
        <v>MEDICARE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34"/>
        <v>MEDICARE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34"/>
        <v>MEDICARE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34"/>
        <v>MEDICARE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34"/>
        <v>MEDICARE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34"/>
        <v>MEDICARE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34"/>
        <v>MEDICARE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34"/>
        <v>MEDICARE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34"/>
        <v>MEDICARE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34"/>
        <v>MEDICARE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34"/>
        <v>MEDICARE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34"/>
        <v>MEDICARE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34"/>
        <v>MEDICARE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34"/>
        <v>MEDICARE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34"/>
        <v>MEDICARE TAXES</v>
      </c>
    </row>
    <row r="2039" spans="5:8" x14ac:dyDescent="0.25">
      <c r="E2039" t="str">
        <f>""</f>
        <v/>
      </c>
      <c r="F2039" t="str">
        <f>""</f>
        <v/>
      </c>
      <c r="H2039" t="str">
        <f t="shared" ref="H2039:H2062" si="35">"MEDICARE TAXES"</f>
        <v>MEDICARE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35"/>
        <v>MEDICARE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35"/>
        <v>MEDICARE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35"/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35"/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35"/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35"/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35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35"/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35"/>
        <v>MEDICARE TAXES</v>
      </c>
    </row>
    <row r="2049" spans="1:8" x14ac:dyDescent="0.25">
      <c r="E2049" t="str">
        <f>""</f>
        <v/>
      </c>
      <c r="F2049" t="str">
        <f>""</f>
        <v/>
      </c>
      <c r="H2049" t="str">
        <f t="shared" si="35"/>
        <v>MEDICARE TAXES</v>
      </c>
    </row>
    <row r="2050" spans="1:8" x14ac:dyDescent="0.25">
      <c r="E2050" t="str">
        <f>""</f>
        <v/>
      </c>
      <c r="F2050" t="str">
        <f>""</f>
        <v/>
      </c>
      <c r="H2050" t="str">
        <f t="shared" si="35"/>
        <v>MEDICARE TAXES</v>
      </c>
    </row>
    <row r="2051" spans="1:8" x14ac:dyDescent="0.25">
      <c r="E2051" t="str">
        <f>""</f>
        <v/>
      </c>
      <c r="F2051" t="str">
        <f>""</f>
        <v/>
      </c>
      <c r="H2051" t="str">
        <f t="shared" si="35"/>
        <v>MEDICARE TAXES</v>
      </c>
    </row>
    <row r="2052" spans="1:8" x14ac:dyDescent="0.25">
      <c r="E2052" t="str">
        <f>""</f>
        <v/>
      </c>
      <c r="F2052" t="str">
        <f>""</f>
        <v/>
      </c>
      <c r="H2052" t="str">
        <f t="shared" si="35"/>
        <v>MEDICARE TAXES</v>
      </c>
    </row>
    <row r="2053" spans="1:8" x14ac:dyDescent="0.25">
      <c r="E2053" t="str">
        <f>""</f>
        <v/>
      </c>
      <c r="F2053" t="str">
        <f>""</f>
        <v/>
      </c>
      <c r="H2053" t="str">
        <f t="shared" si="35"/>
        <v>MEDICARE TAXES</v>
      </c>
    </row>
    <row r="2054" spans="1:8" x14ac:dyDescent="0.25">
      <c r="E2054" t="str">
        <f>""</f>
        <v/>
      </c>
      <c r="F2054" t="str">
        <f>""</f>
        <v/>
      </c>
      <c r="H2054" t="str">
        <f t="shared" si="35"/>
        <v>MEDICARE TAXES</v>
      </c>
    </row>
    <row r="2055" spans="1:8" x14ac:dyDescent="0.25">
      <c r="E2055" t="str">
        <f>""</f>
        <v/>
      </c>
      <c r="F2055" t="str">
        <f>""</f>
        <v/>
      </c>
      <c r="H2055" t="str">
        <f t="shared" si="35"/>
        <v>MEDICARE TAXES</v>
      </c>
    </row>
    <row r="2056" spans="1:8" x14ac:dyDescent="0.25">
      <c r="E2056" t="str">
        <f>""</f>
        <v/>
      </c>
      <c r="F2056" t="str">
        <f>""</f>
        <v/>
      </c>
      <c r="H2056" t="str">
        <f t="shared" si="35"/>
        <v>MEDICARE TAXES</v>
      </c>
    </row>
    <row r="2057" spans="1:8" x14ac:dyDescent="0.25">
      <c r="E2057" t="str">
        <f>""</f>
        <v/>
      </c>
      <c r="F2057" t="str">
        <f>""</f>
        <v/>
      </c>
      <c r="H2057" t="str">
        <f t="shared" si="35"/>
        <v>MEDICARE TAXES</v>
      </c>
    </row>
    <row r="2058" spans="1:8" x14ac:dyDescent="0.25">
      <c r="E2058" t="str">
        <f>""</f>
        <v/>
      </c>
      <c r="F2058" t="str">
        <f>""</f>
        <v/>
      </c>
      <c r="H2058" t="str">
        <f t="shared" si="35"/>
        <v>MEDICARE TAXES</v>
      </c>
    </row>
    <row r="2059" spans="1:8" x14ac:dyDescent="0.25">
      <c r="E2059" t="str">
        <f>"T4 201812125723"</f>
        <v>T4 201812125723</v>
      </c>
      <c r="F2059" t="str">
        <f>"MEDICARE TAXES"</f>
        <v>MEDICARE TAXES</v>
      </c>
      <c r="G2059" s="3">
        <v>978.4</v>
      </c>
      <c r="H2059" t="str">
        <f t="shared" si="35"/>
        <v>MEDICARE TAXES</v>
      </c>
    </row>
    <row r="2060" spans="1:8" x14ac:dyDescent="0.25">
      <c r="E2060" t="str">
        <f>""</f>
        <v/>
      </c>
      <c r="F2060" t="str">
        <f>""</f>
        <v/>
      </c>
      <c r="H2060" t="str">
        <f t="shared" si="35"/>
        <v>MEDICARE TAXES</v>
      </c>
    </row>
    <row r="2061" spans="1:8" x14ac:dyDescent="0.25">
      <c r="E2061" t="str">
        <f>"T4 201812125727"</f>
        <v>T4 201812125727</v>
      </c>
      <c r="F2061" t="str">
        <f>"MEDICARE TAXES"</f>
        <v>MEDICARE TAXES</v>
      </c>
      <c r="G2061" s="3">
        <v>1216.26</v>
      </c>
      <c r="H2061" t="str">
        <f t="shared" si="35"/>
        <v>MEDICARE TAXES</v>
      </c>
    </row>
    <row r="2062" spans="1:8" x14ac:dyDescent="0.25">
      <c r="E2062" t="str">
        <f>""</f>
        <v/>
      </c>
      <c r="F2062" t="str">
        <f>""</f>
        <v/>
      </c>
      <c r="H2062" t="str">
        <f t="shared" si="35"/>
        <v>MEDICARE TAXES</v>
      </c>
    </row>
    <row r="2063" spans="1:8" x14ac:dyDescent="0.25">
      <c r="A2063" t="s">
        <v>490</v>
      </c>
      <c r="B2063">
        <v>15</v>
      </c>
      <c r="C2063" s="2">
        <v>1330.92</v>
      </c>
      <c r="D2063" s="1">
        <v>43453</v>
      </c>
      <c r="E2063" t="str">
        <f>"T3 201812145844"</f>
        <v>T3 201812145844</v>
      </c>
      <c r="F2063" t="str">
        <f>"SOCIAL SECURITY TAXES"</f>
        <v>SOCIAL SECURITY TAXES</v>
      </c>
      <c r="G2063" s="3">
        <v>-3.1</v>
      </c>
      <c r="H2063" t="str">
        <f>"SOCIAL SECURITY TAXES"</f>
        <v>SOCIAL SECURITY TAXES</v>
      </c>
    </row>
    <row r="2064" spans="1:8" x14ac:dyDescent="0.25">
      <c r="E2064" t="str">
        <f>""</f>
        <v/>
      </c>
      <c r="F2064" t="str">
        <f>""</f>
        <v/>
      </c>
      <c r="H2064" t="str">
        <f>"SOCIAL SECURITY TAXES"</f>
        <v>SOCIAL SECURITY TAXES</v>
      </c>
    </row>
    <row r="2065" spans="1:8" x14ac:dyDescent="0.25">
      <c r="E2065" t="str">
        <f>"T4 201812145844"</f>
        <v>T4 201812145844</v>
      </c>
      <c r="F2065" t="str">
        <f>"MEDICARE TAXES"</f>
        <v>MEDICARE TAXES</v>
      </c>
      <c r="G2065" s="3">
        <v>-0.72</v>
      </c>
      <c r="H2065" t="str">
        <f>"MEDICARE TAXES"</f>
        <v>MEDICARE TAXES</v>
      </c>
    </row>
    <row r="2066" spans="1:8" x14ac:dyDescent="0.25">
      <c r="E2066" t="str">
        <f>""</f>
        <v/>
      </c>
      <c r="F2066" t="str">
        <f>""</f>
        <v/>
      </c>
      <c r="H2066" t="str">
        <f>"MEDICARE TAXES"</f>
        <v>MEDICARE TAXES</v>
      </c>
    </row>
    <row r="2067" spans="1:8" x14ac:dyDescent="0.25">
      <c r="E2067" t="str">
        <f>"T1 201812175849"</f>
        <v>T1 201812175849</v>
      </c>
      <c r="F2067" t="str">
        <f>"FEDERAL WITHHOLDING"</f>
        <v>FEDERAL WITHHOLDING</v>
      </c>
      <c r="G2067" s="3">
        <v>466.4</v>
      </c>
      <c r="H2067" t="str">
        <f>"FEDERAL WITHHOLDING"</f>
        <v>FEDERAL WITHHOLDING</v>
      </c>
    </row>
    <row r="2068" spans="1:8" x14ac:dyDescent="0.25">
      <c r="E2068" t="str">
        <f>"T3 201812175845"</f>
        <v>T3 201812175845</v>
      </c>
      <c r="F2068" t="str">
        <f>"SOCIAL SECURITY TAXES"</f>
        <v>SOCIAL SECURITY TAXES</v>
      </c>
      <c r="G2068" s="3">
        <v>238.08</v>
      </c>
      <c r="H2068" t="str">
        <f>"SOCIAL SECURITY TAXES"</f>
        <v>SOCIAL SECURITY TAXES</v>
      </c>
    </row>
    <row r="2069" spans="1:8" x14ac:dyDescent="0.25">
      <c r="E2069" t="str">
        <f>""</f>
        <v/>
      </c>
      <c r="F2069" t="str">
        <f>""</f>
        <v/>
      </c>
      <c r="H2069" t="str">
        <f>"SOCIAL SECURITY TAXES"</f>
        <v>SOCIAL SECURITY TAXES</v>
      </c>
    </row>
    <row r="2070" spans="1:8" x14ac:dyDescent="0.25">
      <c r="E2070" t="str">
        <f>"T3 201812175849"</f>
        <v>T3 201812175849</v>
      </c>
      <c r="F2070" t="str">
        <f>"SOCIAL SECURITY TAXES"</f>
        <v>SOCIAL SECURITY TAXES</v>
      </c>
      <c r="G2070" s="3">
        <v>465.66</v>
      </c>
      <c r="H2070" t="str">
        <f>"SOCIAL SECURITY TAXES"</f>
        <v>SOCIAL SECURITY TAXES</v>
      </c>
    </row>
    <row r="2071" spans="1:8" x14ac:dyDescent="0.25">
      <c r="E2071" t="str">
        <f>""</f>
        <v/>
      </c>
      <c r="F2071" t="str">
        <f>""</f>
        <v/>
      </c>
      <c r="H2071" t="str">
        <f>"SOCIAL SECURITY TAXES"</f>
        <v>SOCIAL SECURITY TAXES</v>
      </c>
    </row>
    <row r="2072" spans="1:8" x14ac:dyDescent="0.25">
      <c r="E2072" t="str">
        <f>""</f>
        <v/>
      </c>
      <c r="F2072" t="str">
        <f>""</f>
        <v/>
      </c>
      <c r="H2072" t="str">
        <f>"SOCIAL SECURITY TAXES"</f>
        <v>SOCIAL SECURITY TAXES</v>
      </c>
    </row>
    <row r="2073" spans="1:8" x14ac:dyDescent="0.25">
      <c r="E2073" t="str">
        <f>"T4 201812175845"</f>
        <v>T4 201812175845</v>
      </c>
      <c r="F2073" t="str">
        <f>"MEDICARE TAXES"</f>
        <v>MEDICARE TAXES</v>
      </c>
      <c r="G2073" s="3">
        <v>55.68</v>
      </c>
      <c r="H2073" t="str">
        <f>"MEDICARE TAXES"</f>
        <v>MEDICARE TAXES</v>
      </c>
    </row>
    <row r="2074" spans="1:8" x14ac:dyDescent="0.25">
      <c r="E2074" t="str">
        <f>""</f>
        <v/>
      </c>
      <c r="F2074" t="str">
        <f>""</f>
        <v/>
      </c>
      <c r="H2074" t="str">
        <f>"MEDICARE TAXES"</f>
        <v>MEDICARE TAXES</v>
      </c>
    </row>
    <row r="2075" spans="1:8" x14ac:dyDescent="0.25">
      <c r="E2075" t="str">
        <f>"T4 201812175849"</f>
        <v>T4 201812175849</v>
      </c>
      <c r="F2075" t="str">
        <f>"MEDICARE TAXES"</f>
        <v>MEDICARE TAXES</v>
      </c>
      <c r="G2075" s="3">
        <v>108.92</v>
      </c>
      <c r="H2075" t="str">
        <f>"MEDICARE TAXES"</f>
        <v>MEDICARE TAXES</v>
      </c>
    </row>
    <row r="2076" spans="1:8" x14ac:dyDescent="0.25">
      <c r="E2076" t="str">
        <f>""</f>
        <v/>
      </c>
      <c r="F2076" t="str">
        <f>""</f>
        <v/>
      </c>
      <c r="H2076" t="str">
        <f>"MEDICARE TAXES"</f>
        <v>MEDICARE TAXES</v>
      </c>
    </row>
    <row r="2077" spans="1:8" x14ac:dyDescent="0.25">
      <c r="E2077" t="str">
        <f>""</f>
        <v/>
      </c>
      <c r="F2077" t="str">
        <f>""</f>
        <v/>
      </c>
      <c r="H2077" t="str">
        <f>"MEDICARE TAXES"</f>
        <v>MEDICARE TAXES</v>
      </c>
    </row>
    <row r="2078" spans="1:8" x14ac:dyDescent="0.25">
      <c r="A2078" t="s">
        <v>490</v>
      </c>
      <c r="B2078">
        <v>17</v>
      </c>
      <c r="C2078" s="2">
        <v>218092.7</v>
      </c>
      <c r="D2078" s="1">
        <v>43462</v>
      </c>
      <c r="E2078" t="str">
        <f>"T1 201812255984"</f>
        <v>T1 201812255984</v>
      </c>
      <c r="F2078" t="str">
        <f>"FEDERAL WITHHOLDING"</f>
        <v>FEDERAL WITHHOLDING</v>
      </c>
      <c r="G2078" s="3">
        <v>71253.429999999993</v>
      </c>
      <c r="H2078" t="str">
        <f>"FEDERAL WITHHOLDING"</f>
        <v>FEDERAL WITHHOLDING</v>
      </c>
    </row>
    <row r="2079" spans="1:8" x14ac:dyDescent="0.25">
      <c r="E2079" t="str">
        <f>"T1 201812255985"</f>
        <v>T1 201812255985</v>
      </c>
      <c r="F2079" t="str">
        <f>"FEDERAL WITHHOLDING"</f>
        <v>FEDERAL WITHHOLDING</v>
      </c>
      <c r="G2079" s="3">
        <v>3028.1</v>
      </c>
      <c r="H2079" t="str">
        <f>"FEDERAL WITHHOLDING"</f>
        <v>FEDERAL WITHHOLDING</v>
      </c>
    </row>
    <row r="2080" spans="1:8" x14ac:dyDescent="0.25">
      <c r="E2080" t="str">
        <f>"T1 201812255986"</f>
        <v>T1 201812255986</v>
      </c>
      <c r="F2080" t="str">
        <f>"FEDERAL WITHHOLDING"</f>
        <v>FEDERAL WITHHOLDING</v>
      </c>
      <c r="G2080" s="3">
        <v>3625.99</v>
      </c>
      <c r="H2080" t="str">
        <f>"FEDERAL WITHHOLDING"</f>
        <v>FEDERAL WITHHOLDING</v>
      </c>
    </row>
    <row r="2081" spans="5:8" x14ac:dyDescent="0.25">
      <c r="E2081" t="str">
        <f>"T3 201812255984"</f>
        <v>T3 201812255984</v>
      </c>
      <c r="F2081" t="str">
        <f>"SOCIAL SECURITY TAXES"</f>
        <v>SOCIAL SECURITY TAXES</v>
      </c>
      <c r="G2081" s="3">
        <v>104102.12</v>
      </c>
      <c r="H2081" t="str">
        <f t="shared" ref="H2081:H2112" si="36">"SOCIAL SECURITY TAXES"</f>
        <v>SOCIAL SECURITY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36"/>
        <v>SOCIAL SECURITY TAXES</v>
      </c>
    </row>
    <row r="2083" spans="5:8" x14ac:dyDescent="0.25">
      <c r="E2083" t="str">
        <f>""</f>
        <v/>
      </c>
      <c r="F2083" t="str">
        <f>""</f>
        <v/>
      </c>
      <c r="H2083" t="str">
        <f t="shared" si="36"/>
        <v>SOCIAL SECURITY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36"/>
        <v>SOCIAL SECURITY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36"/>
        <v>SOCIAL SECURITY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36"/>
        <v>SOCIAL SECURITY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36"/>
        <v>SOCIAL SECURITY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36"/>
        <v>SOCIAL SECURITY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36"/>
        <v>SOCIAL SECURITY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36"/>
        <v>SOCIAL SECURITY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36"/>
        <v>SOCIAL SECURITY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36"/>
        <v>SOCIAL SECURITY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36"/>
        <v>SOCIAL SECURITY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36"/>
        <v>SOCIAL SECURITY TAXES</v>
      </c>
    </row>
    <row r="2095" spans="5:8" x14ac:dyDescent="0.25">
      <c r="E2095" t="str">
        <f>""</f>
        <v/>
      </c>
      <c r="F2095" t="str">
        <f>""</f>
        <v/>
      </c>
      <c r="H2095" t="str">
        <f t="shared" si="36"/>
        <v>SOCIAL SECURITY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36"/>
        <v>SOCIAL SECURITY TAXES</v>
      </c>
    </row>
    <row r="2097" spans="5:8" x14ac:dyDescent="0.25">
      <c r="E2097" t="str">
        <f>""</f>
        <v/>
      </c>
      <c r="F2097" t="str">
        <f>""</f>
        <v/>
      </c>
      <c r="H2097" t="str">
        <f t="shared" si="36"/>
        <v>SOCIAL SECURITY TAXES</v>
      </c>
    </row>
    <row r="2098" spans="5:8" x14ac:dyDescent="0.25">
      <c r="E2098" t="str">
        <f>""</f>
        <v/>
      </c>
      <c r="F2098" t="str">
        <f>""</f>
        <v/>
      </c>
      <c r="H2098" t="str">
        <f t="shared" si="36"/>
        <v>SOCIAL SECURITY TAXES</v>
      </c>
    </row>
    <row r="2099" spans="5:8" x14ac:dyDescent="0.25">
      <c r="E2099" t="str">
        <f>""</f>
        <v/>
      </c>
      <c r="F2099" t="str">
        <f>""</f>
        <v/>
      </c>
      <c r="H2099" t="str">
        <f t="shared" si="36"/>
        <v>SOCIAL SECURITY TAXES</v>
      </c>
    </row>
    <row r="2100" spans="5:8" x14ac:dyDescent="0.25">
      <c r="E2100" t="str">
        <f>""</f>
        <v/>
      </c>
      <c r="F2100" t="str">
        <f>""</f>
        <v/>
      </c>
      <c r="H2100" t="str">
        <f t="shared" si="36"/>
        <v>SOCIAL SECURITY TAXES</v>
      </c>
    </row>
    <row r="2101" spans="5:8" x14ac:dyDescent="0.25">
      <c r="E2101" t="str">
        <f>""</f>
        <v/>
      </c>
      <c r="F2101" t="str">
        <f>""</f>
        <v/>
      </c>
      <c r="H2101" t="str">
        <f t="shared" si="36"/>
        <v>SOCIAL SECURITY TAXES</v>
      </c>
    </row>
    <row r="2102" spans="5:8" x14ac:dyDescent="0.25">
      <c r="E2102" t="str">
        <f>""</f>
        <v/>
      </c>
      <c r="F2102" t="str">
        <f>""</f>
        <v/>
      </c>
      <c r="H2102" t="str">
        <f t="shared" si="36"/>
        <v>SOCIAL SECURITY TAXES</v>
      </c>
    </row>
    <row r="2103" spans="5:8" x14ac:dyDescent="0.25">
      <c r="E2103" t="str">
        <f>""</f>
        <v/>
      </c>
      <c r="F2103" t="str">
        <f>""</f>
        <v/>
      </c>
      <c r="H2103" t="str">
        <f t="shared" si="36"/>
        <v>SOCIAL SECURITY TAXES</v>
      </c>
    </row>
    <row r="2104" spans="5:8" x14ac:dyDescent="0.25">
      <c r="E2104" t="str">
        <f>""</f>
        <v/>
      </c>
      <c r="F2104" t="str">
        <f>""</f>
        <v/>
      </c>
      <c r="H2104" t="str">
        <f t="shared" si="36"/>
        <v>SOCIAL SECURITY TAXES</v>
      </c>
    </row>
    <row r="2105" spans="5:8" x14ac:dyDescent="0.25">
      <c r="E2105" t="str">
        <f>""</f>
        <v/>
      </c>
      <c r="F2105" t="str">
        <f>""</f>
        <v/>
      </c>
      <c r="H2105" t="str">
        <f t="shared" si="36"/>
        <v>SOCIAL SECURITY TAXES</v>
      </c>
    </row>
    <row r="2106" spans="5:8" x14ac:dyDescent="0.25">
      <c r="E2106" t="str">
        <f>""</f>
        <v/>
      </c>
      <c r="F2106" t="str">
        <f>""</f>
        <v/>
      </c>
      <c r="H2106" t="str">
        <f t="shared" si="36"/>
        <v>SOCIAL SECURITY TAXES</v>
      </c>
    </row>
    <row r="2107" spans="5:8" x14ac:dyDescent="0.25">
      <c r="E2107" t="str">
        <f>""</f>
        <v/>
      </c>
      <c r="F2107" t="str">
        <f>""</f>
        <v/>
      </c>
      <c r="H2107" t="str">
        <f t="shared" si="36"/>
        <v>SOCIAL SECURITY TAXES</v>
      </c>
    </row>
    <row r="2108" spans="5:8" x14ac:dyDescent="0.25">
      <c r="E2108" t="str">
        <f>""</f>
        <v/>
      </c>
      <c r="F2108" t="str">
        <f>""</f>
        <v/>
      </c>
      <c r="H2108" t="str">
        <f t="shared" si="36"/>
        <v>SOCIAL SECURITY TAXES</v>
      </c>
    </row>
    <row r="2109" spans="5:8" x14ac:dyDescent="0.25">
      <c r="E2109" t="str">
        <f>""</f>
        <v/>
      </c>
      <c r="F2109" t="str">
        <f>""</f>
        <v/>
      </c>
      <c r="H2109" t="str">
        <f t="shared" si="36"/>
        <v>SOCIAL SECURITY TAXES</v>
      </c>
    </row>
    <row r="2110" spans="5:8" x14ac:dyDescent="0.25">
      <c r="E2110" t="str">
        <f>""</f>
        <v/>
      </c>
      <c r="F2110" t="str">
        <f>""</f>
        <v/>
      </c>
      <c r="H2110" t="str">
        <f t="shared" si="36"/>
        <v>SOCIAL SECURITY TAXES</v>
      </c>
    </row>
    <row r="2111" spans="5:8" x14ac:dyDescent="0.25">
      <c r="E2111" t="str">
        <f>""</f>
        <v/>
      </c>
      <c r="F2111" t="str">
        <f>""</f>
        <v/>
      </c>
      <c r="H2111" t="str">
        <f t="shared" si="36"/>
        <v>SOCIAL SECURITY TAXES</v>
      </c>
    </row>
    <row r="2112" spans="5:8" x14ac:dyDescent="0.25">
      <c r="E2112" t="str">
        <f>""</f>
        <v/>
      </c>
      <c r="F2112" t="str">
        <f>""</f>
        <v/>
      </c>
      <c r="H2112" t="str">
        <f t="shared" si="36"/>
        <v>SOCIAL SECURITY TAXES</v>
      </c>
    </row>
    <row r="2113" spans="5:8" x14ac:dyDescent="0.25">
      <c r="E2113" t="str">
        <f>""</f>
        <v/>
      </c>
      <c r="F2113" t="str">
        <f>""</f>
        <v/>
      </c>
      <c r="H2113" t="str">
        <f t="shared" ref="H2113:H2136" si="37">"SOCIAL SECURITY TAXES"</f>
        <v>SOCIAL SECURITY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37"/>
        <v>SOCIAL SECURITY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37"/>
        <v>SOCIAL SECURITY TAXES</v>
      </c>
    </row>
    <row r="2116" spans="5:8" x14ac:dyDescent="0.25">
      <c r="E2116" t="str">
        <f>""</f>
        <v/>
      </c>
      <c r="F2116" t="str">
        <f>""</f>
        <v/>
      </c>
      <c r="H2116" t="str">
        <f t="shared" si="37"/>
        <v>SOCIAL SECURITY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37"/>
        <v>SOCIAL SECURITY TAXES</v>
      </c>
    </row>
    <row r="2118" spans="5:8" x14ac:dyDescent="0.25">
      <c r="E2118" t="str">
        <f>""</f>
        <v/>
      </c>
      <c r="F2118" t="str">
        <f>""</f>
        <v/>
      </c>
      <c r="H2118" t="str">
        <f t="shared" si="37"/>
        <v>SOCIAL SECURITY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37"/>
        <v>SOCIAL SECURITY TAXES</v>
      </c>
    </row>
    <row r="2120" spans="5:8" x14ac:dyDescent="0.25">
      <c r="E2120" t="str">
        <f>""</f>
        <v/>
      </c>
      <c r="F2120" t="str">
        <f>""</f>
        <v/>
      </c>
      <c r="H2120" t="str">
        <f t="shared" si="37"/>
        <v>SOCIAL SECURITY TAXES</v>
      </c>
    </row>
    <row r="2121" spans="5:8" x14ac:dyDescent="0.25">
      <c r="E2121" t="str">
        <f>""</f>
        <v/>
      </c>
      <c r="F2121" t="str">
        <f>""</f>
        <v/>
      </c>
      <c r="H2121" t="str">
        <f t="shared" si="37"/>
        <v>SOCIAL SECURITY TAXES</v>
      </c>
    </row>
    <row r="2122" spans="5:8" x14ac:dyDescent="0.25">
      <c r="E2122" t="str">
        <f>""</f>
        <v/>
      </c>
      <c r="F2122" t="str">
        <f>""</f>
        <v/>
      </c>
      <c r="H2122" t="str">
        <f t="shared" si="37"/>
        <v>SOCIAL SECURITY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37"/>
        <v>SOCIAL SECURITY TAXES</v>
      </c>
    </row>
    <row r="2124" spans="5:8" x14ac:dyDescent="0.25">
      <c r="E2124" t="str">
        <f>""</f>
        <v/>
      </c>
      <c r="F2124" t="str">
        <f>""</f>
        <v/>
      </c>
      <c r="H2124" t="str">
        <f t="shared" si="37"/>
        <v>SOCIAL SECURITY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37"/>
        <v>SOCIAL SECURITY TAXES</v>
      </c>
    </row>
    <row r="2126" spans="5:8" x14ac:dyDescent="0.25">
      <c r="E2126" t="str">
        <f>""</f>
        <v/>
      </c>
      <c r="F2126" t="str">
        <f>""</f>
        <v/>
      </c>
      <c r="H2126" t="str">
        <f t="shared" si="37"/>
        <v>SOCIAL SECURITY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37"/>
        <v>SOCIAL SECURITY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37"/>
        <v>SOCIAL SECURITY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37"/>
        <v>SOCIAL SECURITY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37"/>
        <v>SOCIAL SECURITY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37"/>
        <v>SOCIAL SECURITY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37"/>
        <v>SOCIAL SECURITY TAXES</v>
      </c>
    </row>
    <row r="2133" spans="5:8" x14ac:dyDescent="0.25">
      <c r="E2133" t="str">
        <f>"T3 201812255985"</f>
        <v>T3 201812255985</v>
      </c>
      <c r="F2133" t="str">
        <f>"SOCIAL SECURITY TAXES"</f>
        <v>SOCIAL SECURITY TAXES</v>
      </c>
      <c r="G2133" s="3">
        <v>4185.6000000000004</v>
      </c>
      <c r="H2133" t="str">
        <f t="shared" si="37"/>
        <v>SOCIAL SECURITY TAXES</v>
      </c>
    </row>
    <row r="2134" spans="5:8" x14ac:dyDescent="0.25">
      <c r="E2134" t="str">
        <f>""</f>
        <v/>
      </c>
      <c r="F2134" t="str">
        <f>""</f>
        <v/>
      </c>
      <c r="H2134" t="str">
        <f t="shared" si="37"/>
        <v>SOCIAL SECURITY TAXES</v>
      </c>
    </row>
    <row r="2135" spans="5:8" x14ac:dyDescent="0.25">
      <c r="E2135" t="str">
        <f>"T3 201812255986"</f>
        <v>T3 201812255986</v>
      </c>
      <c r="F2135" t="str">
        <f>"SOCIAL SECURITY TAXES"</f>
        <v>SOCIAL SECURITY TAXES</v>
      </c>
      <c r="G2135" s="3">
        <v>5200.34</v>
      </c>
      <c r="H2135" t="str">
        <f t="shared" si="37"/>
        <v>SOCIAL SECURITY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37"/>
        <v>SOCIAL SECURITY TAXES</v>
      </c>
    </row>
    <row r="2137" spans="5:8" x14ac:dyDescent="0.25">
      <c r="E2137" t="str">
        <f>"T4 201812255984"</f>
        <v>T4 201812255984</v>
      </c>
      <c r="F2137" t="str">
        <f>"MEDICARE TAXES"</f>
        <v>MEDICARE TAXES</v>
      </c>
      <c r="G2137" s="3">
        <v>24501.94</v>
      </c>
      <c r="H2137" t="str">
        <f t="shared" ref="H2137:H2168" si="38">"MEDICARE TAXES"</f>
        <v>MEDICARE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38"/>
        <v>MEDICARE TAXES</v>
      </c>
    </row>
    <row r="2139" spans="5:8" x14ac:dyDescent="0.25">
      <c r="E2139" t="str">
        <f>""</f>
        <v/>
      </c>
      <c r="F2139" t="str">
        <f>""</f>
        <v/>
      </c>
      <c r="H2139" t="str">
        <f t="shared" si="38"/>
        <v>MEDICARE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38"/>
        <v>MEDICARE TAXES</v>
      </c>
    </row>
    <row r="2141" spans="5:8" x14ac:dyDescent="0.25">
      <c r="E2141" t="str">
        <f>""</f>
        <v/>
      </c>
      <c r="F2141" t="str">
        <f>""</f>
        <v/>
      </c>
      <c r="H2141" t="str">
        <f t="shared" si="38"/>
        <v>MEDICARE TAXES</v>
      </c>
    </row>
    <row r="2142" spans="5:8" x14ac:dyDescent="0.25">
      <c r="E2142" t="str">
        <f>""</f>
        <v/>
      </c>
      <c r="F2142" t="str">
        <f>""</f>
        <v/>
      </c>
      <c r="H2142" t="str">
        <f t="shared" si="38"/>
        <v>MEDICARE TAXES</v>
      </c>
    </row>
    <row r="2143" spans="5:8" x14ac:dyDescent="0.25">
      <c r="E2143" t="str">
        <f>""</f>
        <v/>
      </c>
      <c r="F2143" t="str">
        <f>""</f>
        <v/>
      </c>
      <c r="H2143" t="str">
        <f t="shared" si="38"/>
        <v>MEDICARE TAXES</v>
      </c>
    </row>
    <row r="2144" spans="5:8" x14ac:dyDescent="0.25">
      <c r="E2144" t="str">
        <f>""</f>
        <v/>
      </c>
      <c r="F2144" t="str">
        <f>""</f>
        <v/>
      </c>
      <c r="H2144" t="str">
        <f t="shared" si="38"/>
        <v>MEDICARE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38"/>
        <v>MEDICARE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38"/>
        <v>MEDICARE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38"/>
        <v>MEDICARE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38"/>
        <v>MEDICARE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38"/>
        <v>MEDICARE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38"/>
        <v>MEDICARE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38"/>
        <v>MEDICARE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38"/>
        <v>MEDICARE TAXES</v>
      </c>
    </row>
    <row r="2153" spans="5:8" x14ac:dyDescent="0.25">
      <c r="E2153" t="str">
        <f>""</f>
        <v/>
      </c>
      <c r="F2153" t="str">
        <f>""</f>
        <v/>
      </c>
      <c r="H2153" t="str">
        <f t="shared" si="38"/>
        <v>MEDICARE TAXES</v>
      </c>
    </row>
    <row r="2154" spans="5:8" x14ac:dyDescent="0.25">
      <c r="E2154" t="str">
        <f>""</f>
        <v/>
      </c>
      <c r="F2154" t="str">
        <f>""</f>
        <v/>
      </c>
      <c r="H2154" t="str">
        <f t="shared" si="38"/>
        <v>MEDICARE TAXES</v>
      </c>
    </row>
    <row r="2155" spans="5:8" x14ac:dyDescent="0.25">
      <c r="E2155" t="str">
        <f>""</f>
        <v/>
      </c>
      <c r="F2155" t="str">
        <f>""</f>
        <v/>
      </c>
      <c r="H2155" t="str">
        <f t="shared" si="38"/>
        <v>MEDICARE TAXES</v>
      </c>
    </row>
    <row r="2156" spans="5:8" x14ac:dyDescent="0.25">
      <c r="E2156" t="str">
        <f>""</f>
        <v/>
      </c>
      <c r="F2156" t="str">
        <f>""</f>
        <v/>
      </c>
      <c r="H2156" t="str">
        <f t="shared" si="38"/>
        <v>MEDICARE TAXES</v>
      </c>
    </row>
    <row r="2157" spans="5:8" x14ac:dyDescent="0.25">
      <c r="E2157" t="str">
        <f>""</f>
        <v/>
      </c>
      <c r="F2157" t="str">
        <f>""</f>
        <v/>
      </c>
      <c r="H2157" t="str">
        <f t="shared" si="38"/>
        <v>MEDICARE TAXES</v>
      </c>
    </row>
    <row r="2158" spans="5:8" x14ac:dyDescent="0.25">
      <c r="E2158" t="str">
        <f>""</f>
        <v/>
      </c>
      <c r="F2158" t="str">
        <f>""</f>
        <v/>
      </c>
      <c r="H2158" t="str">
        <f t="shared" si="38"/>
        <v>MEDICARE TAXES</v>
      </c>
    </row>
    <row r="2159" spans="5:8" x14ac:dyDescent="0.25">
      <c r="E2159" t="str">
        <f>""</f>
        <v/>
      </c>
      <c r="F2159" t="str">
        <f>""</f>
        <v/>
      </c>
      <c r="H2159" t="str">
        <f t="shared" si="38"/>
        <v>MEDICARE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38"/>
        <v>MEDICARE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38"/>
        <v>MEDICARE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38"/>
        <v>MEDICARE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38"/>
        <v>MEDICARE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38"/>
        <v>MEDICARE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38"/>
        <v>MEDICARE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38"/>
        <v>MEDICARE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38"/>
        <v>MEDICARE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38"/>
        <v>MEDICARE TAXES</v>
      </c>
    </row>
    <row r="2169" spans="5:8" x14ac:dyDescent="0.25">
      <c r="E2169" t="str">
        <f>""</f>
        <v/>
      </c>
      <c r="F2169" t="str">
        <f>""</f>
        <v/>
      </c>
      <c r="H2169" t="str">
        <f t="shared" ref="H2169:H2192" si="39">"MEDICARE TAXES"</f>
        <v>MEDICARE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39"/>
        <v>MEDICARE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39"/>
        <v>MEDICARE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39"/>
        <v>MEDICARE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39"/>
        <v>MEDICARE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39"/>
        <v>MEDICARE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39"/>
        <v>MEDICARE TAXES</v>
      </c>
    </row>
    <row r="2176" spans="5:8" x14ac:dyDescent="0.25">
      <c r="E2176" t="str">
        <f>""</f>
        <v/>
      </c>
      <c r="F2176" t="str">
        <f>""</f>
        <v/>
      </c>
      <c r="H2176" t="str">
        <f t="shared" si="39"/>
        <v>MEDICARE TAXES</v>
      </c>
    </row>
    <row r="2177" spans="5:8" x14ac:dyDescent="0.25">
      <c r="E2177" t="str">
        <f>""</f>
        <v/>
      </c>
      <c r="F2177" t="str">
        <f>""</f>
        <v/>
      </c>
      <c r="H2177" t="str">
        <f t="shared" si="39"/>
        <v>MEDICARE TAXES</v>
      </c>
    </row>
    <row r="2178" spans="5:8" x14ac:dyDescent="0.25">
      <c r="E2178" t="str">
        <f>""</f>
        <v/>
      </c>
      <c r="F2178" t="str">
        <f>""</f>
        <v/>
      </c>
      <c r="H2178" t="str">
        <f t="shared" si="39"/>
        <v>MEDICARE TAXES</v>
      </c>
    </row>
    <row r="2179" spans="5:8" x14ac:dyDescent="0.25">
      <c r="E2179" t="str">
        <f>""</f>
        <v/>
      </c>
      <c r="F2179" t="str">
        <f>""</f>
        <v/>
      </c>
      <c r="H2179" t="str">
        <f t="shared" si="39"/>
        <v>MEDICARE TAXES</v>
      </c>
    </row>
    <row r="2180" spans="5:8" x14ac:dyDescent="0.25">
      <c r="E2180" t="str">
        <f>""</f>
        <v/>
      </c>
      <c r="F2180" t="str">
        <f>""</f>
        <v/>
      </c>
      <c r="H2180" t="str">
        <f t="shared" si="39"/>
        <v>MEDICARE TAXES</v>
      </c>
    </row>
    <row r="2181" spans="5:8" x14ac:dyDescent="0.25">
      <c r="E2181" t="str">
        <f>""</f>
        <v/>
      </c>
      <c r="F2181" t="str">
        <f>""</f>
        <v/>
      </c>
      <c r="H2181" t="str">
        <f t="shared" si="39"/>
        <v>MEDICARE TAXES</v>
      </c>
    </row>
    <row r="2182" spans="5:8" x14ac:dyDescent="0.25">
      <c r="E2182" t="str">
        <f>""</f>
        <v/>
      </c>
      <c r="F2182" t="str">
        <f>""</f>
        <v/>
      </c>
      <c r="H2182" t="str">
        <f t="shared" si="39"/>
        <v>MEDICARE TAXES</v>
      </c>
    </row>
    <row r="2183" spans="5:8" x14ac:dyDescent="0.25">
      <c r="E2183" t="str">
        <f>""</f>
        <v/>
      </c>
      <c r="F2183" t="str">
        <f>""</f>
        <v/>
      </c>
      <c r="H2183" t="str">
        <f t="shared" si="39"/>
        <v>MEDICARE TAXES</v>
      </c>
    </row>
    <row r="2184" spans="5:8" x14ac:dyDescent="0.25">
      <c r="E2184" t="str">
        <f>""</f>
        <v/>
      </c>
      <c r="F2184" t="str">
        <f>""</f>
        <v/>
      </c>
      <c r="H2184" t="str">
        <f t="shared" si="39"/>
        <v>MEDICARE TAXES</v>
      </c>
    </row>
    <row r="2185" spans="5:8" x14ac:dyDescent="0.25">
      <c r="E2185" t="str">
        <f>""</f>
        <v/>
      </c>
      <c r="F2185" t="str">
        <f>""</f>
        <v/>
      </c>
      <c r="H2185" t="str">
        <f t="shared" si="39"/>
        <v>MEDICARE TAXES</v>
      </c>
    </row>
    <row r="2186" spans="5:8" x14ac:dyDescent="0.25">
      <c r="E2186" t="str">
        <f>""</f>
        <v/>
      </c>
      <c r="F2186" t="str">
        <f>""</f>
        <v/>
      </c>
      <c r="H2186" t="str">
        <f t="shared" si="39"/>
        <v>MEDICARE TAXES</v>
      </c>
    </row>
    <row r="2187" spans="5:8" x14ac:dyDescent="0.25">
      <c r="E2187" t="str">
        <f>""</f>
        <v/>
      </c>
      <c r="F2187" t="str">
        <f>""</f>
        <v/>
      </c>
      <c r="H2187" t="str">
        <f t="shared" si="39"/>
        <v>MEDICARE TAXES</v>
      </c>
    </row>
    <row r="2188" spans="5:8" x14ac:dyDescent="0.25">
      <c r="E2188" t="str">
        <f>""</f>
        <v/>
      </c>
      <c r="F2188" t="str">
        <f>""</f>
        <v/>
      </c>
      <c r="H2188" t="str">
        <f t="shared" si="39"/>
        <v>MEDICARE TAXES</v>
      </c>
    </row>
    <row r="2189" spans="5:8" x14ac:dyDescent="0.25">
      <c r="E2189" t="str">
        <f>"T4 201812255985"</f>
        <v>T4 201812255985</v>
      </c>
      <c r="F2189" t="str">
        <f>"MEDICARE TAXES"</f>
        <v>MEDICARE TAXES</v>
      </c>
      <c r="G2189" s="3">
        <v>978.92</v>
      </c>
      <c r="H2189" t="str">
        <f t="shared" si="39"/>
        <v>MEDICARE TAXES</v>
      </c>
    </row>
    <row r="2190" spans="5:8" x14ac:dyDescent="0.25">
      <c r="E2190" t="str">
        <f>""</f>
        <v/>
      </c>
      <c r="F2190" t="str">
        <f>""</f>
        <v/>
      </c>
      <c r="H2190" t="str">
        <f t="shared" si="39"/>
        <v>MEDICARE TAXES</v>
      </c>
    </row>
    <row r="2191" spans="5:8" x14ac:dyDescent="0.25">
      <c r="E2191" t="str">
        <f>"T4 201812255986"</f>
        <v>T4 201812255986</v>
      </c>
      <c r="F2191" t="str">
        <f>"MEDICARE TAXES"</f>
        <v>MEDICARE TAXES</v>
      </c>
      <c r="G2191" s="3">
        <v>1216.26</v>
      </c>
      <c r="H2191" t="str">
        <f t="shared" si="39"/>
        <v>MEDICARE TAXES</v>
      </c>
    </row>
    <row r="2192" spans="5:8" x14ac:dyDescent="0.25">
      <c r="E2192" t="str">
        <f>""</f>
        <v/>
      </c>
      <c r="F2192" t="str">
        <f>""</f>
        <v/>
      </c>
      <c r="H2192" t="str">
        <f t="shared" si="39"/>
        <v>MEDICARE TAXES</v>
      </c>
    </row>
    <row r="2193" spans="1:8" x14ac:dyDescent="0.25">
      <c r="A2193" t="s">
        <v>490</v>
      </c>
      <c r="B2193">
        <v>36</v>
      </c>
      <c r="C2193" s="2">
        <v>0</v>
      </c>
      <c r="D2193" s="1">
        <v>43465</v>
      </c>
      <c r="E2193" t="str">
        <f>"T3 201901106514"</f>
        <v>T3 201901106514</v>
      </c>
      <c r="F2193" t="str">
        <f>"SOCIAL SECURITY TAXES"</f>
        <v>SOCIAL SECURITY TAXES</v>
      </c>
      <c r="G2193" s="3">
        <v>-1.6</v>
      </c>
      <c r="H2193" t="str">
        <f>"SOCIAL SECURITY TAXES"</f>
        <v>SOCIAL SECURITY TAXES</v>
      </c>
    </row>
    <row r="2194" spans="1:8" x14ac:dyDescent="0.25">
      <c r="E2194" t="str">
        <f>""</f>
        <v/>
      </c>
      <c r="F2194" t="str">
        <f>""</f>
        <v/>
      </c>
      <c r="H2194" t="str">
        <f>"SOCIAL SECURITY TAXES"</f>
        <v>SOCIAL SECURITY TAXES</v>
      </c>
    </row>
    <row r="2195" spans="1:8" x14ac:dyDescent="0.25">
      <c r="E2195" t="str">
        <f>""</f>
        <v/>
      </c>
      <c r="F2195" t="str">
        <f>""</f>
        <v/>
      </c>
      <c r="H2195" t="str">
        <f>"SOCIAL SECURITY TAXES"</f>
        <v>SOCIAL SECURITY TAXES</v>
      </c>
    </row>
    <row r="2196" spans="1:8" x14ac:dyDescent="0.25">
      <c r="E2196" t="str">
        <f>"T4 201901106514"</f>
        <v>T4 201901106514</v>
      </c>
      <c r="F2196" t="str">
        <f>"MEDICARE TAXES"</f>
        <v>MEDICARE TAXES</v>
      </c>
      <c r="G2196" s="3">
        <v>-0.38</v>
      </c>
      <c r="H2196" t="str">
        <f>"MEDICARE TAXES"</f>
        <v>MEDICARE TAXES</v>
      </c>
    </row>
    <row r="2197" spans="1:8" x14ac:dyDescent="0.25">
      <c r="E2197" t="str">
        <f>""</f>
        <v/>
      </c>
      <c r="F2197" t="str">
        <f>""</f>
        <v/>
      </c>
      <c r="H2197" t="str">
        <f>"MEDICARE TAXES"</f>
        <v>MEDICARE TAXES</v>
      </c>
    </row>
    <row r="2198" spans="1:8" x14ac:dyDescent="0.25">
      <c r="E2198" t="str">
        <f>""</f>
        <v/>
      </c>
      <c r="F2198" t="str">
        <f>""</f>
        <v/>
      </c>
      <c r="H2198" t="str">
        <f>"MEDICARE TAXES"</f>
        <v>MEDICARE TAXES</v>
      </c>
    </row>
    <row r="2199" spans="1:8" x14ac:dyDescent="0.25">
      <c r="E2199" t="str">
        <f>"T3 201901106515"</f>
        <v>T3 201901106515</v>
      </c>
      <c r="F2199" t="str">
        <f>"SOCIAL SECURITY TAXES"</f>
        <v>SOCIAL SECURITY TAXES</v>
      </c>
      <c r="G2199" s="3">
        <v>1.6</v>
      </c>
      <c r="H2199" t="str">
        <f>"SOCIAL SECURITY TAXES"</f>
        <v>SOCIAL SECURITY TAXES</v>
      </c>
    </row>
    <row r="2200" spans="1:8" x14ac:dyDescent="0.25">
      <c r="E2200" t="str">
        <f>""</f>
        <v/>
      </c>
      <c r="F2200" t="str">
        <f>""</f>
        <v/>
      </c>
      <c r="H2200" t="str">
        <f>"SOCIAL SECURITY TAXES"</f>
        <v>SOCIAL SECURITY TAXES</v>
      </c>
    </row>
    <row r="2201" spans="1:8" x14ac:dyDescent="0.25">
      <c r="E2201" t="str">
        <f>""</f>
        <v/>
      </c>
      <c r="F2201" t="str">
        <f>""</f>
        <v/>
      </c>
      <c r="H2201" t="str">
        <f>"SOCIAL SECURITY TAXES"</f>
        <v>SOCIAL SECURITY TAXES</v>
      </c>
    </row>
    <row r="2202" spans="1:8" x14ac:dyDescent="0.25">
      <c r="E2202" t="str">
        <f>"T4 201901106515"</f>
        <v>T4 201901106515</v>
      </c>
      <c r="F2202" t="str">
        <f>"MEDICARE TAXES"</f>
        <v>MEDICARE TAXES</v>
      </c>
      <c r="G2202" s="3">
        <v>0.38</v>
      </c>
      <c r="H2202" t="str">
        <f>"MEDICARE TAXES"</f>
        <v>MEDICARE TAXES</v>
      </c>
    </row>
    <row r="2203" spans="1:8" x14ac:dyDescent="0.25">
      <c r="E2203" t="str">
        <f>""</f>
        <v/>
      </c>
      <c r="F2203" t="str">
        <f>""</f>
        <v/>
      </c>
      <c r="H2203" t="str">
        <f>"MEDICARE TAXES"</f>
        <v>MEDICARE TAXES</v>
      </c>
    </row>
    <row r="2204" spans="1:8" x14ac:dyDescent="0.25">
      <c r="E2204" t="str">
        <f>""</f>
        <v/>
      </c>
      <c r="F2204" t="str">
        <f>""</f>
        <v/>
      </c>
      <c r="H2204" t="str">
        <f>"MEDICARE TAXES"</f>
        <v>MEDICARE TAXES</v>
      </c>
    </row>
    <row r="2205" spans="1:8" x14ac:dyDescent="0.25">
      <c r="A2205" t="s">
        <v>491</v>
      </c>
      <c r="B2205">
        <v>16</v>
      </c>
      <c r="C2205" s="2">
        <v>10.96</v>
      </c>
      <c r="D2205" s="1">
        <v>43455</v>
      </c>
      <c r="E2205" t="str">
        <f>"201812205983"</f>
        <v>201812205983</v>
      </c>
      <c r="F2205" t="str">
        <f>"JAMES S HOFFMAN"</f>
        <v>JAMES S HOFFMAN</v>
      </c>
      <c r="G2205" s="3">
        <v>10.96</v>
      </c>
      <c r="H2205" t="str">
        <f>"JAMES S HOFFMAN"</f>
        <v>JAMES S HOFFMAN</v>
      </c>
    </row>
    <row r="2206" spans="1:8" x14ac:dyDescent="0.25">
      <c r="A2206" t="s">
        <v>492</v>
      </c>
      <c r="B2206">
        <v>6</v>
      </c>
      <c r="C2206" s="2">
        <v>2.39</v>
      </c>
      <c r="D2206" s="1">
        <v>43448</v>
      </c>
      <c r="E2206" t="str">
        <f>"201812125717"</f>
        <v>201812125717</v>
      </c>
      <c r="F2206" t="str">
        <f>"MARILYN JEAN LILES FY 17/18"</f>
        <v>MARILYN JEAN LILES FY 17/18</v>
      </c>
      <c r="G2206" s="3">
        <v>2.39</v>
      </c>
      <c r="H2206" t="str">
        <f>"MARILYN JEAN LILES FY 17/18"</f>
        <v>MARILYN JEAN LILES FY 17/18</v>
      </c>
    </row>
    <row r="2207" spans="1:8" x14ac:dyDescent="0.25">
      <c r="A2207" t="s">
        <v>493</v>
      </c>
      <c r="B2207">
        <v>8</v>
      </c>
      <c r="C2207" s="2">
        <v>8.0500000000000007</v>
      </c>
      <c r="D2207" s="1">
        <v>43448</v>
      </c>
      <c r="E2207" t="str">
        <f>"201812125716"</f>
        <v>201812125716</v>
      </c>
      <c r="F2207" t="str">
        <f>"MARY CAMPOS-CISNEROS FY 17/18"</f>
        <v>MARY CAMPOS-CISNEROS FY 17/18</v>
      </c>
      <c r="G2207" s="3">
        <v>8.0500000000000007</v>
      </c>
      <c r="H2207" t="str">
        <f>"MARY CAMPOS-CISNEROS FY 17/18"</f>
        <v>MARY CAMPOS-CISNEROS FY 17/18</v>
      </c>
    </row>
    <row r="2208" spans="1:8" x14ac:dyDescent="0.25">
      <c r="A2208" t="s">
        <v>494</v>
      </c>
      <c r="B2208">
        <v>7</v>
      </c>
      <c r="C2208" s="2">
        <v>152.76</v>
      </c>
      <c r="D2208" s="1">
        <v>43448</v>
      </c>
      <c r="E2208" t="str">
        <f>"201812125712"</f>
        <v>201812125712</v>
      </c>
      <c r="F2208" t="str">
        <f>"MELVIN BELL FY 17/18 REFUND"</f>
        <v>MELVIN BELL FY 17/18 REFUND</v>
      </c>
      <c r="G2208" s="3">
        <v>152.76</v>
      </c>
      <c r="H2208" t="str">
        <f>"MELVIN BELL"</f>
        <v>MELVIN BELL</v>
      </c>
    </row>
    <row r="2209" spans="1:8" x14ac:dyDescent="0.25">
      <c r="A2209" t="s">
        <v>495</v>
      </c>
      <c r="B2209">
        <v>47191</v>
      </c>
      <c r="C2209" s="2">
        <v>222.76</v>
      </c>
      <c r="D2209" s="1">
        <v>43448</v>
      </c>
      <c r="E2209" t="str">
        <f>"C64201812125722"</f>
        <v>C64201812125722</v>
      </c>
      <c r="F2209" t="str">
        <f>"CASE #912745322"</f>
        <v>CASE #912745322</v>
      </c>
      <c r="G2209" s="3">
        <v>222.76</v>
      </c>
      <c r="H2209" t="str">
        <f>"CASE #912745322"</f>
        <v>CASE #912745322</v>
      </c>
    </row>
    <row r="2210" spans="1:8" x14ac:dyDescent="0.25">
      <c r="A2210" t="s">
        <v>495</v>
      </c>
      <c r="B2210">
        <v>47220</v>
      </c>
      <c r="C2210" s="2">
        <v>222.76</v>
      </c>
      <c r="D2210" s="1">
        <v>43462</v>
      </c>
      <c r="E2210" t="str">
        <f>"C64201812255984"</f>
        <v>C64201812255984</v>
      </c>
      <c r="F2210" t="str">
        <f>"CASE #912745322"</f>
        <v>CASE #912745322</v>
      </c>
      <c r="G2210" s="3">
        <v>222.76</v>
      </c>
      <c r="H2210" t="str">
        <f>"CASE #912745322"</f>
        <v>CASE #912745322</v>
      </c>
    </row>
    <row r="2211" spans="1:8" x14ac:dyDescent="0.25">
      <c r="A2211" t="s">
        <v>496</v>
      </c>
      <c r="B2211">
        <v>25</v>
      </c>
      <c r="C2211" s="2">
        <v>29031.35</v>
      </c>
      <c r="D2211" s="1">
        <v>43462</v>
      </c>
      <c r="E2211" t="str">
        <f>"201812275989"</f>
        <v>201812275989</v>
      </c>
      <c r="F2211" t="str">
        <f>"MONUMENTAL LIFE INS CO"</f>
        <v>MONUMENTAL LIFE INS CO</v>
      </c>
      <c r="G2211" s="3">
        <v>29031.35</v>
      </c>
      <c r="H2211" t="str">
        <f>"MONUMENTAL LIFE INS CO"</f>
        <v>MONUMENTAL LIFE INS CO</v>
      </c>
    </row>
    <row r="2212" spans="1:8" x14ac:dyDescent="0.25">
      <c r="A2212" t="s">
        <v>497</v>
      </c>
      <c r="B2212">
        <v>28</v>
      </c>
      <c r="C2212" s="2">
        <v>674.82</v>
      </c>
      <c r="D2212" s="1">
        <v>43462</v>
      </c>
      <c r="E2212" t="str">
        <f>"LIX201812125722"</f>
        <v>LIX201812125722</v>
      </c>
      <c r="F2212" t="str">
        <f>"TEXAS LIFE/OLIVO GROUP"</f>
        <v>TEXAS LIFE/OLIVO GROUP</v>
      </c>
      <c r="G2212" s="3">
        <v>337.41</v>
      </c>
      <c r="H2212" t="str">
        <f>"TEXAS LIFE/OLIVO GROUP"</f>
        <v>TEXAS LIFE/OLIVO GROUP</v>
      </c>
    </row>
    <row r="2213" spans="1:8" x14ac:dyDescent="0.25">
      <c r="E2213" t="str">
        <f>"LIX201812255984"</f>
        <v>LIX201812255984</v>
      </c>
      <c r="F2213" t="str">
        <f>"TEXAS LIFE/OLIVO GROUP"</f>
        <v>TEXAS LIFE/OLIVO GROUP</v>
      </c>
      <c r="G2213" s="3">
        <v>337.41</v>
      </c>
      <c r="H2213" t="str">
        <f>"TEXAS LIFE/OLIVO GROUP"</f>
        <v>TEXAS LIFE/OLIVO GROUP</v>
      </c>
    </row>
    <row r="2214" spans="1:8" x14ac:dyDescent="0.25">
      <c r="A2214" t="s">
        <v>498</v>
      </c>
      <c r="B2214">
        <v>3</v>
      </c>
      <c r="C2214" s="2">
        <v>1.56</v>
      </c>
      <c r="D2214" s="1">
        <v>43448</v>
      </c>
      <c r="E2214" t="str">
        <f>"201812125718"</f>
        <v>201812125718</v>
      </c>
      <c r="F2214" t="str">
        <f>"RANDALL LOONEY FY 17/18"</f>
        <v>RANDALL LOONEY FY 17/18</v>
      </c>
      <c r="G2214" s="3">
        <v>1.56</v>
      </c>
      <c r="H2214" t="str">
        <f>"RANDALL LOONEY FY 17/18"</f>
        <v>RANDALL LOONEY FY 17/18</v>
      </c>
    </row>
    <row r="2215" spans="1:8" x14ac:dyDescent="0.25">
      <c r="A2215" t="s">
        <v>499</v>
      </c>
      <c r="B2215">
        <v>0</v>
      </c>
      <c r="C2215" s="2">
        <v>0</v>
      </c>
      <c r="D2215" s="1">
        <v>43465</v>
      </c>
      <c r="E2215" t="str">
        <f>"2EO201901106514"</f>
        <v>2EO201901106514</v>
      </c>
      <c r="F2215" t="str">
        <f>"BCBS PAYABLE"</f>
        <v>BCBS PAYABLE</v>
      </c>
      <c r="G2215" s="3">
        <v>-316.08</v>
      </c>
      <c r="H2215" t="str">
        <f>"BCBS PAYABLE"</f>
        <v>BCBS PAYABLE</v>
      </c>
    </row>
    <row r="2216" spans="1:8" x14ac:dyDescent="0.25">
      <c r="E2216" t="str">
        <f>"2EO201901106515"</f>
        <v>2EO201901106515</v>
      </c>
      <c r="F2216" t="str">
        <f>"BCBS PAYABLE"</f>
        <v>BCBS PAYABLE</v>
      </c>
      <c r="G2216" s="3">
        <v>316.08</v>
      </c>
      <c r="H2216" t="str">
        <f>"BCBS PAYABLE"</f>
        <v>BCBS PAYABLE</v>
      </c>
    </row>
    <row r="2217" spans="1:8" x14ac:dyDescent="0.25">
      <c r="A2217" t="s">
        <v>499</v>
      </c>
      <c r="B2217">
        <v>47225</v>
      </c>
      <c r="C2217" s="2">
        <v>327193.24</v>
      </c>
      <c r="D2217" s="1">
        <v>43462</v>
      </c>
      <c r="E2217" t="str">
        <f>"201812275988"</f>
        <v>201812275988</v>
      </c>
      <c r="F2217" t="str">
        <f>"Retiree Dec 2018"</f>
        <v>Retiree Dec 2018</v>
      </c>
      <c r="G2217" s="3">
        <v>14654.4</v>
      </c>
      <c r="H2217" t="str">
        <f>"TAC HEALTH BENEFITS POOL"</f>
        <v>TAC HEALTH BENEFITS POOL</v>
      </c>
    </row>
    <row r="2218" spans="1:8" x14ac:dyDescent="0.25">
      <c r="E2218" t="str">
        <f>"2EC201812125722"</f>
        <v>2EC201812125722</v>
      </c>
      <c r="F2218" t="str">
        <f>"BCBS PAYABLE"</f>
        <v>BCBS PAYABLE</v>
      </c>
      <c r="G2218" s="3">
        <v>43010.55</v>
      </c>
      <c r="H2218" t="str">
        <f t="shared" ref="H2218:H2249" si="40">"BCBS PAYABLE"</f>
        <v>BCBS PAYABLE</v>
      </c>
    </row>
    <row r="2219" spans="1:8" x14ac:dyDescent="0.25">
      <c r="E2219" t="str">
        <f>""</f>
        <v/>
      </c>
      <c r="F2219" t="str">
        <f>""</f>
        <v/>
      </c>
      <c r="H2219" t="str">
        <f t="shared" si="40"/>
        <v>BCBS PAYABLE</v>
      </c>
    </row>
    <row r="2220" spans="1:8" x14ac:dyDescent="0.25">
      <c r="E2220" t="str">
        <f>""</f>
        <v/>
      </c>
      <c r="F2220" t="str">
        <f>""</f>
        <v/>
      </c>
      <c r="H2220" t="str">
        <f t="shared" si="40"/>
        <v>BCBS PAYABLE</v>
      </c>
    </row>
    <row r="2221" spans="1:8" x14ac:dyDescent="0.25">
      <c r="E2221" t="str">
        <f>""</f>
        <v/>
      </c>
      <c r="F2221" t="str">
        <f>""</f>
        <v/>
      </c>
      <c r="H2221" t="str">
        <f t="shared" si="40"/>
        <v>BCBS PAYABLE</v>
      </c>
    </row>
    <row r="2222" spans="1:8" x14ac:dyDescent="0.25">
      <c r="E2222" t="str">
        <f>""</f>
        <v/>
      </c>
      <c r="F2222" t="str">
        <f>""</f>
        <v/>
      </c>
      <c r="H2222" t="str">
        <f t="shared" si="40"/>
        <v>BCBS PAYABLE</v>
      </c>
    </row>
    <row r="2223" spans="1:8" x14ac:dyDescent="0.25">
      <c r="E2223" t="str">
        <f>""</f>
        <v/>
      </c>
      <c r="F2223" t="str">
        <f>""</f>
        <v/>
      </c>
      <c r="H2223" t="str">
        <f t="shared" si="40"/>
        <v>BCBS PAYABLE</v>
      </c>
    </row>
    <row r="2224" spans="1:8" x14ac:dyDescent="0.25">
      <c r="E2224" t="str">
        <f>""</f>
        <v/>
      </c>
      <c r="F2224" t="str">
        <f>""</f>
        <v/>
      </c>
      <c r="H2224" t="str">
        <f t="shared" si="40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40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40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0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0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0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0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0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0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0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0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0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40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0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0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0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0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0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0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0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0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40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0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0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0"/>
        <v>BCBS PAYABLE</v>
      </c>
    </row>
    <row r="2249" spans="5:8" x14ac:dyDescent="0.25">
      <c r="E2249" t="str">
        <f>"2EC201812125723"</f>
        <v>2EC201812125723</v>
      </c>
      <c r="F2249" t="str">
        <f>"BCBS PAYABLE"</f>
        <v>BCBS PAYABLE</v>
      </c>
      <c r="G2249" s="3">
        <v>1737.8</v>
      </c>
      <c r="H2249" t="str">
        <f t="shared" si="40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ref="H2250:H2281" si="41">"BCBS PAYABLE"</f>
        <v>BCBS PAYABLE</v>
      </c>
    </row>
    <row r="2251" spans="5:8" x14ac:dyDescent="0.25">
      <c r="E2251" t="str">
        <f>"2EC201812255984"</f>
        <v>2EC201812255984</v>
      </c>
      <c r="F2251" t="str">
        <f>"BCBS PAYABLE"</f>
        <v>BCBS PAYABLE</v>
      </c>
      <c r="G2251" s="3">
        <v>43010.55</v>
      </c>
      <c r="H2251" t="str">
        <f t="shared" si="41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1"/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 t="shared" si="41"/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41"/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 t="shared" si="41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41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41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41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41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1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41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1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1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1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41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41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1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41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41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41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41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41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41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41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41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41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41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41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41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41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41"/>
        <v>BCBS PAYABLE</v>
      </c>
    </row>
    <row r="2282" spans="5:8" x14ac:dyDescent="0.25">
      <c r="E2282" t="str">
        <f>"2EC201812255985"</f>
        <v>2EC201812255985</v>
      </c>
      <c r="F2282" t="str">
        <f>"BCBS PAYABLE"</f>
        <v>BCBS PAYABLE</v>
      </c>
      <c r="G2282" s="3">
        <v>1737.8</v>
      </c>
      <c r="H2282" t="str">
        <f t="shared" ref="H2282:H2313" si="42">"BCBS PAYABLE"</f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42"/>
        <v>BCBS PAYABLE</v>
      </c>
    </row>
    <row r="2284" spans="5:8" x14ac:dyDescent="0.25">
      <c r="E2284" t="str">
        <f>"2EF201812125722"</f>
        <v>2EF201812125722</v>
      </c>
      <c r="F2284" t="str">
        <f>"BCBS PAYABLE"</f>
        <v>BCBS PAYABLE</v>
      </c>
      <c r="G2284" s="3">
        <v>2589.9899999999998</v>
      </c>
      <c r="H2284" t="str">
        <f t="shared" si="42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si="42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42"/>
        <v>BCBS PAYABLE</v>
      </c>
    </row>
    <row r="2287" spans="5:8" x14ac:dyDescent="0.25">
      <c r="E2287" t="str">
        <f>"2EF201812255984"</f>
        <v>2EF201812255984</v>
      </c>
      <c r="F2287" t="str">
        <f>"BCBS PAYABLE"</f>
        <v>BCBS PAYABLE</v>
      </c>
      <c r="G2287" s="3">
        <v>2589.9899999999998</v>
      </c>
      <c r="H2287" t="str">
        <f t="shared" si="42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42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42"/>
        <v>BCBS PAYABLE</v>
      </c>
    </row>
    <row r="2290" spans="5:8" x14ac:dyDescent="0.25">
      <c r="E2290" t="str">
        <f>"2EO201812125722"</f>
        <v>2EO201812125722</v>
      </c>
      <c r="F2290" t="str">
        <f>"BCBS PAYABLE"</f>
        <v>BCBS PAYABLE</v>
      </c>
      <c r="G2290" s="3">
        <v>90714.96</v>
      </c>
      <c r="H2290" t="str">
        <f t="shared" si="42"/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42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42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42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42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42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42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42"/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42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42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si="42"/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42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42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42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42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42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42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42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42"/>
        <v>BCBS PAYABLE</v>
      </c>
    </row>
    <row r="2309" spans="5:8" x14ac:dyDescent="0.25">
      <c r="E2309" t="str">
        <f>""</f>
        <v/>
      </c>
      <c r="F2309" t="str">
        <f>""</f>
        <v/>
      </c>
      <c r="H2309" t="str">
        <f t="shared" si="42"/>
        <v>BCBS PAYABLE</v>
      </c>
    </row>
    <row r="2310" spans="5:8" x14ac:dyDescent="0.25">
      <c r="E2310" t="str">
        <f>""</f>
        <v/>
      </c>
      <c r="F2310" t="str">
        <f>""</f>
        <v/>
      </c>
      <c r="H2310" t="str">
        <f t="shared" si="42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42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42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42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ref="H2314:H2345" si="43">"BCBS PAYABLE"</f>
        <v>BCBS PAYABLE</v>
      </c>
    </row>
    <row r="2315" spans="5:8" x14ac:dyDescent="0.25">
      <c r="E2315" t="str">
        <f>""</f>
        <v/>
      </c>
      <c r="F2315" t="str">
        <f>""</f>
        <v/>
      </c>
      <c r="H2315" t="str">
        <f t="shared" si="43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43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si="43"/>
        <v>BCBS PAYABLE</v>
      </c>
    </row>
    <row r="2318" spans="5:8" x14ac:dyDescent="0.25">
      <c r="E2318" t="str">
        <f>""</f>
        <v/>
      </c>
      <c r="F2318" t="str">
        <f>""</f>
        <v/>
      </c>
      <c r="H2318" t="str">
        <f t="shared" si="43"/>
        <v>BCBS PAYABLE</v>
      </c>
    </row>
    <row r="2319" spans="5:8" x14ac:dyDescent="0.25">
      <c r="E2319" t="str">
        <f>""</f>
        <v/>
      </c>
      <c r="F2319" t="str">
        <f>""</f>
        <v/>
      </c>
      <c r="H2319" t="str">
        <f t="shared" si="43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43"/>
        <v>BCBS PAYABLE</v>
      </c>
    </row>
    <row r="2321" spans="5:8" x14ac:dyDescent="0.25">
      <c r="E2321" t="str">
        <f>""</f>
        <v/>
      </c>
      <c r="F2321" t="str">
        <f>""</f>
        <v/>
      </c>
      <c r="H2321" t="str">
        <f t="shared" si="43"/>
        <v>BCBS PAYABLE</v>
      </c>
    </row>
    <row r="2322" spans="5:8" x14ac:dyDescent="0.25">
      <c r="E2322" t="str">
        <f>""</f>
        <v/>
      </c>
      <c r="F2322" t="str">
        <f>""</f>
        <v/>
      </c>
      <c r="H2322" t="str">
        <f t="shared" si="43"/>
        <v>BCBS PAYABLE</v>
      </c>
    </row>
    <row r="2323" spans="5:8" x14ac:dyDescent="0.25">
      <c r="E2323" t="str">
        <f>""</f>
        <v/>
      </c>
      <c r="F2323" t="str">
        <f>""</f>
        <v/>
      </c>
      <c r="H2323" t="str">
        <f t="shared" si="43"/>
        <v>BCBS PAYABLE</v>
      </c>
    </row>
    <row r="2324" spans="5:8" x14ac:dyDescent="0.25">
      <c r="E2324" t="str">
        <f>""</f>
        <v/>
      </c>
      <c r="F2324" t="str">
        <f>""</f>
        <v/>
      </c>
      <c r="H2324" t="str">
        <f t="shared" si="43"/>
        <v>BCBS PAYABLE</v>
      </c>
    </row>
    <row r="2325" spans="5:8" x14ac:dyDescent="0.25">
      <c r="E2325" t="str">
        <f>""</f>
        <v/>
      </c>
      <c r="F2325" t="str">
        <f>""</f>
        <v/>
      </c>
      <c r="H2325" t="str">
        <f t="shared" si="43"/>
        <v>BCBS PAYABLE</v>
      </c>
    </row>
    <row r="2326" spans="5:8" x14ac:dyDescent="0.25">
      <c r="E2326" t="str">
        <f>""</f>
        <v/>
      </c>
      <c r="F2326" t="str">
        <f>""</f>
        <v/>
      </c>
      <c r="H2326" t="str">
        <f t="shared" si="43"/>
        <v>BCBS PAYABLE</v>
      </c>
    </row>
    <row r="2327" spans="5:8" x14ac:dyDescent="0.25">
      <c r="E2327" t="str">
        <f>""</f>
        <v/>
      </c>
      <c r="F2327" t="str">
        <f>""</f>
        <v/>
      </c>
      <c r="H2327" t="str">
        <f t="shared" si="43"/>
        <v>BCBS PAYABLE</v>
      </c>
    </row>
    <row r="2328" spans="5:8" x14ac:dyDescent="0.25">
      <c r="E2328" t="str">
        <f>""</f>
        <v/>
      </c>
      <c r="F2328" t="str">
        <f>""</f>
        <v/>
      </c>
      <c r="H2328" t="str">
        <f t="shared" si="43"/>
        <v>BCBS PAYABLE</v>
      </c>
    </row>
    <row r="2329" spans="5:8" x14ac:dyDescent="0.25">
      <c r="E2329" t="str">
        <f>""</f>
        <v/>
      </c>
      <c r="F2329" t="str">
        <f>""</f>
        <v/>
      </c>
      <c r="H2329" t="str">
        <f t="shared" si="43"/>
        <v>BCBS PAYABLE</v>
      </c>
    </row>
    <row r="2330" spans="5:8" x14ac:dyDescent="0.25">
      <c r="E2330" t="str">
        <f>""</f>
        <v/>
      </c>
      <c r="F2330" t="str">
        <f>""</f>
        <v/>
      </c>
      <c r="H2330" t="str">
        <f t="shared" si="43"/>
        <v>BCBS PAYABLE</v>
      </c>
    </row>
    <row r="2331" spans="5:8" x14ac:dyDescent="0.25">
      <c r="E2331" t="str">
        <f>""</f>
        <v/>
      </c>
      <c r="F2331" t="str">
        <f>""</f>
        <v/>
      </c>
      <c r="H2331" t="str">
        <f t="shared" si="43"/>
        <v>BCBS PAYABLE</v>
      </c>
    </row>
    <row r="2332" spans="5:8" x14ac:dyDescent="0.25">
      <c r="E2332" t="str">
        <f>""</f>
        <v/>
      </c>
      <c r="F2332" t="str">
        <f>""</f>
        <v/>
      </c>
      <c r="H2332" t="str">
        <f t="shared" si="43"/>
        <v>BCBS PAYABLE</v>
      </c>
    </row>
    <row r="2333" spans="5:8" x14ac:dyDescent="0.25">
      <c r="E2333" t="str">
        <f>""</f>
        <v/>
      </c>
      <c r="F2333" t="str">
        <f>""</f>
        <v/>
      </c>
      <c r="H2333" t="str">
        <f t="shared" si="43"/>
        <v>BCBS PAYABLE</v>
      </c>
    </row>
    <row r="2334" spans="5:8" x14ac:dyDescent="0.25">
      <c r="E2334" t="str">
        <f>"2EO201812125723"</f>
        <v>2EO201812125723</v>
      </c>
      <c r="F2334" t="str">
        <f>"BCBS PAYABLE"</f>
        <v>BCBS PAYABLE</v>
      </c>
      <c r="G2334" s="3">
        <v>3792.96</v>
      </c>
      <c r="H2334" t="str">
        <f t="shared" si="43"/>
        <v>BCBS PAYABLE</v>
      </c>
    </row>
    <row r="2335" spans="5:8" x14ac:dyDescent="0.25">
      <c r="E2335" t="str">
        <f>"2EO201812255984"</f>
        <v>2EO201812255984</v>
      </c>
      <c r="F2335" t="str">
        <f>"BCBS PAYABLE"</f>
        <v>BCBS PAYABLE</v>
      </c>
      <c r="G2335" s="3">
        <v>90398.88</v>
      </c>
      <c r="H2335" t="str">
        <f t="shared" si="43"/>
        <v>BCBS PAYABLE</v>
      </c>
    </row>
    <row r="2336" spans="5:8" x14ac:dyDescent="0.25">
      <c r="E2336" t="str">
        <f>""</f>
        <v/>
      </c>
      <c r="F2336" t="str">
        <f>""</f>
        <v/>
      </c>
      <c r="H2336" t="str">
        <f t="shared" si="43"/>
        <v>BCBS PAYABLE</v>
      </c>
    </row>
    <row r="2337" spans="5:8" x14ac:dyDescent="0.25">
      <c r="E2337" t="str">
        <f>""</f>
        <v/>
      </c>
      <c r="F2337" t="str">
        <f>""</f>
        <v/>
      </c>
      <c r="H2337" t="str">
        <f t="shared" si="43"/>
        <v>BCBS PAYABLE</v>
      </c>
    </row>
    <row r="2338" spans="5:8" x14ac:dyDescent="0.25">
      <c r="E2338" t="str">
        <f>""</f>
        <v/>
      </c>
      <c r="F2338" t="str">
        <f>""</f>
        <v/>
      </c>
      <c r="H2338" t="str">
        <f t="shared" si="43"/>
        <v>BCBS PAYABLE</v>
      </c>
    </row>
    <row r="2339" spans="5:8" x14ac:dyDescent="0.25">
      <c r="E2339" t="str">
        <f>""</f>
        <v/>
      </c>
      <c r="F2339" t="str">
        <f>""</f>
        <v/>
      </c>
      <c r="H2339" t="str">
        <f t="shared" si="43"/>
        <v>BCBS PAYABLE</v>
      </c>
    </row>
    <row r="2340" spans="5:8" x14ac:dyDescent="0.25">
      <c r="E2340" t="str">
        <f>""</f>
        <v/>
      </c>
      <c r="F2340" t="str">
        <f>""</f>
        <v/>
      </c>
      <c r="H2340" t="str">
        <f t="shared" si="43"/>
        <v>BCBS PAYABLE</v>
      </c>
    </row>
    <row r="2341" spans="5:8" x14ac:dyDescent="0.25">
      <c r="E2341" t="str">
        <f>""</f>
        <v/>
      </c>
      <c r="F2341" t="str">
        <f>""</f>
        <v/>
      </c>
      <c r="H2341" t="str">
        <f t="shared" si="43"/>
        <v>BCBS PAYABLE</v>
      </c>
    </row>
    <row r="2342" spans="5:8" x14ac:dyDescent="0.25">
      <c r="E2342" t="str">
        <f>""</f>
        <v/>
      </c>
      <c r="F2342" t="str">
        <f>""</f>
        <v/>
      </c>
      <c r="H2342" t="str">
        <f t="shared" si="43"/>
        <v>BCBS PAYABLE</v>
      </c>
    </row>
    <row r="2343" spans="5:8" x14ac:dyDescent="0.25">
      <c r="E2343" t="str">
        <f>""</f>
        <v/>
      </c>
      <c r="F2343" t="str">
        <f>""</f>
        <v/>
      </c>
      <c r="H2343" t="str">
        <f t="shared" si="43"/>
        <v>BCBS PAYABLE</v>
      </c>
    </row>
    <row r="2344" spans="5:8" x14ac:dyDescent="0.25">
      <c r="E2344" t="str">
        <f>""</f>
        <v/>
      </c>
      <c r="F2344" t="str">
        <f>""</f>
        <v/>
      </c>
      <c r="H2344" t="str">
        <f t="shared" si="43"/>
        <v>BCBS PAYABLE</v>
      </c>
    </row>
    <row r="2345" spans="5:8" x14ac:dyDescent="0.25">
      <c r="E2345" t="str">
        <f>""</f>
        <v/>
      </c>
      <c r="F2345" t="str">
        <f>""</f>
        <v/>
      </c>
      <c r="H2345" t="str">
        <f t="shared" si="43"/>
        <v>BCBS PAYABLE</v>
      </c>
    </row>
    <row r="2346" spans="5:8" x14ac:dyDescent="0.25">
      <c r="E2346" t="str">
        <f>""</f>
        <v/>
      </c>
      <c r="F2346" t="str">
        <f>""</f>
        <v/>
      </c>
      <c r="H2346" t="str">
        <f t="shared" ref="H2346:H2377" si="44">"BCBS PAYABLE"</f>
        <v>BCBS PAYABLE</v>
      </c>
    </row>
    <row r="2347" spans="5:8" x14ac:dyDescent="0.25">
      <c r="E2347" t="str">
        <f>""</f>
        <v/>
      </c>
      <c r="F2347" t="str">
        <f>""</f>
        <v/>
      </c>
      <c r="H2347" t="str">
        <f t="shared" si="44"/>
        <v>BCBS PAYABLE</v>
      </c>
    </row>
    <row r="2348" spans="5:8" x14ac:dyDescent="0.25">
      <c r="E2348" t="str">
        <f>""</f>
        <v/>
      </c>
      <c r="F2348" t="str">
        <f>""</f>
        <v/>
      </c>
      <c r="H2348" t="str">
        <f t="shared" si="44"/>
        <v>BCBS PAYABLE</v>
      </c>
    </row>
    <row r="2349" spans="5:8" x14ac:dyDescent="0.25">
      <c r="E2349" t="str">
        <f>""</f>
        <v/>
      </c>
      <c r="F2349" t="str">
        <f>""</f>
        <v/>
      </c>
      <c r="H2349" t="str">
        <f t="shared" si="44"/>
        <v>BCBS PAYABLE</v>
      </c>
    </row>
    <row r="2350" spans="5:8" x14ac:dyDescent="0.25">
      <c r="E2350" t="str">
        <f>""</f>
        <v/>
      </c>
      <c r="F2350" t="str">
        <f>""</f>
        <v/>
      </c>
      <c r="H2350" t="str">
        <f t="shared" si="44"/>
        <v>BCBS PAYABLE</v>
      </c>
    </row>
    <row r="2351" spans="5:8" x14ac:dyDescent="0.25">
      <c r="E2351" t="str">
        <f>""</f>
        <v/>
      </c>
      <c r="F2351" t="str">
        <f>""</f>
        <v/>
      </c>
      <c r="H2351" t="str">
        <f t="shared" si="44"/>
        <v>BCBS PAYABLE</v>
      </c>
    </row>
    <row r="2352" spans="5:8" x14ac:dyDescent="0.25">
      <c r="E2352" t="str">
        <f>""</f>
        <v/>
      </c>
      <c r="F2352" t="str">
        <f>""</f>
        <v/>
      </c>
      <c r="H2352" t="str">
        <f t="shared" si="44"/>
        <v>BCBS PAYABLE</v>
      </c>
    </row>
    <row r="2353" spans="5:8" x14ac:dyDescent="0.25">
      <c r="E2353" t="str">
        <f>""</f>
        <v/>
      </c>
      <c r="F2353" t="str">
        <f>""</f>
        <v/>
      </c>
      <c r="H2353" t="str">
        <f t="shared" si="44"/>
        <v>BCBS PAYABLE</v>
      </c>
    </row>
    <row r="2354" spans="5:8" x14ac:dyDescent="0.25">
      <c r="E2354" t="str">
        <f>""</f>
        <v/>
      </c>
      <c r="F2354" t="str">
        <f>""</f>
        <v/>
      </c>
      <c r="H2354" t="str">
        <f t="shared" si="44"/>
        <v>BCBS PAYABLE</v>
      </c>
    </row>
    <row r="2355" spans="5:8" x14ac:dyDescent="0.25">
      <c r="E2355" t="str">
        <f>""</f>
        <v/>
      </c>
      <c r="F2355" t="str">
        <f>""</f>
        <v/>
      </c>
      <c r="H2355" t="str">
        <f t="shared" si="44"/>
        <v>BCBS PAYABLE</v>
      </c>
    </row>
    <row r="2356" spans="5:8" x14ac:dyDescent="0.25">
      <c r="E2356" t="str">
        <f>""</f>
        <v/>
      </c>
      <c r="F2356" t="str">
        <f>""</f>
        <v/>
      </c>
      <c r="H2356" t="str">
        <f t="shared" si="44"/>
        <v>BCBS PAYABLE</v>
      </c>
    </row>
    <row r="2357" spans="5:8" x14ac:dyDescent="0.25">
      <c r="E2357" t="str">
        <f>""</f>
        <v/>
      </c>
      <c r="F2357" t="str">
        <f>""</f>
        <v/>
      </c>
      <c r="H2357" t="str">
        <f t="shared" si="44"/>
        <v>BCBS PAYABLE</v>
      </c>
    </row>
    <row r="2358" spans="5:8" x14ac:dyDescent="0.25">
      <c r="E2358" t="str">
        <f>""</f>
        <v/>
      </c>
      <c r="F2358" t="str">
        <f>""</f>
        <v/>
      </c>
      <c r="H2358" t="str">
        <f t="shared" si="44"/>
        <v>BCBS PAYABLE</v>
      </c>
    </row>
    <row r="2359" spans="5:8" x14ac:dyDescent="0.25">
      <c r="E2359" t="str">
        <f>""</f>
        <v/>
      </c>
      <c r="F2359" t="str">
        <f>""</f>
        <v/>
      </c>
      <c r="H2359" t="str">
        <f t="shared" si="44"/>
        <v>BCBS PAYABLE</v>
      </c>
    </row>
    <row r="2360" spans="5:8" x14ac:dyDescent="0.25">
      <c r="E2360" t="str">
        <f>""</f>
        <v/>
      </c>
      <c r="F2360" t="str">
        <f>""</f>
        <v/>
      </c>
      <c r="H2360" t="str">
        <f t="shared" si="44"/>
        <v>BCBS PAYABLE</v>
      </c>
    </row>
    <row r="2361" spans="5:8" x14ac:dyDescent="0.25">
      <c r="E2361" t="str">
        <f>""</f>
        <v/>
      </c>
      <c r="F2361" t="str">
        <f>""</f>
        <v/>
      </c>
      <c r="H2361" t="str">
        <f t="shared" si="44"/>
        <v>BCBS PAYABLE</v>
      </c>
    </row>
    <row r="2362" spans="5:8" x14ac:dyDescent="0.25">
      <c r="E2362" t="str">
        <f>""</f>
        <v/>
      </c>
      <c r="F2362" t="str">
        <f>""</f>
        <v/>
      </c>
      <c r="H2362" t="str">
        <f t="shared" si="44"/>
        <v>BCBS PAYABLE</v>
      </c>
    </row>
    <row r="2363" spans="5:8" x14ac:dyDescent="0.25">
      <c r="E2363" t="str">
        <f>""</f>
        <v/>
      </c>
      <c r="F2363" t="str">
        <f>""</f>
        <v/>
      </c>
      <c r="H2363" t="str">
        <f t="shared" si="44"/>
        <v>BCBS PAYABLE</v>
      </c>
    </row>
    <row r="2364" spans="5:8" x14ac:dyDescent="0.25">
      <c r="E2364" t="str">
        <f>""</f>
        <v/>
      </c>
      <c r="F2364" t="str">
        <f>""</f>
        <v/>
      </c>
      <c r="H2364" t="str">
        <f t="shared" si="44"/>
        <v>BCBS PAYABLE</v>
      </c>
    </row>
    <row r="2365" spans="5:8" x14ac:dyDescent="0.25">
      <c r="E2365" t="str">
        <f>""</f>
        <v/>
      </c>
      <c r="F2365" t="str">
        <f>""</f>
        <v/>
      </c>
      <c r="H2365" t="str">
        <f t="shared" si="44"/>
        <v>BCBS PAYABLE</v>
      </c>
    </row>
    <row r="2366" spans="5:8" x14ac:dyDescent="0.25">
      <c r="E2366" t="str">
        <f>""</f>
        <v/>
      </c>
      <c r="F2366" t="str">
        <f>""</f>
        <v/>
      </c>
      <c r="H2366" t="str">
        <f t="shared" si="44"/>
        <v>BCBS PAYABLE</v>
      </c>
    </row>
    <row r="2367" spans="5:8" x14ac:dyDescent="0.25">
      <c r="E2367" t="str">
        <f>""</f>
        <v/>
      </c>
      <c r="F2367" t="str">
        <f>""</f>
        <v/>
      </c>
      <c r="H2367" t="str">
        <f t="shared" si="44"/>
        <v>BCBS PAYABLE</v>
      </c>
    </row>
    <row r="2368" spans="5:8" x14ac:dyDescent="0.25">
      <c r="E2368" t="str">
        <f>""</f>
        <v/>
      </c>
      <c r="F2368" t="str">
        <f>""</f>
        <v/>
      </c>
      <c r="H2368" t="str">
        <f t="shared" si="44"/>
        <v>BCBS PAYABLE</v>
      </c>
    </row>
    <row r="2369" spans="5:8" x14ac:dyDescent="0.25">
      <c r="E2369" t="str">
        <f>""</f>
        <v/>
      </c>
      <c r="F2369" t="str">
        <f>""</f>
        <v/>
      </c>
      <c r="H2369" t="str">
        <f t="shared" si="44"/>
        <v>BCBS PAYABLE</v>
      </c>
    </row>
    <row r="2370" spans="5:8" x14ac:dyDescent="0.25">
      <c r="E2370" t="str">
        <f>""</f>
        <v/>
      </c>
      <c r="F2370" t="str">
        <f>""</f>
        <v/>
      </c>
      <c r="H2370" t="str">
        <f t="shared" si="44"/>
        <v>BCBS PAYABLE</v>
      </c>
    </row>
    <row r="2371" spans="5:8" x14ac:dyDescent="0.25">
      <c r="E2371" t="str">
        <f>""</f>
        <v/>
      </c>
      <c r="F2371" t="str">
        <f>""</f>
        <v/>
      </c>
      <c r="H2371" t="str">
        <f t="shared" si="44"/>
        <v>BCBS PAYABLE</v>
      </c>
    </row>
    <row r="2372" spans="5:8" x14ac:dyDescent="0.25">
      <c r="E2372" t="str">
        <f>""</f>
        <v/>
      </c>
      <c r="F2372" t="str">
        <f>""</f>
        <v/>
      </c>
      <c r="H2372" t="str">
        <f t="shared" si="44"/>
        <v>BCBS PAYABLE</v>
      </c>
    </row>
    <row r="2373" spans="5:8" x14ac:dyDescent="0.25">
      <c r="E2373" t="str">
        <f>""</f>
        <v/>
      </c>
      <c r="F2373" t="str">
        <f>""</f>
        <v/>
      </c>
      <c r="H2373" t="str">
        <f t="shared" si="44"/>
        <v>BCBS PAYABLE</v>
      </c>
    </row>
    <row r="2374" spans="5:8" x14ac:dyDescent="0.25">
      <c r="E2374" t="str">
        <f>""</f>
        <v/>
      </c>
      <c r="F2374" t="str">
        <f>""</f>
        <v/>
      </c>
      <c r="H2374" t="str">
        <f t="shared" si="44"/>
        <v>BCBS PAYABLE</v>
      </c>
    </row>
    <row r="2375" spans="5:8" x14ac:dyDescent="0.25">
      <c r="E2375" t="str">
        <f>""</f>
        <v/>
      </c>
      <c r="F2375" t="str">
        <f>""</f>
        <v/>
      </c>
      <c r="H2375" t="str">
        <f t="shared" si="44"/>
        <v>BCBS PAYABLE</v>
      </c>
    </row>
    <row r="2376" spans="5:8" x14ac:dyDescent="0.25">
      <c r="E2376" t="str">
        <f>""</f>
        <v/>
      </c>
      <c r="F2376" t="str">
        <f>""</f>
        <v/>
      </c>
      <c r="H2376" t="str">
        <f t="shared" si="44"/>
        <v>BCBS PAYABLE</v>
      </c>
    </row>
    <row r="2377" spans="5:8" x14ac:dyDescent="0.25">
      <c r="E2377" t="str">
        <f>""</f>
        <v/>
      </c>
      <c r="F2377" t="str">
        <f>""</f>
        <v/>
      </c>
      <c r="H2377" t="str">
        <f t="shared" si="44"/>
        <v>BCBS PAYABLE</v>
      </c>
    </row>
    <row r="2378" spans="5:8" x14ac:dyDescent="0.25">
      <c r="E2378" t="str">
        <f>""</f>
        <v/>
      </c>
      <c r="F2378" t="str">
        <f>""</f>
        <v/>
      </c>
      <c r="H2378" t="str">
        <f t="shared" ref="H2378:H2409" si="45">"BCBS PAYABLE"</f>
        <v>BCBS PAYABLE</v>
      </c>
    </row>
    <row r="2379" spans="5:8" x14ac:dyDescent="0.25">
      <c r="E2379" t="str">
        <f>"2EO201812255985"</f>
        <v>2EO201812255985</v>
      </c>
      <c r="F2379" t="str">
        <f>"BCBS PAYABLE"</f>
        <v>BCBS PAYABLE</v>
      </c>
      <c r="G2379" s="3">
        <v>3792.96</v>
      </c>
      <c r="H2379" t="str">
        <f t="shared" si="45"/>
        <v>BCBS PAYABLE</v>
      </c>
    </row>
    <row r="2380" spans="5:8" x14ac:dyDescent="0.25">
      <c r="E2380" t="str">
        <f>"2ES201812125722"</f>
        <v>2ES201812125722</v>
      </c>
      <c r="F2380" t="str">
        <f>"BCBS PAYABLE"</f>
        <v>BCBS PAYABLE</v>
      </c>
      <c r="G2380" s="3">
        <v>14581.2</v>
      </c>
      <c r="H2380" t="str">
        <f t="shared" si="45"/>
        <v>BCBS PAYABLE</v>
      </c>
    </row>
    <row r="2381" spans="5:8" x14ac:dyDescent="0.25">
      <c r="E2381" t="str">
        <f>""</f>
        <v/>
      </c>
      <c r="F2381" t="str">
        <f>""</f>
        <v/>
      </c>
      <c r="H2381" t="str">
        <f t="shared" si="45"/>
        <v>BCBS PAYABLE</v>
      </c>
    </row>
    <row r="2382" spans="5:8" x14ac:dyDescent="0.25">
      <c r="E2382" t="str">
        <f>""</f>
        <v/>
      </c>
      <c r="F2382" t="str">
        <f>""</f>
        <v/>
      </c>
      <c r="H2382" t="str">
        <f t="shared" si="45"/>
        <v>BCBS PAYABLE</v>
      </c>
    </row>
    <row r="2383" spans="5:8" x14ac:dyDescent="0.25">
      <c r="E2383" t="str">
        <f>""</f>
        <v/>
      </c>
      <c r="F2383" t="str">
        <f>""</f>
        <v/>
      </c>
      <c r="H2383" t="str">
        <f t="shared" si="45"/>
        <v>BCBS PAYABLE</v>
      </c>
    </row>
    <row r="2384" spans="5:8" x14ac:dyDescent="0.25">
      <c r="E2384" t="str">
        <f>""</f>
        <v/>
      </c>
      <c r="F2384" t="str">
        <f>""</f>
        <v/>
      </c>
      <c r="H2384" t="str">
        <f t="shared" si="45"/>
        <v>BCBS PAYABLE</v>
      </c>
    </row>
    <row r="2385" spans="5:8" x14ac:dyDescent="0.25">
      <c r="E2385" t="str">
        <f>""</f>
        <v/>
      </c>
      <c r="F2385" t="str">
        <f>""</f>
        <v/>
      </c>
      <c r="H2385" t="str">
        <f t="shared" si="45"/>
        <v>BCBS PAYABLE</v>
      </c>
    </row>
    <row r="2386" spans="5:8" x14ac:dyDescent="0.25">
      <c r="E2386" t="str">
        <f>""</f>
        <v/>
      </c>
      <c r="F2386" t="str">
        <f>""</f>
        <v/>
      </c>
      <c r="H2386" t="str">
        <f t="shared" si="45"/>
        <v>BCBS PAYABLE</v>
      </c>
    </row>
    <row r="2387" spans="5:8" x14ac:dyDescent="0.25">
      <c r="E2387" t="str">
        <f>""</f>
        <v/>
      </c>
      <c r="F2387" t="str">
        <f>""</f>
        <v/>
      </c>
      <c r="H2387" t="str">
        <f t="shared" si="45"/>
        <v>BCBS PAYABLE</v>
      </c>
    </row>
    <row r="2388" spans="5:8" x14ac:dyDescent="0.25">
      <c r="E2388" t="str">
        <f>""</f>
        <v/>
      </c>
      <c r="F2388" t="str">
        <f>""</f>
        <v/>
      </c>
      <c r="H2388" t="str">
        <f t="shared" si="45"/>
        <v>BCBS PAYABLE</v>
      </c>
    </row>
    <row r="2389" spans="5:8" x14ac:dyDescent="0.25">
      <c r="E2389" t="str">
        <f>""</f>
        <v/>
      </c>
      <c r="F2389" t="str">
        <f>""</f>
        <v/>
      </c>
      <c r="H2389" t="str">
        <f t="shared" si="45"/>
        <v>BCBS PAYABLE</v>
      </c>
    </row>
    <row r="2390" spans="5:8" x14ac:dyDescent="0.25">
      <c r="E2390" t="str">
        <f>""</f>
        <v/>
      </c>
      <c r="F2390" t="str">
        <f>""</f>
        <v/>
      </c>
      <c r="H2390" t="str">
        <f t="shared" si="45"/>
        <v>BCBS PAYABLE</v>
      </c>
    </row>
    <row r="2391" spans="5:8" x14ac:dyDescent="0.25">
      <c r="E2391" t="str">
        <f>""</f>
        <v/>
      </c>
      <c r="F2391" t="str">
        <f>""</f>
        <v/>
      </c>
      <c r="H2391" t="str">
        <f t="shared" si="45"/>
        <v>BCBS PAYABLE</v>
      </c>
    </row>
    <row r="2392" spans="5:8" x14ac:dyDescent="0.25">
      <c r="E2392" t="str">
        <f>""</f>
        <v/>
      </c>
      <c r="F2392" t="str">
        <f>""</f>
        <v/>
      </c>
      <c r="H2392" t="str">
        <f t="shared" si="45"/>
        <v>BCBS PAYABLE</v>
      </c>
    </row>
    <row r="2393" spans="5:8" x14ac:dyDescent="0.25">
      <c r="E2393" t="str">
        <f>""</f>
        <v/>
      </c>
      <c r="F2393" t="str">
        <f>""</f>
        <v/>
      </c>
      <c r="H2393" t="str">
        <f t="shared" si="45"/>
        <v>BCBS PAYABLE</v>
      </c>
    </row>
    <row r="2394" spans="5:8" x14ac:dyDescent="0.25">
      <c r="E2394" t="str">
        <f>""</f>
        <v/>
      </c>
      <c r="F2394" t="str">
        <f>""</f>
        <v/>
      </c>
      <c r="H2394" t="str">
        <f t="shared" si="45"/>
        <v>BCBS PAYABLE</v>
      </c>
    </row>
    <row r="2395" spans="5:8" x14ac:dyDescent="0.25">
      <c r="E2395" t="str">
        <f>""</f>
        <v/>
      </c>
      <c r="F2395" t="str">
        <f>""</f>
        <v/>
      </c>
      <c r="H2395" t="str">
        <f t="shared" si="45"/>
        <v>BCBS PAYABLE</v>
      </c>
    </row>
    <row r="2396" spans="5:8" x14ac:dyDescent="0.25">
      <c r="E2396" t="str">
        <f>""</f>
        <v/>
      </c>
      <c r="F2396" t="str">
        <f>""</f>
        <v/>
      </c>
      <c r="H2396" t="str">
        <f t="shared" si="45"/>
        <v>BCBS PAYABLE</v>
      </c>
    </row>
    <row r="2397" spans="5:8" x14ac:dyDescent="0.25">
      <c r="E2397" t="str">
        <f>""</f>
        <v/>
      </c>
      <c r="F2397" t="str">
        <f>""</f>
        <v/>
      </c>
      <c r="H2397" t="str">
        <f t="shared" si="45"/>
        <v>BCBS PAYABLE</v>
      </c>
    </row>
    <row r="2398" spans="5:8" x14ac:dyDescent="0.25">
      <c r="E2398" t="str">
        <f>"2ES201812255984"</f>
        <v>2ES201812255984</v>
      </c>
      <c r="F2398" t="str">
        <f>"BCBS PAYABLE"</f>
        <v>BCBS PAYABLE</v>
      </c>
      <c r="G2398" s="3">
        <v>14581.2</v>
      </c>
      <c r="H2398" t="str">
        <f t="shared" si="45"/>
        <v>BCBS PAYABLE</v>
      </c>
    </row>
    <row r="2399" spans="5:8" x14ac:dyDescent="0.25">
      <c r="E2399" t="str">
        <f>""</f>
        <v/>
      </c>
      <c r="F2399" t="str">
        <f>""</f>
        <v/>
      </c>
      <c r="H2399" t="str">
        <f t="shared" si="45"/>
        <v>BCBS PAYABLE</v>
      </c>
    </row>
    <row r="2400" spans="5:8" x14ac:dyDescent="0.25">
      <c r="E2400" t="str">
        <f>""</f>
        <v/>
      </c>
      <c r="F2400" t="str">
        <f>""</f>
        <v/>
      </c>
      <c r="H2400" t="str">
        <f t="shared" si="45"/>
        <v>BCBS PAYABLE</v>
      </c>
    </row>
    <row r="2401" spans="1:8" x14ac:dyDescent="0.25">
      <c r="E2401" t="str">
        <f>""</f>
        <v/>
      </c>
      <c r="F2401" t="str">
        <f>""</f>
        <v/>
      </c>
      <c r="H2401" t="str">
        <f t="shared" si="45"/>
        <v>BCBS PAYABLE</v>
      </c>
    </row>
    <row r="2402" spans="1:8" x14ac:dyDescent="0.25">
      <c r="E2402" t="str">
        <f>""</f>
        <v/>
      </c>
      <c r="F2402" t="str">
        <f>""</f>
        <v/>
      </c>
      <c r="H2402" t="str">
        <f t="shared" si="45"/>
        <v>BCBS PAYABLE</v>
      </c>
    </row>
    <row r="2403" spans="1:8" x14ac:dyDescent="0.25">
      <c r="E2403" t="str">
        <f>""</f>
        <v/>
      </c>
      <c r="F2403" t="str">
        <f>""</f>
        <v/>
      </c>
      <c r="H2403" t="str">
        <f t="shared" si="45"/>
        <v>BCBS PAYABLE</v>
      </c>
    </row>
    <row r="2404" spans="1:8" x14ac:dyDescent="0.25">
      <c r="E2404" t="str">
        <f>""</f>
        <v/>
      </c>
      <c r="F2404" t="str">
        <f>""</f>
        <v/>
      </c>
      <c r="H2404" t="str">
        <f t="shared" si="45"/>
        <v>BCBS PAYABLE</v>
      </c>
    </row>
    <row r="2405" spans="1:8" x14ac:dyDescent="0.25">
      <c r="E2405" t="str">
        <f>""</f>
        <v/>
      </c>
      <c r="F2405" t="str">
        <f>""</f>
        <v/>
      </c>
      <c r="H2405" t="str">
        <f t="shared" si="45"/>
        <v>BCBS PAYABLE</v>
      </c>
    </row>
    <row r="2406" spans="1:8" x14ac:dyDescent="0.25">
      <c r="E2406" t="str">
        <f>""</f>
        <v/>
      </c>
      <c r="F2406" t="str">
        <f>""</f>
        <v/>
      </c>
      <c r="H2406" t="str">
        <f t="shared" si="45"/>
        <v>BCBS PAYABLE</v>
      </c>
    </row>
    <row r="2407" spans="1:8" x14ac:dyDescent="0.25">
      <c r="E2407" t="str">
        <f>""</f>
        <v/>
      </c>
      <c r="F2407" t="str">
        <f>""</f>
        <v/>
      </c>
      <c r="H2407" t="str">
        <f t="shared" si="45"/>
        <v>BCBS PAYABLE</v>
      </c>
    </row>
    <row r="2408" spans="1:8" x14ac:dyDescent="0.25">
      <c r="E2408" t="str">
        <f>""</f>
        <v/>
      </c>
      <c r="F2408" t="str">
        <f>""</f>
        <v/>
      </c>
      <c r="H2408" t="str">
        <f t="shared" si="45"/>
        <v>BCBS PAYABLE</v>
      </c>
    </row>
    <row r="2409" spans="1:8" x14ac:dyDescent="0.25">
      <c r="E2409" t="str">
        <f>""</f>
        <v/>
      </c>
      <c r="F2409" t="str">
        <f>""</f>
        <v/>
      </c>
      <c r="H2409" t="str">
        <f t="shared" si="45"/>
        <v>BCBS PAYABLE</v>
      </c>
    </row>
    <row r="2410" spans="1:8" x14ac:dyDescent="0.25">
      <c r="E2410" t="str">
        <f>""</f>
        <v/>
      </c>
      <c r="F2410" t="str">
        <f>""</f>
        <v/>
      </c>
      <c r="H2410" t="str">
        <f t="shared" ref="H2410:H2415" si="46">"BCBS PAYABLE"</f>
        <v>BCBS PAYABLE</v>
      </c>
    </row>
    <row r="2411" spans="1:8" x14ac:dyDescent="0.25">
      <c r="E2411" t="str">
        <f>""</f>
        <v/>
      </c>
      <c r="F2411" t="str">
        <f>""</f>
        <v/>
      </c>
      <c r="H2411" t="str">
        <f t="shared" si="46"/>
        <v>BCBS PAYABLE</v>
      </c>
    </row>
    <row r="2412" spans="1:8" x14ac:dyDescent="0.25">
      <c r="E2412" t="str">
        <f>""</f>
        <v/>
      </c>
      <c r="F2412" t="str">
        <f>""</f>
        <v/>
      </c>
      <c r="H2412" t="str">
        <f t="shared" si="46"/>
        <v>BCBS PAYABLE</v>
      </c>
    </row>
    <row r="2413" spans="1:8" x14ac:dyDescent="0.25">
      <c r="E2413" t="str">
        <f>""</f>
        <v/>
      </c>
      <c r="F2413" t="str">
        <f>""</f>
        <v/>
      </c>
      <c r="H2413" t="str">
        <f t="shared" si="46"/>
        <v>BCBS PAYABLE</v>
      </c>
    </row>
    <row r="2414" spans="1:8" x14ac:dyDescent="0.25">
      <c r="E2414" t="str">
        <f>""</f>
        <v/>
      </c>
      <c r="F2414" t="str">
        <f>""</f>
        <v/>
      </c>
      <c r="H2414" t="str">
        <f t="shared" si="46"/>
        <v>BCBS PAYABLE</v>
      </c>
    </row>
    <row r="2415" spans="1:8" x14ac:dyDescent="0.25">
      <c r="E2415" t="str">
        <f>""</f>
        <v/>
      </c>
      <c r="F2415" t="str">
        <f>""</f>
        <v/>
      </c>
      <c r="H2415" t="str">
        <f t="shared" si="46"/>
        <v>BCBS PAYABLE</v>
      </c>
    </row>
    <row r="2416" spans="1:8" x14ac:dyDescent="0.25">
      <c r="A2416" t="s">
        <v>500</v>
      </c>
      <c r="B2416">
        <v>14</v>
      </c>
      <c r="C2416" s="2">
        <v>13476.72</v>
      </c>
      <c r="D2416" s="1">
        <v>43448</v>
      </c>
      <c r="E2416" t="str">
        <f>"FSA201812125722"</f>
        <v>FSA201812125722</v>
      </c>
      <c r="F2416" t="str">
        <f>"TASC FSA"</f>
        <v>TASC FSA</v>
      </c>
      <c r="G2416" s="3">
        <v>7880.47</v>
      </c>
      <c r="H2416" t="str">
        <f>"TASC FSA"</f>
        <v>TASC FSA</v>
      </c>
    </row>
    <row r="2417" spans="5:8" x14ac:dyDescent="0.25">
      <c r="E2417" t="str">
        <f>"FSA201812125723"</f>
        <v>FSA201812125723</v>
      </c>
      <c r="F2417" t="str">
        <f>"TASC FSA"</f>
        <v>TASC FSA</v>
      </c>
      <c r="G2417" s="3">
        <v>550.05999999999995</v>
      </c>
      <c r="H2417" t="str">
        <f>"TASC FSA"</f>
        <v>TASC FSA</v>
      </c>
    </row>
    <row r="2418" spans="5:8" x14ac:dyDescent="0.25">
      <c r="E2418" t="str">
        <f>"FSC201812125722"</f>
        <v>FSC201812125722</v>
      </c>
      <c r="F2418" t="str">
        <f>"TASC DEPENDENT CARE"</f>
        <v>TASC DEPENDENT CARE</v>
      </c>
      <c r="G2418" s="3">
        <v>315.76</v>
      </c>
      <c r="H2418" t="str">
        <f>"TASC DEPENDENT CARE"</f>
        <v>TASC DEPENDENT CARE</v>
      </c>
    </row>
    <row r="2419" spans="5:8" x14ac:dyDescent="0.25">
      <c r="E2419" t="str">
        <f>""</f>
        <v/>
      </c>
      <c r="F2419" t="str">
        <f>""</f>
        <v/>
      </c>
      <c r="H2419" t="str">
        <f>"TASC DEPENDENT CARE"</f>
        <v>TASC DEPENDENT CARE</v>
      </c>
    </row>
    <row r="2420" spans="5:8" x14ac:dyDescent="0.25">
      <c r="E2420" t="str">
        <f>""</f>
        <v/>
      </c>
      <c r="F2420" t="str">
        <f>""</f>
        <v/>
      </c>
      <c r="H2420" t="str">
        <f>"TASC DEPENDENT CARE"</f>
        <v>TASC DEPENDENT CARE</v>
      </c>
    </row>
    <row r="2421" spans="5:8" x14ac:dyDescent="0.25">
      <c r="E2421" t="str">
        <f>"FSF201812125722"</f>
        <v>FSF201812125722</v>
      </c>
      <c r="F2421" t="str">
        <f>"TASC - FSA  FEES"</f>
        <v>TASC - FSA  FEES</v>
      </c>
      <c r="G2421" s="3">
        <v>270</v>
      </c>
      <c r="H2421" t="str">
        <f t="shared" ref="H2421:H2459" si="47">"TASC - FSA  FEES"</f>
        <v>TASC - FSA 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47"/>
        <v>TASC - FSA 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47"/>
        <v>TASC - FSA 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47"/>
        <v>TASC - FSA 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47"/>
        <v>TASC - FSA 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47"/>
        <v>TASC - FSA 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47"/>
        <v>TASC - FSA 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47"/>
        <v>TASC - FSA 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47"/>
        <v>TASC - FSA 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47"/>
        <v>TASC - FSA 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47"/>
        <v>TASC - FSA 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47"/>
        <v>TASC - FSA  FEES</v>
      </c>
    </row>
    <row r="2433" spans="5:8" x14ac:dyDescent="0.25">
      <c r="E2433" t="str">
        <f>""</f>
        <v/>
      </c>
      <c r="F2433" t="str">
        <f>""</f>
        <v/>
      </c>
      <c r="H2433" t="str">
        <f t="shared" si="47"/>
        <v>TASC - FSA 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47"/>
        <v>TASC - FSA 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47"/>
        <v>TASC - FSA 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47"/>
        <v>TASC - FSA 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47"/>
        <v>TASC - FSA 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47"/>
        <v>TASC - FSA 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47"/>
        <v>TASC - FSA 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47"/>
        <v>TASC - FSA 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47"/>
        <v>TASC - FSA 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47"/>
        <v>TASC - FSA 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47"/>
        <v>TASC - FSA 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47"/>
        <v>TASC - FSA 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47"/>
        <v>TASC - FSA 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47"/>
        <v>TASC - FSA  FEES</v>
      </c>
    </row>
    <row r="2447" spans="5:8" x14ac:dyDescent="0.25">
      <c r="E2447" t="str">
        <f>""</f>
        <v/>
      </c>
      <c r="F2447" t="str">
        <f>""</f>
        <v/>
      </c>
      <c r="H2447" t="str">
        <f t="shared" si="47"/>
        <v>TASC - FSA 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47"/>
        <v>TASC - FSA 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47"/>
        <v>TASC - FSA 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47"/>
        <v>TASC - FSA 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47"/>
        <v>TASC - FSA 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47"/>
        <v>TASC - FSA 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47"/>
        <v>TASC - FSA 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47"/>
        <v>TASC - FSA 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47"/>
        <v>TASC - FSA 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47"/>
        <v>TASC - FSA 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47"/>
        <v>TASC - FSA 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47"/>
        <v>TASC - FSA  FEES</v>
      </c>
    </row>
    <row r="2459" spans="5:8" x14ac:dyDescent="0.25">
      <c r="E2459" t="str">
        <f>"FSF201812125723"</f>
        <v>FSF201812125723</v>
      </c>
      <c r="F2459" t="str">
        <f>"TASC - FSA  FEES"</f>
        <v>TASC - FSA  FEES</v>
      </c>
      <c r="G2459" s="3">
        <v>12.6</v>
      </c>
      <c r="H2459" t="str">
        <f t="shared" si="47"/>
        <v>TASC - FSA  FEES</v>
      </c>
    </row>
    <row r="2460" spans="5:8" x14ac:dyDescent="0.25">
      <c r="E2460" t="str">
        <f>"HRA201812125722"</f>
        <v>HRA201812125722</v>
      </c>
      <c r="F2460" t="str">
        <f>"TASC HRA"</f>
        <v>TASC HRA</v>
      </c>
      <c r="G2460" s="3">
        <v>3666.63</v>
      </c>
      <c r="H2460" t="str">
        <f t="shared" ref="H2460:H2469" si="48">"TASC HRA"</f>
        <v>TASC HRA</v>
      </c>
    </row>
    <row r="2461" spans="5:8" x14ac:dyDescent="0.25">
      <c r="E2461" t="str">
        <f>""</f>
        <v/>
      </c>
      <c r="F2461" t="str">
        <f>""</f>
        <v/>
      </c>
      <c r="H2461" t="str">
        <f t="shared" si="48"/>
        <v>TASC HRA</v>
      </c>
    </row>
    <row r="2462" spans="5:8" x14ac:dyDescent="0.25">
      <c r="E2462" t="str">
        <f>""</f>
        <v/>
      </c>
      <c r="F2462" t="str">
        <f>""</f>
        <v/>
      </c>
      <c r="H2462" t="str">
        <f t="shared" si="48"/>
        <v>TASC HRA</v>
      </c>
    </row>
    <row r="2463" spans="5:8" x14ac:dyDescent="0.25">
      <c r="E2463" t="str">
        <f>""</f>
        <v/>
      </c>
      <c r="F2463" t="str">
        <f>""</f>
        <v/>
      </c>
      <c r="H2463" t="str">
        <f t="shared" si="48"/>
        <v>TASC HRA</v>
      </c>
    </row>
    <row r="2464" spans="5:8" x14ac:dyDescent="0.25">
      <c r="E2464" t="str">
        <f>""</f>
        <v/>
      </c>
      <c r="F2464" t="str">
        <f>""</f>
        <v/>
      </c>
      <c r="H2464" t="str">
        <f t="shared" si="48"/>
        <v>TASC HRA</v>
      </c>
    </row>
    <row r="2465" spans="5:8" x14ac:dyDescent="0.25">
      <c r="E2465" t="str">
        <f>""</f>
        <v/>
      </c>
      <c r="F2465" t="str">
        <f>""</f>
        <v/>
      </c>
      <c r="H2465" t="str">
        <f t="shared" si="48"/>
        <v>TASC HRA</v>
      </c>
    </row>
    <row r="2466" spans="5:8" x14ac:dyDescent="0.25">
      <c r="E2466" t="str">
        <f>""</f>
        <v/>
      </c>
      <c r="F2466" t="str">
        <f>""</f>
        <v/>
      </c>
      <c r="H2466" t="str">
        <f t="shared" si="48"/>
        <v>TASC HRA</v>
      </c>
    </row>
    <row r="2467" spans="5:8" x14ac:dyDescent="0.25">
      <c r="E2467" t="str">
        <f>""</f>
        <v/>
      </c>
      <c r="F2467" t="str">
        <f>""</f>
        <v/>
      </c>
      <c r="H2467" t="str">
        <f t="shared" si="48"/>
        <v>TASC HRA</v>
      </c>
    </row>
    <row r="2468" spans="5:8" x14ac:dyDescent="0.25">
      <c r="E2468" t="str">
        <f>""</f>
        <v/>
      </c>
      <c r="F2468" t="str">
        <f>""</f>
        <v/>
      </c>
      <c r="H2468" t="str">
        <f t="shared" si="48"/>
        <v>TASC HRA</v>
      </c>
    </row>
    <row r="2469" spans="5:8" x14ac:dyDescent="0.25">
      <c r="E2469" t="str">
        <f>""</f>
        <v/>
      </c>
      <c r="F2469" t="str">
        <f>""</f>
        <v/>
      </c>
      <c r="H2469" t="str">
        <f t="shared" si="48"/>
        <v>TASC HRA</v>
      </c>
    </row>
    <row r="2470" spans="5:8" x14ac:dyDescent="0.25">
      <c r="E2470" t="str">
        <f>"HRF201812125722"</f>
        <v>HRF201812125722</v>
      </c>
      <c r="F2470" t="str">
        <f>"TASC - HRA FEES"</f>
        <v>TASC - HRA FEES</v>
      </c>
      <c r="G2470" s="3">
        <v>752.4</v>
      </c>
      <c r="H2470" t="str">
        <f t="shared" ref="H2470:H2501" si="49">"TASC - HRA FEES"</f>
        <v>TASC - HRA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49"/>
        <v>TASC - HRA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49"/>
        <v>TASC - HRA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49"/>
        <v>TASC - HRA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49"/>
        <v>TASC - HRA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49"/>
        <v>TASC - HRA FEES</v>
      </c>
    </row>
    <row r="2476" spans="5:8" x14ac:dyDescent="0.25">
      <c r="E2476" t="str">
        <f>""</f>
        <v/>
      </c>
      <c r="F2476" t="str">
        <f>""</f>
        <v/>
      </c>
      <c r="H2476" t="str">
        <f t="shared" si="49"/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49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49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49"/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49"/>
        <v>TASC - HRA FEES</v>
      </c>
    </row>
    <row r="2481" spans="5:8" x14ac:dyDescent="0.25">
      <c r="E2481" t="str">
        <f>""</f>
        <v/>
      </c>
      <c r="F2481" t="str">
        <f>""</f>
        <v/>
      </c>
      <c r="H2481" t="str">
        <f t="shared" si="49"/>
        <v>TASC - HRA FEES</v>
      </c>
    </row>
    <row r="2482" spans="5:8" x14ac:dyDescent="0.25">
      <c r="E2482" t="str">
        <f>""</f>
        <v/>
      </c>
      <c r="F2482" t="str">
        <f>""</f>
        <v/>
      </c>
      <c r="H2482" t="str">
        <f t="shared" si="49"/>
        <v>TASC - HRA FEES</v>
      </c>
    </row>
    <row r="2483" spans="5:8" x14ac:dyDescent="0.25">
      <c r="E2483" t="str">
        <f>""</f>
        <v/>
      </c>
      <c r="F2483" t="str">
        <f>""</f>
        <v/>
      </c>
      <c r="H2483" t="str">
        <f t="shared" si="49"/>
        <v>TASC - HRA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49"/>
        <v>TASC - HRA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49"/>
        <v>TASC - HRA FEES</v>
      </c>
    </row>
    <row r="2486" spans="5:8" x14ac:dyDescent="0.25">
      <c r="E2486" t="str">
        <f>""</f>
        <v/>
      </c>
      <c r="F2486" t="str">
        <f>""</f>
        <v/>
      </c>
      <c r="H2486" t="str">
        <f t="shared" si="49"/>
        <v>TASC - HRA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49"/>
        <v>TASC - HRA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49"/>
        <v>TASC - HRA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49"/>
        <v>TASC - HRA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49"/>
        <v>TASC - HRA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49"/>
        <v>TASC - HRA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49"/>
        <v>TASC - HRA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49"/>
        <v>TASC - HRA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49"/>
        <v>TASC - HRA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49"/>
        <v>TASC - HRA FEES</v>
      </c>
    </row>
    <row r="2496" spans="5:8" x14ac:dyDescent="0.25">
      <c r="E2496" t="str">
        <f>""</f>
        <v/>
      </c>
      <c r="F2496" t="str">
        <f>""</f>
        <v/>
      </c>
      <c r="H2496" t="str">
        <f t="shared" si="49"/>
        <v>TASC - HRA FEES</v>
      </c>
    </row>
    <row r="2497" spans="5:8" x14ac:dyDescent="0.25">
      <c r="E2497" t="str">
        <f>""</f>
        <v/>
      </c>
      <c r="F2497" t="str">
        <f>""</f>
        <v/>
      </c>
      <c r="H2497" t="str">
        <f t="shared" si="49"/>
        <v>TASC - HRA FEES</v>
      </c>
    </row>
    <row r="2498" spans="5:8" x14ac:dyDescent="0.25">
      <c r="E2498" t="str">
        <f>""</f>
        <v/>
      </c>
      <c r="F2498" t="str">
        <f>""</f>
        <v/>
      </c>
      <c r="H2498" t="str">
        <f t="shared" si="49"/>
        <v>TASC - HRA FEES</v>
      </c>
    </row>
    <row r="2499" spans="5:8" x14ac:dyDescent="0.25">
      <c r="E2499" t="str">
        <f>""</f>
        <v/>
      </c>
      <c r="F2499" t="str">
        <f>""</f>
        <v/>
      </c>
      <c r="H2499" t="str">
        <f t="shared" si="49"/>
        <v>TASC - HRA FEES</v>
      </c>
    </row>
    <row r="2500" spans="5:8" x14ac:dyDescent="0.25">
      <c r="E2500" t="str">
        <f>""</f>
        <v/>
      </c>
      <c r="F2500" t="str">
        <f>""</f>
        <v/>
      </c>
      <c r="H2500" t="str">
        <f t="shared" si="49"/>
        <v>TASC - HRA FEES</v>
      </c>
    </row>
    <row r="2501" spans="5:8" x14ac:dyDescent="0.25">
      <c r="E2501" t="str">
        <f>""</f>
        <v/>
      </c>
      <c r="F2501" t="str">
        <f>""</f>
        <v/>
      </c>
      <c r="H2501" t="str">
        <f t="shared" si="49"/>
        <v>TASC - HRA FEES</v>
      </c>
    </row>
    <row r="2502" spans="5:8" x14ac:dyDescent="0.25">
      <c r="E2502" t="str">
        <f>""</f>
        <v/>
      </c>
      <c r="F2502" t="str">
        <f>""</f>
        <v/>
      </c>
      <c r="H2502" t="str">
        <f t="shared" ref="H2502:H2519" si="50">"TASC - HRA FEES"</f>
        <v>TASC - HRA FEES</v>
      </c>
    </row>
    <row r="2503" spans="5:8" x14ac:dyDescent="0.25">
      <c r="E2503" t="str">
        <f>""</f>
        <v/>
      </c>
      <c r="F2503" t="str">
        <f>""</f>
        <v/>
      </c>
      <c r="H2503" t="str">
        <f t="shared" si="50"/>
        <v>TASC - HRA FEES</v>
      </c>
    </row>
    <row r="2504" spans="5:8" x14ac:dyDescent="0.25">
      <c r="E2504" t="str">
        <f>""</f>
        <v/>
      </c>
      <c r="F2504" t="str">
        <f>""</f>
        <v/>
      </c>
      <c r="H2504" t="str">
        <f t="shared" si="50"/>
        <v>TASC - HRA FEES</v>
      </c>
    </row>
    <row r="2505" spans="5:8" x14ac:dyDescent="0.25">
      <c r="E2505" t="str">
        <f>""</f>
        <v/>
      </c>
      <c r="F2505" t="str">
        <f>""</f>
        <v/>
      </c>
      <c r="H2505" t="str">
        <f t="shared" si="50"/>
        <v>TASC - HRA FEES</v>
      </c>
    </row>
    <row r="2506" spans="5:8" x14ac:dyDescent="0.25">
      <c r="E2506" t="str">
        <f>""</f>
        <v/>
      </c>
      <c r="F2506" t="str">
        <f>""</f>
        <v/>
      </c>
      <c r="H2506" t="str">
        <f t="shared" si="50"/>
        <v>TASC - HRA FEES</v>
      </c>
    </row>
    <row r="2507" spans="5:8" x14ac:dyDescent="0.25">
      <c r="E2507" t="str">
        <f>""</f>
        <v/>
      </c>
      <c r="F2507" t="str">
        <f>""</f>
        <v/>
      </c>
      <c r="H2507" t="str">
        <f t="shared" si="50"/>
        <v>TASC - HRA FEES</v>
      </c>
    </row>
    <row r="2508" spans="5:8" x14ac:dyDescent="0.25">
      <c r="E2508" t="str">
        <f>""</f>
        <v/>
      </c>
      <c r="F2508" t="str">
        <f>""</f>
        <v/>
      </c>
      <c r="H2508" t="str">
        <f t="shared" si="50"/>
        <v>TASC - HRA FEES</v>
      </c>
    </row>
    <row r="2509" spans="5:8" x14ac:dyDescent="0.25">
      <c r="E2509" t="str">
        <f>""</f>
        <v/>
      </c>
      <c r="F2509" t="str">
        <f>""</f>
        <v/>
      </c>
      <c r="H2509" t="str">
        <f t="shared" si="50"/>
        <v>TASC - HRA FEES</v>
      </c>
    </row>
    <row r="2510" spans="5:8" x14ac:dyDescent="0.25">
      <c r="E2510" t="str">
        <f>""</f>
        <v/>
      </c>
      <c r="F2510" t="str">
        <f>""</f>
        <v/>
      </c>
      <c r="H2510" t="str">
        <f t="shared" si="50"/>
        <v>TASC - HRA FEES</v>
      </c>
    </row>
    <row r="2511" spans="5:8" x14ac:dyDescent="0.25">
      <c r="E2511" t="str">
        <f>""</f>
        <v/>
      </c>
      <c r="F2511" t="str">
        <f>""</f>
        <v/>
      </c>
      <c r="H2511" t="str">
        <f t="shared" si="50"/>
        <v>TASC - HRA FEES</v>
      </c>
    </row>
    <row r="2512" spans="5:8" x14ac:dyDescent="0.25">
      <c r="E2512" t="str">
        <f>""</f>
        <v/>
      </c>
      <c r="F2512" t="str">
        <f>""</f>
        <v/>
      </c>
      <c r="H2512" t="str">
        <f t="shared" si="50"/>
        <v>TASC - HRA FEES</v>
      </c>
    </row>
    <row r="2513" spans="1:8" x14ac:dyDescent="0.25">
      <c r="E2513" t="str">
        <f>""</f>
        <v/>
      </c>
      <c r="F2513" t="str">
        <f>""</f>
        <v/>
      </c>
      <c r="H2513" t="str">
        <f t="shared" si="50"/>
        <v>TASC - HRA FEES</v>
      </c>
    </row>
    <row r="2514" spans="1:8" x14ac:dyDescent="0.25">
      <c r="E2514" t="str">
        <f>""</f>
        <v/>
      </c>
      <c r="F2514" t="str">
        <f>""</f>
        <v/>
      </c>
      <c r="H2514" t="str">
        <f t="shared" si="50"/>
        <v>TASC - HRA FEES</v>
      </c>
    </row>
    <row r="2515" spans="1:8" x14ac:dyDescent="0.25">
      <c r="E2515" t="str">
        <f>""</f>
        <v/>
      </c>
      <c r="F2515" t="str">
        <f>""</f>
        <v/>
      </c>
      <c r="H2515" t="str">
        <f t="shared" si="50"/>
        <v>TASC - HRA FEES</v>
      </c>
    </row>
    <row r="2516" spans="1:8" x14ac:dyDescent="0.25">
      <c r="E2516" t="str">
        <f>""</f>
        <v/>
      </c>
      <c r="F2516" t="str">
        <f>""</f>
        <v/>
      </c>
      <c r="H2516" t="str">
        <f t="shared" si="50"/>
        <v>TASC - HRA FEES</v>
      </c>
    </row>
    <row r="2517" spans="1:8" x14ac:dyDescent="0.25">
      <c r="E2517" t="str">
        <f>""</f>
        <v/>
      </c>
      <c r="F2517" t="str">
        <f>""</f>
        <v/>
      </c>
      <c r="H2517" t="str">
        <f t="shared" si="50"/>
        <v>TASC - HRA FEES</v>
      </c>
    </row>
    <row r="2518" spans="1:8" x14ac:dyDescent="0.25">
      <c r="E2518" t="str">
        <f>""</f>
        <v/>
      </c>
      <c r="F2518" t="str">
        <f>""</f>
        <v/>
      </c>
      <c r="H2518" t="str">
        <f t="shared" si="50"/>
        <v>TASC - HRA FEES</v>
      </c>
    </row>
    <row r="2519" spans="1:8" x14ac:dyDescent="0.25">
      <c r="E2519" t="str">
        <f>"HRF201812125723"</f>
        <v>HRF201812125723</v>
      </c>
      <c r="F2519" t="str">
        <f>"TASC - HRA FEES"</f>
        <v>TASC - HRA FEES</v>
      </c>
      <c r="G2519" s="3">
        <v>28.8</v>
      </c>
      <c r="H2519" t="str">
        <f t="shared" si="50"/>
        <v>TASC - HRA FEES</v>
      </c>
    </row>
    <row r="2520" spans="1:8" x14ac:dyDescent="0.25">
      <c r="A2520" t="s">
        <v>500</v>
      </c>
      <c r="B2520">
        <v>21</v>
      </c>
      <c r="C2520" s="2">
        <v>9810.09</v>
      </c>
      <c r="D2520" s="1">
        <v>43462</v>
      </c>
      <c r="E2520" t="str">
        <f>"FSA201812255984"</f>
        <v>FSA201812255984</v>
      </c>
      <c r="F2520" t="str">
        <f>"TASC FSA"</f>
        <v>TASC FSA</v>
      </c>
      <c r="G2520" s="3">
        <v>7880.47</v>
      </c>
      <c r="H2520" t="str">
        <f>"TASC FSA"</f>
        <v>TASC FSA</v>
      </c>
    </row>
    <row r="2521" spans="1:8" x14ac:dyDescent="0.25">
      <c r="E2521" t="str">
        <f>"FSA201812255985"</f>
        <v>FSA201812255985</v>
      </c>
      <c r="F2521" t="str">
        <f>"TASC FSA"</f>
        <v>TASC FSA</v>
      </c>
      <c r="G2521" s="3">
        <v>550.05999999999995</v>
      </c>
      <c r="H2521" t="str">
        <f>"TASC FSA"</f>
        <v>TASC FSA</v>
      </c>
    </row>
    <row r="2522" spans="1:8" x14ac:dyDescent="0.25">
      <c r="E2522" t="str">
        <f>"FSC201812255984"</f>
        <v>FSC201812255984</v>
      </c>
      <c r="F2522" t="str">
        <f>"TASC DEPENDENT CARE"</f>
        <v>TASC DEPENDENT CARE</v>
      </c>
      <c r="G2522" s="3">
        <v>315.76</v>
      </c>
      <c r="H2522" t="str">
        <f>"TASC DEPENDENT CARE"</f>
        <v>TASC DEPENDENT CARE</v>
      </c>
    </row>
    <row r="2523" spans="1:8" x14ac:dyDescent="0.25">
      <c r="E2523" t="str">
        <f>""</f>
        <v/>
      </c>
      <c r="F2523" t="str">
        <f>""</f>
        <v/>
      </c>
      <c r="H2523" t="str">
        <f>"TASC DEPENDENT CARE"</f>
        <v>TASC DEPENDENT CARE</v>
      </c>
    </row>
    <row r="2524" spans="1:8" x14ac:dyDescent="0.25">
      <c r="E2524" t="str">
        <f>""</f>
        <v/>
      </c>
      <c r="F2524" t="str">
        <f>""</f>
        <v/>
      </c>
      <c r="H2524" t="str">
        <f>"TASC DEPENDENT CARE"</f>
        <v>TASC DEPENDENT CARE</v>
      </c>
    </row>
    <row r="2525" spans="1:8" x14ac:dyDescent="0.25">
      <c r="E2525" t="str">
        <f>"FSF201812255984"</f>
        <v>FSF201812255984</v>
      </c>
      <c r="F2525" t="str">
        <f>"TASC - FSA  FEES"</f>
        <v>TASC - FSA  FEES</v>
      </c>
      <c r="G2525" s="3">
        <v>271.8</v>
      </c>
      <c r="H2525" t="str">
        <f t="shared" ref="H2525:H2563" si="51">"TASC - FSA  FEES"</f>
        <v>TASC - FSA  FEES</v>
      </c>
    </row>
    <row r="2526" spans="1:8" x14ac:dyDescent="0.25">
      <c r="E2526" t="str">
        <f>""</f>
        <v/>
      </c>
      <c r="F2526" t="str">
        <f>""</f>
        <v/>
      </c>
      <c r="H2526" t="str">
        <f t="shared" si="51"/>
        <v>TASC - FSA  FEES</v>
      </c>
    </row>
    <row r="2527" spans="1:8" x14ac:dyDescent="0.25">
      <c r="E2527" t="str">
        <f>""</f>
        <v/>
      </c>
      <c r="F2527" t="str">
        <f>""</f>
        <v/>
      </c>
      <c r="H2527" t="str">
        <f t="shared" si="51"/>
        <v>TASC - FSA  FEES</v>
      </c>
    </row>
    <row r="2528" spans="1:8" x14ac:dyDescent="0.25">
      <c r="E2528" t="str">
        <f>""</f>
        <v/>
      </c>
      <c r="F2528" t="str">
        <f>""</f>
        <v/>
      </c>
      <c r="H2528" t="str">
        <f t="shared" si="51"/>
        <v>TASC - FSA  FEES</v>
      </c>
    </row>
    <row r="2529" spans="5:8" x14ac:dyDescent="0.25">
      <c r="E2529" t="str">
        <f>""</f>
        <v/>
      </c>
      <c r="F2529" t="str">
        <f>""</f>
        <v/>
      </c>
      <c r="H2529" t="str">
        <f t="shared" si="51"/>
        <v>TASC - FSA  FEES</v>
      </c>
    </row>
    <row r="2530" spans="5:8" x14ac:dyDescent="0.25">
      <c r="E2530" t="str">
        <f>""</f>
        <v/>
      </c>
      <c r="F2530" t="str">
        <f>""</f>
        <v/>
      </c>
      <c r="H2530" t="str">
        <f t="shared" si="51"/>
        <v>TASC - FSA  FEES</v>
      </c>
    </row>
    <row r="2531" spans="5:8" x14ac:dyDescent="0.25">
      <c r="E2531" t="str">
        <f>""</f>
        <v/>
      </c>
      <c r="F2531" t="str">
        <f>""</f>
        <v/>
      </c>
      <c r="H2531" t="str">
        <f t="shared" si="51"/>
        <v>TASC - FSA  FEES</v>
      </c>
    </row>
    <row r="2532" spans="5:8" x14ac:dyDescent="0.25">
      <c r="E2532" t="str">
        <f>""</f>
        <v/>
      </c>
      <c r="F2532" t="str">
        <f>""</f>
        <v/>
      </c>
      <c r="H2532" t="str">
        <f t="shared" si="51"/>
        <v>TASC - FSA  FEES</v>
      </c>
    </row>
    <row r="2533" spans="5:8" x14ac:dyDescent="0.25">
      <c r="E2533" t="str">
        <f>""</f>
        <v/>
      </c>
      <c r="F2533" t="str">
        <f>""</f>
        <v/>
      </c>
      <c r="H2533" t="str">
        <f t="shared" si="51"/>
        <v>TASC - FSA  FEES</v>
      </c>
    </row>
    <row r="2534" spans="5:8" x14ac:dyDescent="0.25">
      <c r="E2534" t="str">
        <f>""</f>
        <v/>
      </c>
      <c r="F2534" t="str">
        <f>""</f>
        <v/>
      </c>
      <c r="H2534" t="str">
        <f t="shared" si="51"/>
        <v>TASC - FSA  FEES</v>
      </c>
    </row>
    <row r="2535" spans="5:8" x14ac:dyDescent="0.25">
      <c r="E2535" t="str">
        <f>""</f>
        <v/>
      </c>
      <c r="F2535" t="str">
        <f>""</f>
        <v/>
      </c>
      <c r="H2535" t="str">
        <f t="shared" si="51"/>
        <v>TASC - FSA  FEES</v>
      </c>
    </row>
    <row r="2536" spans="5:8" x14ac:dyDescent="0.25">
      <c r="E2536" t="str">
        <f>""</f>
        <v/>
      </c>
      <c r="F2536" t="str">
        <f>""</f>
        <v/>
      </c>
      <c r="H2536" t="str">
        <f t="shared" si="51"/>
        <v>TASC - FSA  FEES</v>
      </c>
    </row>
    <row r="2537" spans="5:8" x14ac:dyDescent="0.25">
      <c r="E2537" t="str">
        <f>""</f>
        <v/>
      </c>
      <c r="F2537" t="str">
        <f>""</f>
        <v/>
      </c>
      <c r="H2537" t="str">
        <f t="shared" si="51"/>
        <v>TASC - FSA  FEES</v>
      </c>
    </row>
    <row r="2538" spans="5:8" x14ac:dyDescent="0.25">
      <c r="E2538" t="str">
        <f>""</f>
        <v/>
      </c>
      <c r="F2538" t="str">
        <f>""</f>
        <v/>
      </c>
      <c r="H2538" t="str">
        <f t="shared" si="51"/>
        <v>TASC - FSA  FEES</v>
      </c>
    </row>
    <row r="2539" spans="5:8" x14ac:dyDescent="0.25">
      <c r="E2539" t="str">
        <f>""</f>
        <v/>
      </c>
      <c r="F2539" t="str">
        <f>""</f>
        <v/>
      </c>
      <c r="H2539" t="str">
        <f t="shared" si="51"/>
        <v>TASC - FSA  FEES</v>
      </c>
    </row>
    <row r="2540" spans="5:8" x14ac:dyDescent="0.25">
      <c r="E2540" t="str">
        <f>""</f>
        <v/>
      </c>
      <c r="F2540" t="str">
        <f>""</f>
        <v/>
      </c>
      <c r="H2540" t="str">
        <f t="shared" si="51"/>
        <v>TASC - FSA  FEES</v>
      </c>
    </row>
    <row r="2541" spans="5:8" x14ac:dyDescent="0.25">
      <c r="E2541" t="str">
        <f>""</f>
        <v/>
      </c>
      <c r="F2541" t="str">
        <f>""</f>
        <v/>
      </c>
      <c r="H2541" t="str">
        <f t="shared" si="51"/>
        <v>TASC - FSA  FEES</v>
      </c>
    </row>
    <row r="2542" spans="5:8" x14ac:dyDescent="0.25">
      <c r="E2542" t="str">
        <f>""</f>
        <v/>
      </c>
      <c r="F2542" t="str">
        <f>""</f>
        <v/>
      </c>
      <c r="H2542" t="str">
        <f t="shared" si="51"/>
        <v>TASC - FSA  FEES</v>
      </c>
    </row>
    <row r="2543" spans="5:8" x14ac:dyDescent="0.25">
      <c r="E2543" t="str">
        <f>""</f>
        <v/>
      </c>
      <c r="F2543" t="str">
        <f>""</f>
        <v/>
      </c>
      <c r="H2543" t="str">
        <f t="shared" si="51"/>
        <v>TASC - FSA  FEES</v>
      </c>
    </row>
    <row r="2544" spans="5:8" x14ac:dyDescent="0.25">
      <c r="E2544" t="str">
        <f>""</f>
        <v/>
      </c>
      <c r="F2544" t="str">
        <f>""</f>
        <v/>
      </c>
      <c r="H2544" t="str">
        <f t="shared" si="51"/>
        <v>TASC - FSA  FEES</v>
      </c>
    </row>
    <row r="2545" spans="5:8" x14ac:dyDescent="0.25">
      <c r="E2545" t="str">
        <f>""</f>
        <v/>
      </c>
      <c r="F2545" t="str">
        <f>""</f>
        <v/>
      </c>
      <c r="H2545" t="str">
        <f t="shared" si="51"/>
        <v>TASC - FSA  FEES</v>
      </c>
    </row>
    <row r="2546" spans="5:8" x14ac:dyDescent="0.25">
      <c r="E2546" t="str">
        <f>""</f>
        <v/>
      </c>
      <c r="F2546" t="str">
        <f>""</f>
        <v/>
      </c>
      <c r="H2546" t="str">
        <f t="shared" si="51"/>
        <v>TASC - FSA  FEES</v>
      </c>
    </row>
    <row r="2547" spans="5:8" x14ac:dyDescent="0.25">
      <c r="E2547" t="str">
        <f>""</f>
        <v/>
      </c>
      <c r="F2547" t="str">
        <f>""</f>
        <v/>
      </c>
      <c r="H2547" t="str">
        <f t="shared" si="51"/>
        <v>TASC - FSA  FEES</v>
      </c>
    </row>
    <row r="2548" spans="5:8" x14ac:dyDescent="0.25">
      <c r="E2548" t="str">
        <f>""</f>
        <v/>
      </c>
      <c r="F2548" t="str">
        <f>""</f>
        <v/>
      </c>
      <c r="H2548" t="str">
        <f t="shared" si="51"/>
        <v>TASC - FSA  FEES</v>
      </c>
    </row>
    <row r="2549" spans="5:8" x14ac:dyDescent="0.25">
      <c r="E2549" t="str">
        <f>""</f>
        <v/>
      </c>
      <c r="F2549" t="str">
        <f>""</f>
        <v/>
      </c>
      <c r="H2549" t="str">
        <f t="shared" si="51"/>
        <v>TASC - FSA  FEES</v>
      </c>
    </row>
    <row r="2550" spans="5:8" x14ac:dyDescent="0.25">
      <c r="E2550" t="str">
        <f>""</f>
        <v/>
      </c>
      <c r="F2550" t="str">
        <f>""</f>
        <v/>
      </c>
      <c r="H2550" t="str">
        <f t="shared" si="51"/>
        <v>TASC - FSA  FEES</v>
      </c>
    </row>
    <row r="2551" spans="5:8" x14ac:dyDescent="0.25">
      <c r="E2551" t="str">
        <f>""</f>
        <v/>
      </c>
      <c r="F2551" t="str">
        <f>""</f>
        <v/>
      </c>
      <c r="H2551" t="str">
        <f t="shared" si="51"/>
        <v>TASC - FSA  FEES</v>
      </c>
    </row>
    <row r="2552" spans="5:8" x14ac:dyDescent="0.25">
      <c r="E2552" t="str">
        <f>""</f>
        <v/>
      </c>
      <c r="F2552" t="str">
        <f>""</f>
        <v/>
      </c>
      <c r="H2552" t="str">
        <f t="shared" si="51"/>
        <v>TASC - FSA  FEES</v>
      </c>
    </row>
    <row r="2553" spans="5:8" x14ac:dyDescent="0.25">
      <c r="E2553" t="str">
        <f>""</f>
        <v/>
      </c>
      <c r="F2553" t="str">
        <f>""</f>
        <v/>
      </c>
      <c r="H2553" t="str">
        <f t="shared" si="51"/>
        <v>TASC - FSA  FEES</v>
      </c>
    </row>
    <row r="2554" spans="5:8" x14ac:dyDescent="0.25">
      <c r="E2554" t="str">
        <f>""</f>
        <v/>
      </c>
      <c r="F2554" t="str">
        <f>""</f>
        <v/>
      </c>
      <c r="H2554" t="str">
        <f t="shared" si="51"/>
        <v>TASC - FSA  FEES</v>
      </c>
    </row>
    <row r="2555" spans="5:8" x14ac:dyDescent="0.25">
      <c r="E2555" t="str">
        <f>""</f>
        <v/>
      </c>
      <c r="F2555" t="str">
        <f>""</f>
        <v/>
      </c>
      <c r="H2555" t="str">
        <f t="shared" si="51"/>
        <v>TASC - FSA  FEES</v>
      </c>
    </row>
    <row r="2556" spans="5:8" x14ac:dyDescent="0.25">
      <c r="E2556" t="str">
        <f>""</f>
        <v/>
      </c>
      <c r="F2556" t="str">
        <f>""</f>
        <v/>
      </c>
      <c r="H2556" t="str">
        <f t="shared" si="51"/>
        <v>TASC - FSA  FEES</v>
      </c>
    </row>
    <row r="2557" spans="5:8" x14ac:dyDescent="0.25">
      <c r="E2557" t="str">
        <f>""</f>
        <v/>
      </c>
      <c r="F2557" t="str">
        <f>""</f>
        <v/>
      </c>
      <c r="H2557" t="str">
        <f t="shared" si="51"/>
        <v>TASC - FSA  FEES</v>
      </c>
    </row>
    <row r="2558" spans="5:8" x14ac:dyDescent="0.25">
      <c r="E2558" t="str">
        <f>""</f>
        <v/>
      </c>
      <c r="F2558" t="str">
        <f>""</f>
        <v/>
      </c>
      <c r="H2558" t="str">
        <f t="shared" si="51"/>
        <v>TASC - FSA  FEES</v>
      </c>
    </row>
    <row r="2559" spans="5:8" x14ac:dyDescent="0.25">
      <c r="E2559" t="str">
        <f>""</f>
        <v/>
      </c>
      <c r="F2559" t="str">
        <f>""</f>
        <v/>
      </c>
      <c r="H2559" t="str">
        <f t="shared" si="51"/>
        <v>TASC - FSA  FEES</v>
      </c>
    </row>
    <row r="2560" spans="5:8" x14ac:dyDescent="0.25">
      <c r="E2560" t="str">
        <f>""</f>
        <v/>
      </c>
      <c r="F2560" t="str">
        <f>""</f>
        <v/>
      </c>
      <c r="H2560" t="str">
        <f t="shared" si="51"/>
        <v>TASC - FSA  FEES</v>
      </c>
    </row>
    <row r="2561" spans="5:8" x14ac:dyDescent="0.25">
      <c r="E2561" t="str">
        <f>""</f>
        <v/>
      </c>
      <c r="F2561" t="str">
        <f>""</f>
        <v/>
      </c>
      <c r="H2561" t="str">
        <f t="shared" si="51"/>
        <v>TASC - FSA  FEES</v>
      </c>
    </row>
    <row r="2562" spans="5:8" x14ac:dyDescent="0.25">
      <c r="E2562" t="str">
        <f>""</f>
        <v/>
      </c>
      <c r="F2562" t="str">
        <f>""</f>
        <v/>
      </c>
      <c r="H2562" t="str">
        <f t="shared" si="51"/>
        <v>TASC - FSA  FEES</v>
      </c>
    </row>
    <row r="2563" spans="5:8" x14ac:dyDescent="0.25">
      <c r="E2563" t="str">
        <f>"FSF201812255985"</f>
        <v>FSF201812255985</v>
      </c>
      <c r="F2563" t="str">
        <f>"TASC - FSA  FEES"</f>
        <v>TASC - FSA  FEES</v>
      </c>
      <c r="G2563" s="3">
        <v>12.6</v>
      </c>
      <c r="H2563" t="str">
        <f t="shared" si="51"/>
        <v>TASC - FSA  FEES</v>
      </c>
    </row>
    <row r="2564" spans="5:8" x14ac:dyDescent="0.25">
      <c r="E2564" t="str">
        <f>"HRF201812255984"</f>
        <v>HRF201812255984</v>
      </c>
      <c r="F2564" t="str">
        <f>"TASC - HRA FEES"</f>
        <v>TASC - HRA FEES</v>
      </c>
      <c r="G2564" s="3">
        <v>750.6</v>
      </c>
      <c r="H2564" t="str">
        <f t="shared" ref="H2564:H2595" si="52">"TASC - HRA FEES"</f>
        <v>TASC - HRA FEES</v>
      </c>
    </row>
    <row r="2565" spans="5:8" x14ac:dyDescent="0.25">
      <c r="E2565" t="str">
        <f>""</f>
        <v/>
      </c>
      <c r="F2565" t="str">
        <f>""</f>
        <v/>
      </c>
      <c r="H2565" t="str">
        <f t="shared" si="52"/>
        <v>TASC - HRA FEES</v>
      </c>
    </row>
    <row r="2566" spans="5:8" x14ac:dyDescent="0.25">
      <c r="E2566" t="str">
        <f>""</f>
        <v/>
      </c>
      <c r="F2566" t="str">
        <f>""</f>
        <v/>
      </c>
      <c r="H2566" t="str">
        <f t="shared" si="52"/>
        <v>TASC - HRA FEES</v>
      </c>
    </row>
    <row r="2567" spans="5:8" x14ac:dyDescent="0.25">
      <c r="E2567" t="str">
        <f>""</f>
        <v/>
      </c>
      <c r="F2567" t="str">
        <f>""</f>
        <v/>
      </c>
      <c r="H2567" t="str">
        <f t="shared" si="52"/>
        <v>TASC - HRA FEES</v>
      </c>
    </row>
    <row r="2568" spans="5:8" x14ac:dyDescent="0.25">
      <c r="E2568" t="str">
        <f>""</f>
        <v/>
      </c>
      <c r="F2568" t="str">
        <f>""</f>
        <v/>
      </c>
      <c r="H2568" t="str">
        <f t="shared" si="52"/>
        <v>TASC - HRA FEES</v>
      </c>
    </row>
    <row r="2569" spans="5:8" x14ac:dyDescent="0.25">
      <c r="E2569" t="str">
        <f>""</f>
        <v/>
      </c>
      <c r="F2569" t="str">
        <f>""</f>
        <v/>
      </c>
      <c r="H2569" t="str">
        <f t="shared" si="52"/>
        <v>TASC - HRA FEES</v>
      </c>
    </row>
    <row r="2570" spans="5:8" x14ac:dyDescent="0.25">
      <c r="E2570" t="str">
        <f>""</f>
        <v/>
      </c>
      <c r="F2570" t="str">
        <f>""</f>
        <v/>
      </c>
      <c r="H2570" t="str">
        <f t="shared" si="52"/>
        <v>TASC - HRA FEES</v>
      </c>
    </row>
    <row r="2571" spans="5:8" x14ac:dyDescent="0.25">
      <c r="E2571" t="str">
        <f>""</f>
        <v/>
      </c>
      <c r="F2571" t="str">
        <f>""</f>
        <v/>
      </c>
      <c r="H2571" t="str">
        <f t="shared" si="52"/>
        <v>TASC - HRA FEES</v>
      </c>
    </row>
    <row r="2572" spans="5:8" x14ac:dyDescent="0.25">
      <c r="E2572" t="str">
        <f>""</f>
        <v/>
      </c>
      <c r="F2572" t="str">
        <f>""</f>
        <v/>
      </c>
      <c r="H2572" t="str">
        <f t="shared" si="52"/>
        <v>TASC - HRA FEES</v>
      </c>
    </row>
    <row r="2573" spans="5:8" x14ac:dyDescent="0.25">
      <c r="E2573" t="str">
        <f>""</f>
        <v/>
      </c>
      <c r="F2573" t="str">
        <f>""</f>
        <v/>
      </c>
      <c r="H2573" t="str">
        <f t="shared" si="52"/>
        <v>TASC - HRA FEES</v>
      </c>
    </row>
    <row r="2574" spans="5:8" x14ac:dyDescent="0.25">
      <c r="E2574" t="str">
        <f>""</f>
        <v/>
      </c>
      <c r="F2574" t="str">
        <f>""</f>
        <v/>
      </c>
      <c r="H2574" t="str">
        <f t="shared" si="52"/>
        <v>TASC - HRA FEES</v>
      </c>
    </row>
    <row r="2575" spans="5:8" x14ac:dyDescent="0.25">
      <c r="E2575" t="str">
        <f>""</f>
        <v/>
      </c>
      <c r="F2575" t="str">
        <f>""</f>
        <v/>
      </c>
      <c r="H2575" t="str">
        <f t="shared" si="52"/>
        <v>TASC - HRA FEES</v>
      </c>
    </row>
    <row r="2576" spans="5:8" x14ac:dyDescent="0.25">
      <c r="E2576" t="str">
        <f>""</f>
        <v/>
      </c>
      <c r="F2576" t="str">
        <f>""</f>
        <v/>
      </c>
      <c r="H2576" t="str">
        <f t="shared" si="52"/>
        <v>TASC - HRA FEES</v>
      </c>
    </row>
    <row r="2577" spans="5:8" x14ac:dyDescent="0.25">
      <c r="E2577" t="str">
        <f>""</f>
        <v/>
      </c>
      <c r="F2577" t="str">
        <f>""</f>
        <v/>
      </c>
      <c r="H2577" t="str">
        <f t="shared" si="52"/>
        <v>TASC - HRA FEES</v>
      </c>
    </row>
    <row r="2578" spans="5:8" x14ac:dyDescent="0.25">
      <c r="E2578" t="str">
        <f>""</f>
        <v/>
      </c>
      <c r="F2578" t="str">
        <f>""</f>
        <v/>
      </c>
      <c r="H2578" t="str">
        <f t="shared" si="52"/>
        <v>TASC - HRA FEES</v>
      </c>
    </row>
    <row r="2579" spans="5:8" x14ac:dyDescent="0.25">
      <c r="E2579" t="str">
        <f>""</f>
        <v/>
      </c>
      <c r="F2579" t="str">
        <f>""</f>
        <v/>
      </c>
      <c r="H2579" t="str">
        <f t="shared" si="52"/>
        <v>TASC - HRA FEES</v>
      </c>
    </row>
    <row r="2580" spans="5:8" x14ac:dyDescent="0.25">
      <c r="E2580" t="str">
        <f>""</f>
        <v/>
      </c>
      <c r="F2580" t="str">
        <f>""</f>
        <v/>
      </c>
      <c r="H2580" t="str">
        <f t="shared" si="52"/>
        <v>TASC - HRA FEES</v>
      </c>
    </row>
    <row r="2581" spans="5:8" x14ac:dyDescent="0.25">
      <c r="E2581" t="str">
        <f>""</f>
        <v/>
      </c>
      <c r="F2581" t="str">
        <f>""</f>
        <v/>
      </c>
      <c r="H2581" t="str">
        <f t="shared" si="52"/>
        <v>TASC - HRA FEES</v>
      </c>
    </row>
    <row r="2582" spans="5:8" x14ac:dyDescent="0.25">
      <c r="E2582" t="str">
        <f>""</f>
        <v/>
      </c>
      <c r="F2582" t="str">
        <f>""</f>
        <v/>
      </c>
      <c r="H2582" t="str">
        <f t="shared" si="52"/>
        <v>TASC - HRA FEES</v>
      </c>
    </row>
    <row r="2583" spans="5:8" x14ac:dyDescent="0.25">
      <c r="E2583" t="str">
        <f>""</f>
        <v/>
      </c>
      <c r="F2583" t="str">
        <f>""</f>
        <v/>
      </c>
      <c r="H2583" t="str">
        <f t="shared" si="52"/>
        <v>TASC - HRA FEES</v>
      </c>
    </row>
    <row r="2584" spans="5:8" x14ac:dyDescent="0.25">
      <c r="E2584" t="str">
        <f>""</f>
        <v/>
      </c>
      <c r="F2584" t="str">
        <f>""</f>
        <v/>
      </c>
      <c r="H2584" t="str">
        <f t="shared" si="52"/>
        <v>TASC - HRA FEES</v>
      </c>
    </row>
    <row r="2585" spans="5:8" x14ac:dyDescent="0.25">
      <c r="E2585" t="str">
        <f>""</f>
        <v/>
      </c>
      <c r="F2585" t="str">
        <f>""</f>
        <v/>
      </c>
      <c r="H2585" t="str">
        <f t="shared" si="52"/>
        <v>TASC - HRA FEES</v>
      </c>
    </row>
    <row r="2586" spans="5:8" x14ac:dyDescent="0.25">
      <c r="E2586" t="str">
        <f>""</f>
        <v/>
      </c>
      <c r="F2586" t="str">
        <f>""</f>
        <v/>
      </c>
      <c r="H2586" t="str">
        <f t="shared" si="52"/>
        <v>TASC - HRA FEES</v>
      </c>
    </row>
    <row r="2587" spans="5:8" x14ac:dyDescent="0.25">
      <c r="E2587" t="str">
        <f>""</f>
        <v/>
      </c>
      <c r="F2587" t="str">
        <f>""</f>
        <v/>
      </c>
      <c r="H2587" t="str">
        <f t="shared" si="52"/>
        <v>TASC - HRA FEES</v>
      </c>
    </row>
    <row r="2588" spans="5:8" x14ac:dyDescent="0.25">
      <c r="E2588" t="str">
        <f>""</f>
        <v/>
      </c>
      <c r="F2588" t="str">
        <f>""</f>
        <v/>
      </c>
      <c r="H2588" t="str">
        <f t="shared" si="52"/>
        <v>TASC - HRA FEES</v>
      </c>
    </row>
    <row r="2589" spans="5:8" x14ac:dyDescent="0.25">
      <c r="E2589" t="str">
        <f>""</f>
        <v/>
      </c>
      <c r="F2589" t="str">
        <f>""</f>
        <v/>
      </c>
      <c r="H2589" t="str">
        <f t="shared" si="52"/>
        <v>TASC - HRA FEES</v>
      </c>
    </row>
    <row r="2590" spans="5:8" x14ac:dyDescent="0.25">
      <c r="E2590" t="str">
        <f>""</f>
        <v/>
      </c>
      <c r="F2590" t="str">
        <f>""</f>
        <v/>
      </c>
      <c r="H2590" t="str">
        <f t="shared" si="52"/>
        <v>TASC - HRA FEES</v>
      </c>
    </row>
    <row r="2591" spans="5:8" x14ac:dyDescent="0.25">
      <c r="E2591" t="str">
        <f>""</f>
        <v/>
      </c>
      <c r="F2591" t="str">
        <f>""</f>
        <v/>
      </c>
      <c r="H2591" t="str">
        <f t="shared" si="52"/>
        <v>TASC - HRA FEES</v>
      </c>
    </row>
    <row r="2592" spans="5:8" x14ac:dyDescent="0.25">
      <c r="E2592" t="str">
        <f>""</f>
        <v/>
      </c>
      <c r="F2592" t="str">
        <f>""</f>
        <v/>
      </c>
      <c r="H2592" t="str">
        <f t="shared" si="52"/>
        <v>TASC - HRA FEES</v>
      </c>
    </row>
    <row r="2593" spans="5:8" x14ac:dyDescent="0.25">
      <c r="E2593" t="str">
        <f>""</f>
        <v/>
      </c>
      <c r="F2593" t="str">
        <f>""</f>
        <v/>
      </c>
      <c r="H2593" t="str">
        <f t="shared" si="52"/>
        <v>TASC - HRA FEES</v>
      </c>
    </row>
    <row r="2594" spans="5:8" x14ac:dyDescent="0.25">
      <c r="E2594" t="str">
        <f>""</f>
        <v/>
      </c>
      <c r="F2594" t="str">
        <f>""</f>
        <v/>
      </c>
      <c r="H2594" t="str">
        <f t="shared" si="52"/>
        <v>TASC - HRA FEES</v>
      </c>
    </row>
    <row r="2595" spans="5:8" x14ac:dyDescent="0.25">
      <c r="E2595" t="str">
        <f>""</f>
        <v/>
      </c>
      <c r="F2595" t="str">
        <f>""</f>
        <v/>
      </c>
      <c r="H2595" t="str">
        <f t="shared" si="52"/>
        <v>TASC - HRA FEES</v>
      </c>
    </row>
    <row r="2596" spans="5:8" x14ac:dyDescent="0.25">
      <c r="E2596" t="str">
        <f>""</f>
        <v/>
      </c>
      <c r="F2596" t="str">
        <f>""</f>
        <v/>
      </c>
      <c r="H2596" t="str">
        <f t="shared" ref="H2596:H2615" si="53">"TASC - HRA FEES"</f>
        <v>TASC - HRA FEES</v>
      </c>
    </row>
    <row r="2597" spans="5:8" x14ac:dyDescent="0.25">
      <c r="E2597" t="str">
        <f>""</f>
        <v/>
      </c>
      <c r="F2597" t="str">
        <f>""</f>
        <v/>
      </c>
      <c r="H2597" t="str">
        <f t="shared" si="53"/>
        <v>TASC - HRA FEES</v>
      </c>
    </row>
    <row r="2598" spans="5:8" x14ac:dyDescent="0.25">
      <c r="E2598" t="str">
        <f>""</f>
        <v/>
      </c>
      <c r="F2598" t="str">
        <f>""</f>
        <v/>
      </c>
      <c r="H2598" t="str">
        <f t="shared" si="53"/>
        <v>TASC - HRA FEES</v>
      </c>
    </row>
    <row r="2599" spans="5:8" x14ac:dyDescent="0.25">
      <c r="E2599" t="str">
        <f>""</f>
        <v/>
      </c>
      <c r="F2599" t="str">
        <f>""</f>
        <v/>
      </c>
      <c r="H2599" t="str">
        <f t="shared" si="53"/>
        <v>TASC - HRA FEES</v>
      </c>
    </row>
    <row r="2600" spans="5:8" x14ac:dyDescent="0.25">
      <c r="E2600" t="str">
        <f>""</f>
        <v/>
      </c>
      <c r="F2600" t="str">
        <f>""</f>
        <v/>
      </c>
      <c r="H2600" t="str">
        <f t="shared" si="53"/>
        <v>TASC - HRA FEES</v>
      </c>
    </row>
    <row r="2601" spans="5:8" x14ac:dyDescent="0.25">
      <c r="E2601" t="str">
        <f>""</f>
        <v/>
      </c>
      <c r="F2601" t="str">
        <f>""</f>
        <v/>
      </c>
      <c r="H2601" t="str">
        <f t="shared" si="53"/>
        <v>TASC - HRA FEES</v>
      </c>
    </row>
    <row r="2602" spans="5:8" x14ac:dyDescent="0.25">
      <c r="E2602" t="str">
        <f>""</f>
        <v/>
      </c>
      <c r="F2602" t="str">
        <f>""</f>
        <v/>
      </c>
      <c r="H2602" t="str">
        <f t="shared" si="53"/>
        <v>TASC - HRA FEES</v>
      </c>
    </row>
    <row r="2603" spans="5:8" x14ac:dyDescent="0.25">
      <c r="E2603" t="str">
        <f>""</f>
        <v/>
      </c>
      <c r="F2603" t="str">
        <f>""</f>
        <v/>
      </c>
      <c r="H2603" t="str">
        <f t="shared" si="53"/>
        <v>TASC - HRA FEES</v>
      </c>
    </row>
    <row r="2604" spans="5:8" x14ac:dyDescent="0.25">
      <c r="E2604" t="str">
        <f>""</f>
        <v/>
      </c>
      <c r="F2604" t="str">
        <f>""</f>
        <v/>
      </c>
      <c r="H2604" t="str">
        <f t="shared" si="53"/>
        <v>TASC - HRA FEES</v>
      </c>
    </row>
    <row r="2605" spans="5:8" x14ac:dyDescent="0.25">
      <c r="E2605" t="str">
        <f>""</f>
        <v/>
      </c>
      <c r="F2605" t="str">
        <f>""</f>
        <v/>
      </c>
      <c r="H2605" t="str">
        <f t="shared" si="53"/>
        <v>TASC - HRA FEES</v>
      </c>
    </row>
    <row r="2606" spans="5:8" x14ac:dyDescent="0.25">
      <c r="E2606" t="str">
        <f>""</f>
        <v/>
      </c>
      <c r="F2606" t="str">
        <f>""</f>
        <v/>
      </c>
      <c r="H2606" t="str">
        <f t="shared" si="53"/>
        <v>TASC - HRA FEES</v>
      </c>
    </row>
    <row r="2607" spans="5:8" x14ac:dyDescent="0.25">
      <c r="E2607" t="str">
        <f>""</f>
        <v/>
      </c>
      <c r="F2607" t="str">
        <f>""</f>
        <v/>
      </c>
      <c r="H2607" t="str">
        <f t="shared" si="53"/>
        <v>TASC - HRA FEES</v>
      </c>
    </row>
    <row r="2608" spans="5:8" x14ac:dyDescent="0.25">
      <c r="E2608" t="str">
        <f>""</f>
        <v/>
      </c>
      <c r="F2608" t="str">
        <f>""</f>
        <v/>
      </c>
      <c r="H2608" t="str">
        <f t="shared" si="53"/>
        <v>TASC - HRA FEES</v>
      </c>
    </row>
    <row r="2609" spans="1:8" x14ac:dyDescent="0.25">
      <c r="E2609" t="str">
        <f>""</f>
        <v/>
      </c>
      <c r="F2609" t="str">
        <f>""</f>
        <v/>
      </c>
      <c r="H2609" t="str">
        <f t="shared" si="53"/>
        <v>TASC - HRA FEES</v>
      </c>
    </row>
    <row r="2610" spans="1:8" x14ac:dyDescent="0.25">
      <c r="E2610" t="str">
        <f>""</f>
        <v/>
      </c>
      <c r="F2610" t="str">
        <f>""</f>
        <v/>
      </c>
      <c r="H2610" t="str">
        <f t="shared" si="53"/>
        <v>TASC - HRA FEES</v>
      </c>
    </row>
    <row r="2611" spans="1:8" x14ac:dyDescent="0.25">
      <c r="E2611" t="str">
        <f>""</f>
        <v/>
      </c>
      <c r="F2611" t="str">
        <f>""</f>
        <v/>
      </c>
      <c r="H2611" t="str">
        <f t="shared" si="53"/>
        <v>TASC - HRA FEES</v>
      </c>
    </row>
    <row r="2612" spans="1:8" x14ac:dyDescent="0.25">
      <c r="E2612" t="str">
        <f>""</f>
        <v/>
      </c>
      <c r="F2612" t="str">
        <f>""</f>
        <v/>
      </c>
      <c r="H2612" t="str">
        <f t="shared" si="53"/>
        <v>TASC - HRA FEES</v>
      </c>
    </row>
    <row r="2613" spans="1:8" x14ac:dyDescent="0.25">
      <c r="E2613" t="str">
        <f>"HRF201812255985"</f>
        <v>HRF201812255985</v>
      </c>
      <c r="F2613" t="str">
        <f>"TASC - HRA FEES"</f>
        <v>TASC - HRA FEES</v>
      </c>
      <c r="G2613" s="3">
        <v>28.8</v>
      </c>
      <c r="H2613" t="str">
        <f t="shared" si="53"/>
        <v>TASC - HRA FEES</v>
      </c>
    </row>
    <row r="2614" spans="1:8" x14ac:dyDescent="0.25">
      <c r="A2614" t="s">
        <v>500</v>
      </c>
      <c r="B2614">
        <v>37</v>
      </c>
      <c r="C2614" s="2">
        <v>0</v>
      </c>
      <c r="D2614" s="1">
        <v>43465</v>
      </c>
      <c r="E2614" t="str">
        <f>"HRF201901106514"</f>
        <v>HRF201901106514</v>
      </c>
      <c r="F2614" t="str">
        <f>"TASC - HRA FEES"</f>
        <v>TASC - HRA FEES</v>
      </c>
      <c r="G2614" s="3">
        <v>-1.8</v>
      </c>
      <c r="H2614" t="str">
        <f t="shared" si="53"/>
        <v>TASC - HRA FEES</v>
      </c>
    </row>
    <row r="2615" spans="1:8" x14ac:dyDescent="0.25">
      <c r="E2615" t="str">
        <f>"HRF201901106515"</f>
        <v>HRF201901106515</v>
      </c>
      <c r="F2615" t="str">
        <f>"TASC - HRA FEES"</f>
        <v>TASC - HRA FEES</v>
      </c>
      <c r="G2615" s="3">
        <v>1.8</v>
      </c>
      <c r="H2615" t="str">
        <f t="shared" si="53"/>
        <v>TASC - HRA FEES</v>
      </c>
    </row>
    <row r="2616" spans="1:8" x14ac:dyDescent="0.25">
      <c r="A2616" t="s">
        <v>501</v>
      </c>
      <c r="B2616">
        <v>13</v>
      </c>
      <c r="C2616" s="2">
        <v>3963.71</v>
      </c>
      <c r="D2616" s="1">
        <v>43448</v>
      </c>
      <c r="E2616" t="str">
        <f>"C18201812125723"</f>
        <v>C18201812125723</v>
      </c>
      <c r="F2616" t="str">
        <f>"CAUSE# 0011635329"</f>
        <v>CAUSE# 0011635329</v>
      </c>
      <c r="G2616" s="3">
        <v>603.23</v>
      </c>
      <c r="H2616" t="str">
        <f>"CAUSE# 0011635329"</f>
        <v>CAUSE# 0011635329</v>
      </c>
    </row>
    <row r="2617" spans="1:8" x14ac:dyDescent="0.25">
      <c r="E2617" t="str">
        <f>"C2 201812125723"</f>
        <v>C2 201812125723</v>
      </c>
      <c r="F2617" t="str">
        <f>"0012982132CCL7445"</f>
        <v>0012982132CCL7445</v>
      </c>
      <c r="G2617" s="3">
        <v>692.31</v>
      </c>
      <c r="H2617" t="str">
        <f>"0012982132CCL7445"</f>
        <v>0012982132CCL7445</v>
      </c>
    </row>
    <row r="2618" spans="1:8" x14ac:dyDescent="0.25">
      <c r="E2618" t="str">
        <f>"C20201812125722"</f>
        <v>C20201812125722</v>
      </c>
      <c r="F2618" t="str">
        <f>"001003981107-12252"</f>
        <v>001003981107-12252</v>
      </c>
      <c r="G2618" s="3">
        <v>115.39</v>
      </c>
      <c r="H2618" t="str">
        <f>"001003981107-12252"</f>
        <v>001003981107-12252</v>
      </c>
    </row>
    <row r="2619" spans="1:8" x14ac:dyDescent="0.25">
      <c r="E2619" t="str">
        <f>"C42201812125722"</f>
        <v>C42201812125722</v>
      </c>
      <c r="F2619" t="str">
        <f>"001236769211-14410"</f>
        <v>001236769211-14410</v>
      </c>
      <c r="G2619" s="3">
        <v>230.31</v>
      </c>
      <c r="H2619" t="str">
        <f>"001236769211-14410"</f>
        <v>001236769211-14410</v>
      </c>
    </row>
    <row r="2620" spans="1:8" x14ac:dyDescent="0.25">
      <c r="E2620" t="str">
        <f>"C46201812125722"</f>
        <v>C46201812125722</v>
      </c>
      <c r="F2620" t="str">
        <f>"CAUSE# 11-14911"</f>
        <v>CAUSE# 11-14911</v>
      </c>
      <c r="G2620" s="3">
        <v>238.62</v>
      </c>
      <c r="H2620" t="str">
        <f>"CAUSE# 11-14911"</f>
        <v>CAUSE# 11-14911</v>
      </c>
    </row>
    <row r="2621" spans="1:8" x14ac:dyDescent="0.25">
      <c r="E2621" t="str">
        <f>"C53201812125722"</f>
        <v>C53201812125722</v>
      </c>
      <c r="F2621" t="str">
        <f>"0012453366"</f>
        <v>0012453366</v>
      </c>
      <c r="G2621" s="3">
        <v>138.46</v>
      </c>
      <c r="H2621" t="str">
        <f>"0012453366"</f>
        <v>0012453366</v>
      </c>
    </row>
    <row r="2622" spans="1:8" x14ac:dyDescent="0.25">
      <c r="E2622" t="str">
        <f>"C60201812125722"</f>
        <v>C60201812125722</v>
      </c>
      <c r="F2622" t="str">
        <f>"00130730762012V300"</f>
        <v>00130730762012V300</v>
      </c>
      <c r="G2622" s="3">
        <v>399.32</v>
      </c>
      <c r="H2622" t="str">
        <f>"00130730762012V300"</f>
        <v>00130730762012V300</v>
      </c>
    </row>
    <row r="2623" spans="1:8" x14ac:dyDescent="0.25">
      <c r="E2623" t="str">
        <f>"C62201812125722"</f>
        <v>C62201812125722</v>
      </c>
      <c r="F2623" t="str">
        <f>"# 0012128865"</f>
        <v># 0012128865</v>
      </c>
      <c r="G2623" s="3">
        <v>243.23</v>
      </c>
      <c r="H2623" t="str">
        <f>"# 0012128865"</f>
        <v># 0012128865</v>
      </c>
    </row>
    <row r="2624" spans="1:8" x14ac:dyDescent="0.25">
      <c r="E2624" t="str">
        <f>"C66201812125722"</f>
        <v>C66201812125722</v>
      </c>
      <c r="F2624" t="str">
        <f>"# 0012871801"</f>
        <v># 0012871801</v>
      </c>
      <c r="G2624" s="3">
        <v>90</v>
      </c>
      <c r="H2624" t="str">
        <f>"# 0012871801"</f>
        <v># 0012871801</v>
      </c>
    </row>
    <row r="2625" spans="1:8" x14ac:dyDescent="0.25">
      <c r="E2625" t="str">
        <f>"C66201812125727"</f>
        <v>C66201812125727</v>
      </c>
      <c r="F2625" t="str">
        <f>"CAUSE#D1FM13007058"</f>
        <v>CAUSE#D1FM13007058</v>
      </c>
      <c r="G2625" s="3">
        <v>138.46</v>
      </c>
      <c r="H2625" t="str">
        <f>"CAUSE#D1FM13007058"</f>
        <v>CAUSE#D1FM13007058</v>
      </c>
    </row>
    <row r="2626" spans="1:8" x14ac:dyDescent="0.25">
      <c r="E2626" t="str">
        <f>"C69201812125722"</f>
        <v>C69201812125722</v>
      </c>
      <c r="F2626" t="str">
        <f>"0012046911423672"</f>
        <v>0012046911423672</v>
      </c>
      <c r="G2626" s="3">
        <v>187.38</v>
      </c>
      <c r="H2626" t="str">
        <f>"0012046911423672"</f>
        <v>0012046911423672</v>
      </c>
    </row>
    <row r="2627" spans="1:8" x14ac:dyDescent="0.25">
      <c r="E2627" t="str">
        <f>"C70201812125722"</f>
        <v>C70201812125722</v>
      </c>
      <c r="F2627" t="str">
        <f>"00136881334235026"</f>
        <v>00136881334235026</v>
      </c>
      <c r="G2627" s="3">
        <v>257.45999999999998</v>
      </c>
      <c r="H2627" t="str">
        <f>"00136881334235026"</f>
        <v>00136881334235026</v>
      </c>
    </row>
    <row r="2628" spans="1:8" x14ac:dyDescent="0.25">
      <c r="E2628" t="str">
        <f>"C71201812125722"</f>
        <v>C71201812125722</v>
      </c>
      <c r="F2628" t="str">
        <f>"00137390532018V215"</f>
        <v>00137390532018V215</v>
      </c>
      <c r="G2628" s="3">
        <v>276.92</v>
      </c>
      <c r="H2628" t="str">
        <f>"00137390532018V215"</f>
        <v>00137390532018V215</v>
      </c>
    </row>
    <row r="2629" spans="1:8" x14ac:dyDescent="0.25">
      <c r="E2629" t="str">
        <f>"C72201812125722"</f>
        <v>C72201812125722</v>
      </c>
      <c r="F2629" t="str">
        <f>"0012797601C20130529B"</f>
        <v>0012797601C20130529B</v>
      </c>
      <c r="G2629" s="3">
        <v>241.85</v>
      </c>
      <c r="H2629" t="str">
        <f>"0012797601C20130529B"</f>
        <v>0012797601C20130529B</v>
      </c>
    </row>
    <row r="2630" spans="1:8" x14ac:dyDescent="0.25">
      <c r="E2630" t="str">
        <f>"C75201812125722"</f>
        <v>C75201812125722</v>
      </c>
      <c r="F2630" t="str">
        <f>"0011203766D1AG060016"</f>
        <v>0011203766D1AG060016</v>
      </c>
      <c r="G2630" s="3">
        <v>6.92</v>
      </c>
      <c r="H2630" t="str">
        <f>"0011203766D1AG060016"</f>
        <v>0011203766D1AG060016</v>
      </c>
    </row>
    <row r="2631" spans="1:8" x14ac:dyDescent="0.25">
      <c r="E2631" t="str">
        <f>"C76201812125722"</f>
        <v>C76201812125722</v>
      </c>
      <c r="F2631" t="str">
        <f>"00126801111316135"</f>
        <v>00126801111316135</v>
      </c>
      <c r="G2631" s="3">
        <v>103.85</v>
      </c>
      <c r="H2631" t="str">
        <f>"00126801111316135"</f>
        <v>00126801111316135</v>
      </c>
    </row>
    <row r="2632" spans="1:8" x14ac:dyDescent="0.25">
      <c r="A2632" t="s">
        <v>501</v>
      </c>
      <c r="B2632">
        <v>20</v>
      </c>
      <c r="C2632" s="2">
        <v>3963.71</v>
      </c>
      <c r="D2632" s="1">
        <v>43462</v>
      </c>
      <c r="E2632" t="str">
        <f>"C18201812255985"</f>
        <v>C18201812255985</v>
      </c>
      <c r="F2632" t="str">
        <f>"CAUSE# 0011635329"</f>
        <v>CAUSE# 0011635329</v>
      </c>
      <c r="G2632" s="3">
        <v>603.23</v>
      </c>
      <c r="H2632" t="str">
        <f>"CAUSE# 0011635329"</f>
        <v>CAUSE# 0011635329</v>
      </c>
    </row>
    <row r="2633" spans="1:8" x14ac:dyDescent="0.25">
      <c r="E2633" t="str">
        <f>"C2 201812255985"</f>
        <v>C2 201812255985</v>
      </c>
      <c r="F2633" t="str">
        <f>"0012982132CCL7445"</f>
        <v>0012982132CCL7445</v>
      </c>
      <c r="G2633" s="3">
        <v>692.31</v>
      </c>
      <c r="H2633" t="str">
        <f>"0012982132CCL7445"</f>
        <v>0012982132CCL7445</v>
      </c>
    </row>
    <row r="2634" spans="1:8" x14ac:dyDescent="0.25">
      <c r="E2634" t="str">
        <f>"C20201812255984"</f>
        <v>C20201812255984</v>
      </c>
      <c r="F2634" t="str">
        <f>"001003981107-12252"</f>
        <v>001003981107-12252</v>
      </c>
      <c r="G2634" s="3">
        <v>115.39</v>
      </c>
      <c r="H2634" t="str">
        <f>"001003981107-12252"</f>
        <v>001003981107-12252</v>
      </c>
    </row>
    <row r="2635" spans="1:8" x14ac:dyDescent="0.25">
      <c r="E2635" t="str">
        <f>"C42201812255984"</f>
        <v>C42201812255984</v>
      </c>
      <c r="F2635" t="str">
        <f>"001236769211-14410"</f>
        <v>001236769211-14410</v>
      </c>
      <c r="G2635" s="3">
        <v>230.31</v>
      </c>
      <c r="H2635" t="str">
        <f>"001236769211-14410"</f>
        <v>001236769211-14410</v>
      </c>
    </row>
    <row r="2636" spans="1:8" x14ac:dyDescent="0.25">
      <c r="E2636" t="str">
        <f>"C46201812255984"</f>
        <v>C46201812255984</v>
      </c>
      <c r="F2636" t="str">
        <f>"CAUSE# 11-14911"</f>
        <v>CAUSE# 11-14911</v>
      </c>
      <c r="G2636" s="3">
        <v>238.62</v>
      </c>
      <c r="H2636" t="str">
        <f>"CAUSE# 11-14911"</f>
        <v>CAUSE# 11-14911</v>
      </c>
    </row>
    <row r="2637" spans="1:8" x14ac:dyDescent="0.25">
      <c r="E2637" t="str">
        <f>"C53201812255984"</f>
        <v>C53201812255984</v>
      </c>
      <c r="F2637" t="str">
        <f>"0012453366"</f>
        <v>0012453366</v>
      </c>
      <c r="G2637" s="3">
        <v>138.46</v>
      </c>
      <c r="H2637" t="str">
        <f>"0012453366"</f>
        <v>0012453366</v>
      </c>
    </row>
    <row r="2638" spans="1:8" x14ac:dyDescent="0.25">
      <c r="E2638" t="str">
        <f>"C60201812255984"</f>
        <v>C60201812255984</v>
      </c>
      <c r="F2638" t="str">
        <f>"00130730762012V300"</f>
        <v>00130730762012V300</v>
      </c>
      <c r="G2638" s="3">
        <v>399.32</v>
      </c>
      <c r="H2638" t="str">
        <f>"00130730762012V300"</f>
        <v>00130730762012V300</v>
      </c>
    </row>
    <row r="2639" spans="1:8" x14ac:dyDescent="0.25">
      <c r="E2639" t="str">
        <f>"C62201812255984"</f>
        <v>C62201812255984</v>
      </c>
      <c r="F2639" t="str">
        <f>"# 0012128865"</f>
        <v># 0012128865</v>
      </c>
      <c r="G2639" s="3">
        <v>243.23</v>
      </c>
      <c r="H2639" t="str">
        <f>"# 0012128865"</f>
        <v># 0012128865</v>
      </c>
    </row>
    <row r="2640" spans="1:8" x14ac:dyDescent="0.25">
      <c r="E2640" t="str">
        <f>"C66201812255984"</f>
        <v>C66201812255984</v>
      </c>
      <c r="F2640" t="str">
        <f>"# 0012871801"</f>
        <v># 0012871801</v>
      </c>
      <c r="G2640" s="3">
        <v>90</v>
      </c>
      <c r="H2640" t="str">
        <f>"# 0012871801"</f>
        <v># 0012871801</v>
      </c>
    </row>
    <row r="2641" spans="1:8" x14ac:dyDescent="0.25">
      <c r="E2641" t="str">
        <f>"C66201812255986"</f>
        <v>C66201812255986</v>
      </c>
      <c r="F2641" t="str">
        <f>"CAUSE#D1FM13007058"</f>
        <v>CAUSE#D1FM13007058</v>
      </c>
      <c r="G2641" s="3">
        <v>138.46</v>
      </c>
      <c r="H2641" t="str">
        <f>"CAUSE#D1FM13007058"</f>
        <v>CAUSE#D1FM13007058</v>
      </c>
    </row>
    <row r="2642" spans="1:8" x14ac:dyDescent="0.25">
      <c r="E2642" t="str">
        <f>"C69201812255984"</f>
        <v>C69201812255984</v>
      </c>
      <c r="F2642" t="str">
        <f>"0012046911423672"</f>
        <v>0012046911423672</v>
      </c>
      <c r="G2642" s="3">
        <v>187.38</v>
      </c>
      <c r="H2642" t="str">
        <f>"0012046911423672"</f>
        <v>0012046911423672</v>
      </c>
    </row>
    <row r="2643" spans="1:8" x14ac:dyDescent="0.25">
      <c r="E2643" t="str">
        <f>"C70201812255984"</f>
        <v>C70201812255984</v>
      </c>
      <c r="F2643" t="str">
        <f>"00136881334235026"</f>
        <v>00136881334235026</v>
      </c>
      <c r="G2643" s="3">
        <v>257.45999999999998</v>
      </c>
      <c r="H2643" t="str">
        <f>"00136881334235026"</f>
        <v>00136881334235026</v>
      </c>
    </row>
    <row r="2644" spans="1:8" x14ac:dyDescent="0.25">
      <c r="E2644" t="str">
        <f>"C71201812255984"</f>
        <v>C71201812255984</v>
      </c>
      <c r="F2644" t="str">
        <f>"00137390532018V215"</f>
        <v>00137390532018V215</v>
      </c>
      <c r="G2644" s="3">
        <v>276.92</v>
      </c>
      <c r="H2644" t="str">
        <f>"00137390532018V215"</f>
        <v>00137390532018V215</v>
      </c>
    </row>
    <row r="2645" spans="1:8" x14ac:dyDescent="0.25">
      <c r="E2645" t="str">
        <f>"C72201812255984"</f>
        <v>C72201812255984</v>
      </c>
      <c r="F2645" t="str">
        <f>"0012797601C20130529B"</f>
        <v>0012797601C20130529B</v>
      </c>
      <c r="G2645" s="3">
        <v>241.85</v>
      </c>
      <c r="H2645" t="str">
        <f>"0012797601C20130529B"</f>
        <v>0012797601C20130529B</v>
      </c>
    </row>
    <row r="2646" spans="1:8" x14ac:dyDescent="0.25">
      <c r="E2646" t="str">
        <f>"C75201812255984"</f>
        <v>C75201812255984</v>
      </c>
      <c r="F2646" t="str">
        <f>"0011203766D1AG060016"</f>
        <v>0011203766D1AG060016</v>
      </c>
      <c r="G2646" s="3">
        <v>6.92</v>
      </c>
      <c r="H2646" t="str">
        <f>"0011203766D1AG060016"</f>
        <v>0011203766D1AG060016</v>
      </c>
    </row>
    <row r="2647" spans="1:8" x14ac:dyDescent="0.25">
      <c r="E2647" t="str">
        <f>"C76201812255984"</f>
        <v>C76201812255984</v>
      </c>
      <c r="F2647" t="str">
        <f>"00126801111316135"</f>
        <v>00126801111316135</v>
      </c>
      <c r="G2647" s="3">
        <v>103.85</v>
      </c>
      <c r="H2647" t="str">
        <f>"00126801111316135"</f>
        <v>00126801111316135</v>
      </c>
    </row>
    <row r="2648" spans="1:8" x14ac:dyDescent="0.25">
      <c r="A2648" t="s">
        <v>502</v>
      </c>
      <c r="B2648">
        <v>22</v>
      </c>
      <c r="C2648" s="2">
        <v>333092.12</v>
      </c>
      <c r="D2648" s="1">
        <v>43462</v>
      </c>
      <c r="E2648" t="str">
        <f>"RET201812125722"</f>
        <v>RET201812125722</v>
      </c>
      <c r="F2648" t="str">
        <f>"TEXAS COUNTY &amp; DISTRICT RET"</f>
        <v>TEXAS COUNTY &amp; DISTRICT RET</v>
      </c>
      <c r="G2648" s="3">
        <v>152171.67000000001</v>
      </c>
      <c r="H2648" t="str">
        <f t="shared" ref="H2648:H2679" si="54">"TEXAS COUNTY &amp; DISTRICT RET"</f>
        <v>TEXAS COUNTY &amp; DISTRICT RET</v>
      </c>
    </row>
    <row r="2649" spans="1:8" x14ac:dyDescent="0.25">
      <c r="E2649" t="str">
        <f>""</f>
        <v/>
      </c>
      <c r="F2649" t="str">
        <f>""</f>
        <v/>
      </c>
      <c r="H2649" t="str">
        <f t="shared" si="54"/>
        <v>TEXAS COUNTY &amp; DISTRICT RET</v>
      </c>
    </row>
    <row r="2650" spans="1:8" x14ac:dyDescent="0.25">
      <c r="E2650" t="str">
        <f>""</f>
        <v/>
      </c>
      <c r="F2650" t="str">
        <f>""</f>
        <v/>
      </c>
      <c r="H2650" t="str">
        <f t="shared" si="54"/>
        <v>TEXAS COUNTY &amp; DISTRICT RET</v>
      </c>
    </row>
    <row r="2651" spans="1:8" x14ac:dyDescent="0.25">
      <c r="E2651" t="str">
        <f>""</f>
        <v/>
      </c>
      <c r="F2651" t="str">
        <f>""</f>
        <v/>
      </c>
      <c r="H2651" t="str">
        <f t="shared" si="54"/>
        <v>TEXAS COUNTY &amp; DISTRICT RET</v>
      </c>
    </row>
    <row r="2652" spans="1:8" x14ac:dyDescent="0.25">
      <c r="E2652" t="str">
        <f>""</f>
        <v/>
      </c>
      <c r="F2652" t="str">
        <f>""</f>
        <v/>
      </c>
      <c r="H2652" t="str">
        <f t="shared" si="54"/>
        <v>TEXAS COUNTY &amp; DISTRICT RET</v>
      </c>
    </row>
    <row r="2653" spans="1:8" x14ac:dyDescent="0.25">
      <c r="E2653" t="str">
        <f>""</f>
        <v/>
      </c>
      <c r="F2653" t="str">
        <f>""</f>
        <v/>
      </c>
      <c r="H2653" t="str">
        <f t="shared" si="54"/>
        <v>TEXAS COUNTY &amp; DISTRICT RET</v>
      </c>
    </row>
    <row r="2654" spans="1:8" x14ac:dyDescent="0.25">
      <c r="E2654" t="str">
        <f>""</f>
        <v/>
      </c>
      <c r="F2654" t="str">
        <f>""</f>
        <v/>
      </c>
      <c r="H2654" t="str">
        <f t="shared" si="54"/>
        <v>TEXAS COUNTY &amp; DISTRICT RET</v>
      </c>
    </row>
    <row r="2655" spans="1:8" x14ac:dyDescent="0.25">
      <c r="E2655" t="str">
        <f>""</f>
        <v/>
      </c>
      <c r="F2655" t="str">
        <f>""</f>
        <v/>
      </c>
      <c r="H2655" t="str">
        <f t="shared" si="54"/>
        <v>TEXAS COUNTY &amp; DISTRICT RET</v>
      </c>
    </row>
    <row r="2656" spans="1:8" x14ac:dyDescent="0.25">
      <c r="E2656" t="str">
        <f>""</f>
        <v/>
      </c>
      <c r="F2656" t="str">
        <f>""</f>
        <v/>
      </c>
      <c r="H2656" t="str">
        <f t="shared" si="54"/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 t="shared" si="54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54"/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 t="shared" si="54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54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54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54"/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 t="shared" si="54"/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 t="shared" si="54"/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 t="shared" si="54"/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54"/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 t="shared" si="54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54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54"/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 t="shared" si="54"/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 t="shared" si="54"/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 t="shared" si="54"/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54"/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 t="shared" si="54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si="54"/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54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54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si="54"/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si="54"/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ref="H2680:H2698" si="55">"TEXAS COUNTY &amp; DISTRICT RET"</f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si="55"/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55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55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55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55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55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si="55"/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55"/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 t="shared" si="55"/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 t="shared" si="55"/>
        <v>TEXAS COUNTY &amp; DISTRICT RET</v>
      </c>
    </row>
    <row r="2691" spans="5:8" x14ac:dyDescent="0.25">
      <c r="E2691" t="str">
        <f>""</f>
        <v/>
      </c>
      <c r="F2691" t="str">
        <f>""</f>
        <v/>
      </c>
      <c r="H2691" t="str">
        <f t="shared" si="55"/>
        <v>TEXAS COUNTY &amp; DISTRICT RET</v>
      </c>
    </row>
    <row r="2692" spans="5:8" x14ac:dyDescent="0.25">
      <c r="E2692" t="str">
        <f>""</f>
        <v/>
      </c>
      <c r="F2692" t="str">
        <f>""</f>
        <v/>
      </c>
      <c r="H2692" t="str">
        <f t="shared" si="55"/>
        <v>TEXAS COUNTY &amp; DISTRICT RET</v>
      </c>
    </row>
    <row r="2693" spans="5:8" x14ac:dyDescent="0.25">
      <c r="E2693" t="str">
        <f>""</f>
        <v/>
      </c>
      <c r="F2693" t="str">
        <f>""</f>
        <v/>
      </c>
      <c r="H2693" t="str">
        <f t="shared" si="55"/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 t="shared" si="55"/>
        <v>TEXAS COUNTY &amp; DISTRICT RET</v>
      </c>
    </row>
    <row r="2695" spans="5:8" x14ac:dyDescent="0.25">
      <c r="E2695" t="str">
        <f>""</f>
        <v/>
      </c>
      <c r="F2695" t="str">
        <f>""</f>
        <v/>
      </c>
      <c r="H2695" t="str">
        <f t="shared" si="55"/>
        <v>TEXAS COUNTY &amp; DISTRICT RET</v>
      </c>
    </row>
    <row r="2696" spans="5:8" x14ac:dyDescent="0.25">
      <c r="E2696" t="str">
        <f>""</f>
        <v/>
      </c>
      <c r="F2696" t="str">
        <f>""</f>
        <v/>
      </c>
      <c r="H2696" t="str">
        <f t="shared" si="55"/>
        <v>TEXAS COUNTY &amp; DISTRICT RET</v>
      </c>
    </row>
    <row r="2697" spans="5:8" x14ac:dyDescent="0.25">
      <c r="E2697" t="str">
        <f>""</f>
        <v/>
      </c>
      <c r="F2697" t="str">
        <f>""</f>
        <v/>
      </c>
      <c r="H2697" t="str">
        <f t="shared" si="55"/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 t="shared" si="55"/>
        <v>TEXAS COUNTY &amp; DISTRICT RET</v>
      </c>
    </row>
    <row r="2699" spans="5:8" x14ac:dyDescent="0.25">
      <c r="E2699" t="str">
        <f>"RET201812125723"</f>
        <v>RET201812125723</v>
      </c>
      <c r="F2699" t="str">
        <f>"TEXAS COUNTY  DISTRICT RET"</f>
        <v>TEXAS COUNTY  DISTRICT RET</v>
      </c>
      <c r="G2699" s="3">
        <v>6107.67</v>
      </c>
      <c r="H2699" t="str">
        <f>"TEXAS COUNTY  DISTRICT RET"</f>
        <v>TEXAS COUNTY  DISTRICT RET</v>
      </c>
    </row>
    <row r="2700" spans="5:8" x14ac:dyDescent="0.25">
      <c r="E2700" t="str">
        <f>""</f>
        <v/>
      </c>
      <c r="F2700" t="str">
        <f>""</f>
        <v/>
      </c>
      <c r="H2700" t="str">
        <f>"TEXAS COUNTY  DISTRICT RET"</f>
        <v>TEXAS COUNTY  DISTRICT RET</v>
      </c>
    </row>
    <row r="2701" spans="5:8" x14ac:dyDescent="0.25">
      <c r="E2701" t="str">
        <f>"RET201812125727"</f>
        <v>RET201812125727</v>
      </c>
      <c r="F2701" t="str">
        <f>"TEXAS COUNTY &amp; DISTRICT RET"</f>
        <v>TEXAS COUNTY &amp; DISTRICT RET</v>
      </c>
      <c r="G2701" s="3">
        <v>7813.52</v>
      </c>
      <c r="H2701" t="str">
        <f t="shared" ref="H2701:H2732" si="56">"TEXAS COUNTY &amp; DISTRICT RET"</f>
        <v>TEXAS COUNTY &amp; DISTRICT RET</v>
      </c>
    </row>
    <row r="2702" spans="5:8" x14ac:dyDescent="0.25">
      <c r="E2702" t="str">
        <f>""</f>
        <v/>
      </c>
      <c r="F2702" t="str">
        <f>""</f>
        <v/>
      </c>
      <c r="H2702" t="str">
        <f t="shared" si="56"/>
        <v>TEXAS COUNTY &amp; DISTRICT RET</v>
      </c>
    </row>
    <row r="2703" spans="5:8" x14ac:dyDescent="0.25">
      <c r="E2703" t="str">
        <f>"RET201812175849"</f>
        <v>RET201812175849</v>
      </c>
      <c r="F2703" t="str">
        <f>"TEXAS COUNTY &amp; DISTRICT RET"</f>
        <v>TEXAS COUNTY &amp; DISTRICT RET</v>
      </c>
      <c r="G2703" s="3">
        <v>655.29</v>
      </c>
      <c r="H2703" t="str">
        <f t="shared" si="56"/>
        <v>TEXAS COUNTY &amp; DISTRICT RET</v>
      </c>
    </row>
    <row r="2704" spans="5:8" x14ac:dyDescent="0.25">
      <c r="E2704" t="str">
        <f>""</f>
        <v/>
      </c>
      <c r="F2704" t="str">
        <f>""</f>
        <v/>
      </c>
      <c r="H2704" t="str">
        <f t="shared" si="56"/>
        <v>TEXAS COUNTY &amp; DISTRICT RET</v>
      </c>
    </row>
    <row r="2705" spans="5:8" x14ac:dyDescent="0.25">
      <c r="E2705" t="str">
        <f>""</f>
        <v/>
      </c>
      <c r="F2705" t="str">
        <f>""</f>
        <v/>
      </c>
      <c r="H2705" t="str">
        <f t="shared" si="56"/>
        <v>TEXAS COUNTY &amp; DISTRICT RET</v>
      </c>
    </row>
    <row r="2706" spans="5:8" x14ac:dyDescent="0.25">
      <c r="E2706" t="str">
        <f>"RET201812255984"</f>
        <v>RET201812255984</v>
      </c>
      <c r="F2706" t="str">
        <f>"TEXAS COUNTY &amp; DISTRICT RET"</f>
        <v>TEXAS COUNTY &amp; DISTRICT RET</v>
      </c>
      <c r="G2706" s="3">
        <v>152419.59</v>
      </c>
      <c r="H2706" t="str">
        <f t="shared" si="56"/>
        <v>TEXAS COUNTY &amp; DISTRICT RET</v>
      </c>
    </row>
    <row r="2707" spans="5:8" x14ac:dyDescent="0.25">
      <c r="E2707" t="str">
        <f>""</f>
        <v/>
      </c>
      <c r="F2707" t="str">
        <f>""</f>
        <v/>
      </c>
      <c r="H2707" t="str">
        <f t="shared" si="56"/>
        <v>TEXAS COUNTY &amp; DISTRICT RET</v>
      </c>
    </row>
    <row r="2708" spans="5:8" x14ac:dyDescent="0.25">
      <c r="E2708" t="str">
        <f>""</f>
        <v/>
      </c>
      <c r="F2708" t="str">
        <f>""</f>
        <v/>
      </c>
      <c r="H2708" t="str">
        <f t="shared" si="56"/>
        <v>TEXAS COUNTY &amp; DISTRICT RET</v>
      </c>
    </row>
    <row r="2709" spans="5:8" x14ac:dyDescent="0.25">
      <c r="E2709" t="str">
        <f>""</f>
        <v/>
      </c>
      <c r="F2709" t="str">
        <f>""</f>
        <v/>
      </c>
      <c r="H2709" t="str">
        <f t="shared" si="56"/>
        <v>TEXAS COUNTY &amp; DISTRICT RET</v>
      </c>
    </row>
    <row r="2710" spans="5:8" x14ac:dyDescent="0.25">
      <c r="E2710" t="str">
        <f>""</f>
        <v/>
      </c>
      <c r="F2710" t="str">
        <f>""</f>
        <v/>
      </c>
      <c r="H2710" t="str">
        <f t="shared" si="56"/>
        <v>TEXAS COUNTY &amp; DISTRICT RET</v>
      </c>
    </row>
    <row r="2711" spans="5:8" x14ac:dyDescent="0.25">
      <c r="E2711" t="str">
        <f>""</f>
        <v/>
      </c>
      <c r="F2711" t="str">
        <f>""</f>
        <v/>
      </c>
      <c r="H2711" t="str">
        <f t="shared" si="56"/>
        <v>TEXAS COUNTY &amp; DISTRICT RET</v>
      </c>
    </row>
    <row r="2712" spans="5:8" x14ac:dyDescent="0.25">
      <c r="E2712" t="str">
        <f>""</f>
        <v/>
      </c>
      <c r="F2712" t="str">
        <f>""</f>
        <v/>
      </c>
      <c r="H2712" t="str">
        <f t="shared" si="56"/>
        <v>TEXAS COUNTY &amp; DISTRICT RET</v>
      </c>
    </row>
    <row r="2713" spans="5:8" x14ac:dyDescent="0.25">
      <c r="E2713" t="str">
        <f>""</f>
        <v/>
      </c>
      <c r="F2713" t="str">
        <f>""</f>
        <v/>
      </c>
      <c r="H2713" t="str">
        <f t="shared" si="56"/>
        <v>TEXAS COUNTY &amp; DISTRICT RET</v>
      </c>
    </row>
    <row r="2714" spans="5:8" x14ac:dyDescent="0.25">
      <c r="E2714" t="str">
        <f>""</f>
        <v/>
      </c>
      <c r="F2714" t="str">
        <f>""</f>
        <v/>
      </c>
      <c r="H2714" t="str">
        <f t="shared" si="56"/>
        <v>TEXAS COUNTY &amp; DISTRICT RET</v>
      </c>
    </row>
    <row r="2715" spans="5:8" x14ac:dyDescent="0.25">
      <c r="E2715" t="str">
        <f>""</f>
        <v/>
      </c>
      <c r="F2715" t="str">
        <f>""</f>
        <v/>
      </c>
      <c r="H2715" t="str">
        <f t="shared" si="56"/>
        <v>TEXAS COUNTY &amp; DISTRICT RET</v>
      </c>
    </row>
    <row r="2716" spans="5:8" x14ac:dyDescent="0.25">
      <c r="E2716" t="str">
        <f>""</f>
        <v/>
      </c>
      <c r="F2716" t="str">
        <f>""</f>
        <v/>
      </c>
      <c r="H2716" t="str">
        <f t="shared" si="56"/>
        <v>TEXAS COUNTY &amp; DISTRICT RET</v>
      </c>
    </row>
    <row r="2717" spans="5:8" x14ac:dyDescent="0.25">
      <c r="E2717" t="str">
        <f>""</f>
        <v/>
      </c>
      <c r="F2717" t="str">
        <f>""</f>
        <v/>
      </c>
      <c r="H2717" t="str">
        <f t="shared" si="56"/>
        <v>TEXAS COUNTY &amp; DISTRICT RET</v>
      </c>
    </row>
    <row r="2718" spans="5:8" x14ac:dyDescent="0.25">
      <c r="E2718" t="str">
        <f>""</f>
        <v/>
      </c>
      <c r="F2718" t="str">
        <f>""</f>
        <v/>
      </c>
      <c r="H2718" t="str">
        <f t="shared" si="56"/>
        <v>TEXAS COUNTY &amp; DISTRICT RET</v>
      </c>
    </row>
    <row r="2719" spans="5:8" x14ac:dyDescent="0.25">
      <c r="E2719" t="str">
        <f>""</f>
        <v/>
      </c>
      <c r="F2719" t="str">
        <f>""</f>
        <v/>
      </c>
      <c r="H2719" t="str">
        <f t="shared" si="56"/>
        <v>TEXAS COUNTY &amp; DISTRICT RET</v>
      </c>
    </row>
    <row r="2720" spans="5:8" x14ac:dyDescent="0.25">
      <c r="E2720" t="str">
        <f>""</f>
        <v/>
      </c>
      <c r="F2720" t="str">
        <f>""</f>
        <v/>
      </c>
      <c r="H2720" t="str">
        <f t="shared" si="56"/>
        <v>TEXAS COUNTY &amp; DISTRICT RET</v>
      </c>
    </row>
    <row r="2721" spans="5:8" x14ac:dyDescent="0.25">
      <c r="E2721" t="str">
        <f>""</f>
        <v/>
      </c>
      <c r="F2721" t="str">
        <f>""</f>
        <v/>
      </c>
      <c r="H2721" t="str">
        <f t="shared" si="56"/>
        <v>TEXAS COUNTY &amp; DISTRICT RET</v>
      </c>
    </row>
    <row r="2722" spans="5:8" x14ac:dyDescent="0.25">
      <c r="E2722" t="str">
        <f>""</f>
        <v/>
      </c>
      <c r="F2722" t="str">
        <f>""</f>
        <v/>
      </c>
      <c r="H2722" t="str">
        <f t="shared" si="56"/>
        <v>TEXAS COUNTY &amp; DISTRICT RET</v>
      </c>
    </row>
    <row r="2723" spans="5:8" x14ac:dyDescent="0.25">
      <c r="E2723" t="str">
        <f>""</f>
        <v/>
      </c>
      <c r="F2723" t="str">
        <f>""</f>
        <v/>
      </c>
      <c r="H2723" t="str">
        <f t="shared" si="56"/>
        <v>TEXAS COUNTY &amp; DISTRICT RET</v>
      </c>
    </row>
    <row r="2724" spans="5:8" x14ac:dyDescent="0.25">
      <c r="E2724" t="str">
        <f>""</f>
        <v/>
      </c>
      <c r="F2724" t="str">
        <f>""</f>
        <v/>
      </c>
      <c r="H2724" t="str">
        <f t="shared" si="56"/>
        <v>TEXAS COUNTY &amp; DISTRICT RET</v>
      </c>
    </row>
    <row r="2725" spans="5:8" x14ac:dyDescent="0.25">
      <c r="E2725" t="str">
        <f>""</f>
        <v/>
      </c>
      <c r="F2725" t="str">
        <f>""</f>
        <v/>
      </c>
      <c r="H2725" t="str">
        <f t="shared" si="56"/>
        <v>TEXAS COUNTY &amp; DISTRICT RET</v>
      </c>
    </row>
    <row r="2726" spans="5:8" x14ac:dyDescent="0.25">
      <c r="E2726" t="str">
        <f>""</f>
        <v/>
      </c>
      <c r="F2726" t="str">
        <f>""</f>
        <v/>
      </c>
      <c r="H2726" t="str">
        <f t="shared" si="56"/>
        <v>TEXAS COUNTY &amp; DISTRICT RET</v>
      </c>
    </row>
    <row r="2727" spans="5:8" x14ac:dyDescent="0.25">
      <c r="E2727" t="str">
        <f>""</f>
        <v/>
      </c>
      <c r="F2727" t="str">
        <f>""</f>
        <v/>
      </c>
      <c r="H2727" t="str">
        <f t="shared" si="56"/>
        <v>TEXAS COUNTY &amp; DISTRICT RET</v>
      </c>
    </row>
    <row r="2728" spans="5:8" x14ac:dyDescent="0.25">
      <c r="E2728" t="str">
        <f>""</f>
        <v/>
      </c>
      <c r="F2728" t="str">
        <f>""</f>
        <v/>
      </c>
      <c r="H2728" t="str">
        <f t="shared" si="56"/>
        <v>TEXAS COUNTY &amp; DISTRICT RET</v>
      </c>
    </row>
    <row r="2729" spans="5:8" x14ac:dyDescent="0.25">
      <c r="E2729" t="str">
        <f>""</f>
        <v/>
      </c>
      <c r="F2729" t="str">
        <f>""</f>
        <v/>
      </c>
      <c r="H2729" t="str">
        <f t="shared" si="56"/>
        <v>TEXAS COUNTY &amp; DISTRICT RET</v>
      </c>
    </row>
    <row r="2730" spans="5:8" x14ac:dyDescent="0.25">
      <c r="E2730" t="str">
        <f>""</f>
        <v/>
      </c>
      <c r="F2730" t="str">
        <f>""</f>
        <v/>
      </c>
      <c r="H2730" t="str">
        <f t="shared" si="56"/>
        <v>TEXAS COUNTY &amp; DISTRICT RET</v>
      </c>
    </row>
    <row r="2731" spans="5:8" x14ac:dyDescent="0.25">
      <c r="E2731" t="str">
        <f>""</f>
        <v/>
      </c>
      <c r="F2731" t="str">
        <f>""</f>
        <v/>
      </c>
      <c r="H2731" t="str">
        <f t="shared" si="56"/>
        <v>TEXAS COUNTY &amp; DISTRICT RET</v>
      </c>
    </row>
    <row r="2732" spans="5:8" x14ac:dyDescent="0.25">
      <c r="E2732" t="str">
        <f>""</f>
        <v/>
      </c>
      <c r="F2732" t="str">
        <f>""</f>
        <v/>
      </c>
      <c r="H2732" t="str">
        <f t="shared" si="56"/>
        <v>TEXAS COUNTY &amp; DISTRICT RET</v>
      </c>
    </row>
    <row r="2733" spans="5:8" x14ac:dyDescent="0.25">
      <c r="E2733" t="str">
        <f>""</f>
        <v/>
      </c>
      <c r="F2733" t="str">
        <f>""</f>
        <v/>
      </c>
      <c r="H2733" t="str">
        <f t="shared" ref="H2733:H2756" si="57">"TEXAS COUNTY &amp; DISTRICT RET"</f>
        <v>TEXAS COUNTY &amp; DISTRICT RET</v>
      </c>
    </row>
    <row r="2734" spans="5:8" x14ac:dyDescent="0.25">
      <c r="E2734" t="str">
        <f>""</f>
        <v/>
      </c>
      <c r="F2734" t="str">
        <f>""</f>
        <v/>
      </c>
      <c r="H2734" t="str">
        <f t="shared" si="57"/>
        <v>TEXAS COUNTY &amp; DISTRICT RET</v>
      </c>
    </row>
    <row r="2735" spans="5:8" x14ac:dyDescent="0.25">
      <c r="E2735" t="str">
        <f>""</f>
        <v/>
      </c>
      <c r="F2735" t="str">
        <f>""</f>
        <v/>
      </c>
      <c r="H2735" t="str">
        <f t="shared" si="57"/>
        <v>TEXAS COUNTY &amp; DISTRICT RET</v>
      </c>
    </row>
    <row r="2736" spans="5:8" x14ac:dyDescent="0.25">
      <c r="E2736" t="str">
        <f>""</f>
        <v/>
      </c>
      <c r="F2736" t="str">
        <f>""</f>
        <v/>
      </c>
      <c r="H2736" t="str">
        <f t="shared" si="57"/>
        <v>TEXAS COUNTY &amp; DISTRICT RET</v>
      </c>
    </row>
    <row r="2737" spans="5:8" x14ac:dyDescent="0.25">
      <c r="E2737" t="str">
        <f>""</f>
        <v/>
      </c>
      <c r="F2737" t="str">
        <f>""</f>
        <v/>
      </c>
      <c r="H2737" t="str">
        <f t="shared" si="57"/>
        <v>TEXAS COUNTY &amp; DISTRICT RET</v>
      </c>
    </row>
    <row r="2738" spans="5:8" x14ac:dyDescent="0.25">
      <c r="E2738" t="str">
        <f>""</f>
        <v/>
      </c>
      <c r="F2738" t="str">
        <f>""</f>
        <v/>
      </c>
      <c r="H2738" t="str">
        <f t="shared" si="57"/>
        <v>TEXAS COUNTY &amp; DISTRICT RET</v>
      </c>
    </row>
    <row r="2739" spans="5:8" x14ac:dyDescent="0.25">
      <c r="E2739" t="str">
        <f>""</f>
        <v/>
      </c>
      <c r="F2739" t="str">
        <f>""</f>
        <v/>
      </c>
      <c r="H2739" t="str">
        <f t="shared" si="57"/>
        <v>TEXAS COUNTY &amp; DISTRICT RET</v>
      </c>
    </row>
    <row r="2740" spans="5:8" x14ac:dyDescent="0.25">
      <c r="E2740" t="str">
        <f>""</f>
        <v/>
      </c>
      <c r="F2740" t="str">
        <f>""</f>
        <v/>
      </c>
      <c r="H2740" t="str">
        <f t="shared" si="57"/>
        <v>TEXAS COUNTY &amp; DISTRICT RET</v>
      </c>
    </row>
    <row r="2741" spans="5:8" x14ac:dyDescent="0.25">
      <c r="E2741" t="str">
        <f>""</f>
        <v/>
      </c>
      <c r="F2741" t="str">
        <f>""</f>
        <v/>
      </c>
      <c r="H2741" t="str">
        <f t="shared" si="57"/>
        <v>TEXAS COUNTY &amp; DISTRICT RET</v>
      </c>
    </row>
    <row r="2742" spans="5:8" x14ac:dyDescent="0.25">
      <c r="E2742" t="str">
        <f>""</f>
        <v/>
      </c>
      <c r="F2742" t="str">
        <f>""</f>
        <v/>
      </c>
      <c r="H2742" t="str">
        <f t="shared" si="57"/>
        <v>TEXAS COUNTY &amp; DISTRICT RET</v>
      </c>
    </row>
    <row r="2743" spans="5:8" x14ac:dyDescent="0.25">
      <c r="E2743" t="str">
        <f>""</f>
        <v/>
      </c>
      <c r="F2743" t="str">
        <f>""</f>
        <v/>
      </c>
      <c r="H2743" t="str">
        <f t="shared" si="57"/>
        <v>TEXAS COUNTY &amp; DISTRICT RET</v>
      </c>
    </row>
    <row r="2744" spans="5:8" x14ac:dyDescent="0.25">
      <c r="E2744" t="str">
        <f>""</f>
        <v/>
      </c>
      <c r="F2744" t="str">
        <f>""</f>
        <v/>
      </c>
      <c r="H2744" t="str">
        <f t="shared" si="57"/>
        <v>TEXAS COUNTY &amp; DISTRICT RET</v>
      </c>
    </row>
    <row r="2745" spans="5:8" x14ac:dyDescent="0.25">
      <c r="E2745" t="str">
        <f>""</f>
        <v/>
      </c>
      <c r="F2745" t="str">
        <f>""</f>
        <v/>
      </c>
      <c r="H2745" t="str">
        <f t="shared" si="57"/>
        <v>TEXAS COUNTY &amp; DISTRICT RET</v>
      </c>
    </row>
    <row r="2746" spans="5:8" x14ac:dyDescent="0.25">
      <c r="E2746" t="str">
        <f>""</f>
        <v/>
      </c>
      <c r="F2746" t="str">
        <f>""</f>
        <v/>
      </c>
      <c r="H2746" t="str">
        <f t="shared" si="57"/>
        <v>TEXAS COUNTY &amp; DISTRICT RET</v>
      </c>
    </row>
    <row r="2747" spans="5:8" x14ac:dyDescent="0.25">
      <c r="E2747" t="str">
        <f>""</f>
        <v/>
      </c>
      <c r="F2747" t="str">
        <f>""</f>
        <v/>
      </c>
      <c r="H2747" t="str">
        <f t="shared" si="57"/>
        <v>TEXAS COUNTY &amp; DISTRICT RET</v>
      </c>
    </row>
    <row r="2748" spans="5:8" x14ac:dyDescent="0.25">
      <c r="E2748" t="str">
        <f>""</f>
        <v/>
      </c>
      <c r="F2748" t="str">
        <f>""</f>
        <v/>
      </c>
      <c r="H2748" t="str">
        <f t="shared" si="57"/>
        <v>TEXAS COUNTY &amp; DISTRICT RET</v>
      </c>
    </row>
    <row r="2749" spans="5:8" x14ac:dyDescent="0.25">
      <c r="E2749" t="str">
        <f>""</f>
        <v/>
      </c>
      <c r="F2749" t="str">
        <f>""</f>
        <v/>
      </c>
      <c r="H2749" t="str">
        <f t="shared" si="57"/>
        <v>TEXAS COUNTY &amp; DISTRICT RET</v>
      </c>
    </row>
    <row r="2750" spans="5:8" x14ac:dyDescent="0.25">
      <c r="E2750" t="str">
        <f>""</f>
        <v/>
      </c>
      <c r="F2750" t="str">
        <f>""</f>
        <v/>
      </c>
      <c r="H2750" t="str">
        <f t="shared" si="57"/>
        <v>TEXAS COUNTY &amp; DISTRICT RET</v>
      </c>
    </row>
    <row r="2751" spans="5:8" x14ac:dyDescent="0.25">
      <c r="E2751" t="str">
        <f>""</f>
        <v/>
      </c>
      <c r="F2751" t="str">
        <f>""</f>
        <v/>
      </c>
      <c r="H2751" t="str">
        <f t="shared" si="57"/>
        <v>TEXAS COUNTY &amp; DISTRICT RET</v>
      </c>
    </row>
    <row r="2752" spans="5:8" x14ac:dyDescent="0.25">
      <c r="E2752" t="str">
        <f>""</f>
        <v/>
      </c>
      <c r="F2752" t="str">
        <f>""</f>
        <v/>
      </c>
      <c r="H2752" t="str">
        <f t="shared" si="57"/>
        <v>TEXAS COUNTY &amp; DISTRICT RET</v>
      </c>
    </row>
    <row r="2753" spans="2:8" x14ac:dyDescent="0.25">
      <c r="E2753" t="str">
        <f>""</f>
        <v/>
      </c>
      <c r="F2753" t="str">
        <f>""</f>
        <v/>
      </c>
      <c r="H2753" t="str">
        <f t="shared" si="57"/>
        <v>TEXAS COUNTY &amp; DISTRICT RET</v>
      </c>
    </row>
    <row r="2754" spans="2:8" x14ac:dyDescent="0.25">
      <c r="E2754" t="str">
        <f>""</f>
        <v/>
      </c>
      <c r="F2754" t="str">
        <f>""</f>
        <v/>
      </c>
      <c r="H2754" t="str">
        <f t="shared" si="57"/>
        <v>TEXAS COUNTY &amp; DISTRICT RET</v>
      </c>
    </row>
    <row r="2755" spans="2:8" x14ac:dyDescent="0.25">
      <c r="E2755" t="str">
        <f>""</f>
        <v/>
      </c>
      <c r="F2755" t="str">
        <f>""</f>
        <v/>
      </c>
      <c r="H2755" t="str">
        <f t="shared" si="57"/>
        <v>TEXAS COUNTY &amp; DISTRICT RET</v>
      </c>
    </row>
    <row r="2756" spans="2:8" x14ac:dyDescent="0.25">
      <c r="E2756" t="str">
        <f>""</f>
        <v/>
      </c>
      <c r="F2756" t="str">
        <f>""</f>
        <v/>
      </c>
      <c r="H2756" t="str">
        <f t="shared" si="57"/>
        <v>TEXAS COUNTY &amp; DISTRICT RET</v>
      </c>
    </row>
    <row r="2757" spans="2:8" x14ac:dyDescent="0.25">
      <c r="E2757" t="str">
        <f>"RET201812255985"</f>
        <v>RET201812255985</v>
      </c>
      <c r="F2757" t="str">
        <f>"TEXAS COUNTY  DISTRICT RET"</f>
        <v>TEXAS COUNTY  DISTRICT RET</v>
      </c>
      <c r="G2757" s="3">
        <v>6110.86</v>
      </c>
      <c r="H2757" t="str">
        <f>"TEXAS COUNTY  DISTRICT RET"</f>
        <v>TEXAS COUNTY  DISTRICT RET</v>
      </c>
    </row>
    <row r="2758" spans="2:8" x14ac:dyDescent="0.25">
      <c r="E2758" t="str">
        <f>""</f>
        <v/>
      </c>
      <c r="F2758" t="str">
        <f>""</f>
        <v/>
      </c>
      <c r="H2758" t="str">
        <f>"TEXAS COUNTY  DISTRICT RET"</f>
        <v>TEXAS COUNTY  DISTRICT RET</v>
      </c>
    </row>
    <row r="2759" spans="2:8" x14ac:dyDescent="0.25">
      <c r="B2759" s="4" t="s">
        <v>503</v>
      </c>
      <c r="C2759" s="2">
        <f>SUM(C2:C2758)</f>
        <v>3349309.7999999984</v>
      </c>
      <c r="E2759" t="str">
        <f>"RET201812255986"</f>
        <v>RET201812255986</v>
      </c>
      <c r="F2759" t="str">
        <f>"TEXAS COUNTY &amp; DISTRICT RET"</f>
        <v>TEXAS COUNTY &amp; DISTRICT RET</v>
      </c>
      <c r="G2759" s="3">
        <v>7813.52</v>
      </c>
      <c r="H2759" t="str">
        <f>"TEXAS COUNTY &amp; DISTRICT RET"</f>
        <v>TEXAS COUNTY &amp; DISTRICT RET</v>
      </c>
    </row>
    <row r="2761" spans="2:8" x14ac:dyDescent="0.25">
      <c r="D2761" s="1"/>
    </row>
    <row r="2763" spans="2:8" x14ac:dyDescent="0.25">
      <c r="D2763" s="1"/>
    </row>
    <row r="2764" spans="2:8" x14ac:dyDescent="0.25">
      <c r="D2764" s="1"/>
    </row>
    <row r="2765" spans="2:8" x14ac:dyDescent="0.25">
      <c r="D2765" s="1"/>
    </row>
    <row r="2766" spans="2:8" x14ac:dyDescent="0.25">
      <c r="D2766" s="1"/>
    </row>
    <row r="2767" spans="2:8" x14ac:dyDescent="0.25">
      <c r="D2767" s="1"/>
    </row>
    <row r="2768" spans="2:8" x14ac:dyDescent="0.25">
      <c r="D2768" s="1"/>
    </row>
    <row r="2769" spans="4:4" x14ac:dyDescent="0.25">
      <c r="D2769" s="1"/>
    </row>
    <row r="2770" spans="4:4" x14ac:dyDescent="0.25">
      <c r="D2770" s="1"/>
    </row>
    <row r="2771" spans="4:4" x14ac:dyDescent="0.25">
      <c r="D2771" s="1"/>
    </row>
    <row r="2772" spans="4:4" x14ac:dyDescent="0.25">
      <c r="D2772" s="1"/>
    </row>
    <row r="2773" spans="4:4" x14ac:dyDescent="0.25">
      <c r="D2773" s="1"/>
    </row>
    <row r="2774" spans="4:4" x14ac:dyDescent="0.25">
      <c r="D2774" s="1"/>
    </row>
    <row r="2775" spans="4:4" x14ac:dyDescent="0.25">
      <c r="D2775" s="1"/>
    </row>
    <row r="2776" spans="4:4" x14ac:dyDescent="0.25">
      <c r="D2776" s="1"/>
    </row>
    <row r="2777" spans="4:4" x14ac:dyDescent="0.25">
      <c r="D2777" s="1"/>
    </row>
    <row r="2778" spans="4:4" x14ac:dyDescent="0.25">
      <c r="D2778" s="1"/>
    </row>
    <row r="2779" spans="4:4" x14ac:dyDescent="0.25">
      <c r="D2779" s="1"/>
    </row>
    <row r="2780" spans="4:4" x14ac:dyDescent="0.25">
      <c r="D2780" s="1"/>
    </row>
    <row r="2781" spans="4:4" x14ac:dyDescent="0.25">
      <c r="D2781" s="1"/>
    </row>
    <row r="2782" spans="4:4" x14ac:dyDescent="0.25">
      <c r="D2782" s="1"/>
    </row>
    <row r="2783" spans="4:4" x14ac:dyDescent="0.25">
      <c r="D2783" s="1"/>
    </row>
    <row r="2784" spans="4:4" x14ac:dyDescent="0.25">
      <c r="D2784" s="1"/>
    </row>
    <row r="2785" spans="4:4" x14ac:dyDescent="0.25">
      <c r="D2785" s="1"/>
    </row>
    <row r="2786" spans="4:4" x14ac:dyDescent="0.25">
      <c r="D2786" s="1"/>
    </row>
    <row r="2787" spans="4:4" x14ac:dyDescent="0.25">
      <c r="D2787" s="1"/>
    </row>
    <row r="2788" spans="4:4" x14ac:dyDescent="0.25">
      <c r="D2788" s="1"/>
    </row>
    <row r="2789" spans="4:4" x14ac:dyDescent="0.25">
      <c r="D2789" s="1"/>
    </row>
    <row r="2790" spans="4:4" x14ac:dyDescent="0.25">
      <c r="D2790" s="1"/>
    </row>
    <row r="2791" spans="4:4" x14ac:dyDescent="0.25">
      <c r="D2791" s="1"/>
    </row>
    <row r="2792" spans="4:4" x14ac:dyDescent="0.25">
      <c r="D2792" s="1"/>
    </row>
    <row r="2793" spans="4:4" x14ac:dyDescent="0.25">
      <c r="D2793" s="1"/>
    </row>
    <row r="2794" spans="4:4" x14ac:dyDescent="0.25">
      <c r="D2794" s="1"/>
    </row>
    <row r="2795" spans="4:4" x14ac:dyDescent="0.25">
      <c r="D2795" s="1"/>
    </row>
    <row r="2796" spans="4:4" x14ac:dyDescent="0.25">
      <c r="D2796" s="1"/>
    </row>
    <row r="2797" spans="4:4" x14ac:dyDescent="0.25">
      <c r="D2797" s="1"/>
    </row>
    <row r="2798" spans="4:4" x14ac:dyDescent="0.25">
      <c r="D2798" s="1"/>
    </row>
    <row r="2799" spans="4:4" x14ac:dyDescent="0.25">
      <c r="D2799" s="1"/>
    </row>
    <row r="2800" spans="4:4" x14ac:dyDescent="0.25">
      <c r="D2800" s="1"/>
    </row>
    <row r="2801" spans="4:4" x14ac:dyDescent="0.25">
      <c r="D2801" s="1"/>
    </row>
    <row r="2802" spans="4:4" x14ac:dyDescent="0.25">
      <c r="D2802" s="1"/>
    </row>
    <row r="2803" spans="4:4" x14ac:dyDescent="0.25">
      <c r="D2803" s="1"/>
    </row>
    <row r="2804" spans="4:4" x14ac:dyDescent="0.25">
      <c r="D2804" s="1"/>
    </row>
    <row r="2805" spans="4:4" x14ac:dyDescent="0.25">
      <c r="D2805" s="1"/>
    </row>
    <row r="2806" spans="4:4" x14ac:dyDescent="0.25">
      <c r="D2806" s="1"/>
    </row>
    <row r="2807" spans="4:4" x14ac:dyDescent="0.25">
      <c r="D2807" s="1"/>
    </row>
    <row r="2808" spans="4:4" x14ac:dyDescent="0.25">
      <c r="D2808" s="1"/>
    </row>
    <row r="2809" spans="4:4" x14ac:dyDescent="0.25">
      <c r="D2809" s="1"/>
    </row>
    <row r="2810" spans="4:4" x14ac:dyDescent="0.25">
      <c r="D2810" s="1"/>
    </row>
    <row r="2811" spans="4:4" x14ac:dyDescent="0.25">
      <c r="D2811" s="1"/>
    </row>
    <row r="2812" spans="4:4" x14ac:dyDescent="0.25">
      <c r="D2812" s="1"/>
    </row>
    <row r="2813" spans="4:4" x14ac:dyDescent="0.25">
      <c r="D2813" s="1"/>
    </row>
    <row r="2814" spans="4:4" x14ac:dyDescent="0.25">
      <c r="D2814" s="1"/>
    </row>
    <row r="2815" spans="4:4" x14ac:dyDescent="0.25">
      <c r="D2815" s="1"/>
    </row>
    <row r="2816" spans="4:4" x14ac:dyDescent="0.25">
      <c r="D2816" s="1"/>
    </row>
    <row r="2817" spans="4:4" x14ac:dyDescent="0.25">
      <c r="D2817" s="1"/>
    </row>
    <row r="2818" spans="4:4" x14ac:dyDescent="0.25">
      <c r="D2818" s="1"/>
    </row>
    <row r="2819" spans="4:4" x14ac:dyDescent="0.25">
      <c r="D2819" s="1"/>
    </row>
    <row r="2820" spans="4:4" x14ac:dyDescent="0.25">
      <c r="D2820" s="1"/>
    </row>
    <row r="2821" spans="4:4" x14ac:dyDescent="0.25">
      <c r="D2821" s="1"/>
    </row>
    <row r="2822" spans="4:4" x14ac:dyDescent="0.25">
      <c r="D2822" s="1"/>
    </row>
    <row r="2823" spans="4:4" x14ac:dyDescent="0.25">
      <c r="D2823" s="1"/>
    </row>
    <row r="2824" spans="4:4" x14ac:dyDescent="0.25">
      <c r="D2824" s="1"/>
    </row>
    <row r="2825" spans="4:4" x14ac:dyDescent="0.25">
      <c r="D2825" s="1"/>
    </row>
    <row r="2826" spans="4:4" x14ac:dyDescent="0.25">
      <c r="D2826" s="1"/>
    </row>
    <row r="2827" spans="4:4" x14ac:dyDescent="0.25">
      <c r="D2827" s="1"/>
    </row>
    <row r="2828" spans="4:4" x14ac:dyDescent="0.25">
      <c r="D2828" s="1"/>
    </row>
    <row r="2829" spans="4:4" x14ac:dyDescent="0.25">
      <c r="D2829" s="1"/>
    </row>
    <row r="2830" spans="4:4" x14ac:dyDescent="0.25">
      <c r="D2830" s="1"/>
    </row>
    <row r="2831" spans="4:4" x14ac:dyDescent="0.25">
      <c r="D2831" s="1"/>
    </row>
    <row r="2832" spans="4:4" x14ac:dyDescent="0.25">
      <c r="D2832" s="1"/>
    </row>
    <row r="2833" spans="4:4" x14ac:dyDescent="0.25">
      <c r="D2833" s="1"/>
    </row>
    <row r="2834" spans="4:4" x14ac:dyDescent="0.25">
      <c r="D2834" s="1"/>
    </row>
    <row r="2835" spans="4:4" x14ac:dyDescent="0.25">
      <c r="D2835" s="1"/>
    </row>
    <row r="2836" spans="4:4" x14ac:dyDescent="0.25">
      <c r="D2836" s="1"/>
    </row>
    <row r="2837" spans="4:4" x14ac:dyDescent="0.25">
      <c r="D2837" s="1"/>
    </row>
    <row r="2838" spans="4:4" x14ac:dyDescent="0.25">
      <c r="D2838" s="1"/>
    </row>
    <row r="2839" spans="4:4" x14ac:dyDescent="0.25">
      <c r="D2839" s="1"/>
    </row>
    <row r="2840" spans="4:4" x14ac:dyDescent="0.25">
      <c r="D2840" s="1"/>
    </row>
    <row r="2841" spans="4:4" x14ac:dyDescent="0.25">
      <c r="D2841" s="1"/>
    </row>
    <row r="2842" spans="4:4" x14ac:dyDescent="0.25">
      <c r="D2842" s="1"/>
    </row>
    <row r="2843" spans="4:4" x14ac:dyDescent="0.25">
      <c r="D28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AP-CHK-RPT-20190204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2019-02-04T16:29:11Z</dcterms:created>
  <dcterms:modified xsi:type="dcterms:W3CDTF">2019-02-04T16:38:43Z</dcterms:modified>
</cp:coreProperties>
</file>