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Documents from drive C\Laurie Files\"/>
    </mc:Choice>
  </mc:AlternateContent>
  <bookViews>
    <workbookView xWindow="0" yWindow="0" windowWidth="28800" windowHeight="12435"/>
  </bookViews>
  <sheets>
    <sheet name="AP-CHK-RPT-20191210" sheetId="1" r:id="rId1"/>
  </sheets>
  <calcPr calcId="0"/>
</workbook>
</file>

<file path=xl/calcChain.xml><?xml version="1.0" encoding="utf-8"?>
<calcChain xmlns="http://schemas.openxmlformats.org/spreadsheetml/2006/main">
  <c r="C2764" i="1" l="1"/>
  <c r="E2" i="1" l="1"/>
  <c r="F2" i="1"/>
  <c r="H2" i="1"/>
  <c r="E3" i="1"/>
  <c r="F3" i="1"/>
  <c r="H3" i="1"/>
  <c r="E4" i="1"/>
  <c r="F4" i="1"/>
  <c r="H4" i="1"/>
  <c r="E5" i="1"/>
  <c r="F5" i="1"/>
  <c r="H5" i="1"/>
  <c r="E6" i="1"/>
  <c r="F6" i="1"/>
  <c r="H6" i="1"/>
  <c r="E7" i="1"/>
  <c r="F7" i="1"/>
  <c r="H7" i="1"/>
  <c r="E8" i="1"/>
  <c r="F8" i="1"/>
  <c r="H8" i="1"/>
  <c r="E9" i="1"/>
  <c r="F9" i="1"/>
  <c r="H9" i="1"/>
  <c r="E10" i="1"/>
  <c r="F10" i="1"/>
  <c r="H10" i="1"/>
  <c r="E11" i="1"/>
  <c r="F11" i="1"/>
  <c r="H11" i="1"/>
  <c r="E12" i="1"/>
  <c r="F12" i="1"/>
  <c r="H12" i="1"/>
  <c r="E13" i="1"/>
  <c r="F13" i="1"/>
  <c r="H13" i="1"/>
  <c r="E14" i="1"/>
  <c r="F14" i="1"/>
  <c r="H14" i="1"/>
  <c r="E15" i="1"/>
  <c r="F15" i="1"/>
  <c r="H15" i="1"/>
  <c r="E16" i="1"/>
  <c r="F16" i="1"/>
  <c r="H16" i="1"/>
  <c r="E17" i="1"/>
  <c r="F17" i="1"/>
  <c r="H17" i="1"/>
  <c r="E18" i="1"/>
  <c r="F18" i="1"/>
  <c r="H18" i="1"/>
  <c r="E19" i="1"/>
  <c r="F19" i="1"/>
  <c r="H19" i="1"/>
  <c r="E20" i="1"/>
  <c r="F20" i="1"/>
  <c r="H20" i="1"/>
  <c r="E21" i="1"/>
  <c r="F21" i="1"/>
  <c r="H21" i="1"/>
  <c r="E22" i="1"/>
  <c r="F22" i="1"/>
  <c r="H22" i="1"/>
  <c r="E23" i="1"/>
  <c r="F23" i="1"/>
  <c r="H23" i="1"/>
  <c r="E24" i="1"/>
  <c r="F24" i="1"/>
  <c r="H24" i="1"/>
  <c r="E25" i="1"/>
  <c r="F25" i="1"/>
  <c r="H25" i="1"/>
  <c r="E26" i="1"/>
  <c r="F26" i="1"/>
  <c r="H26" i="1"/>
  <c r="E27" i="1"/>
  <c r="F27" i="1"/>
  <c r="H27" i="1"/>
  <c r="E28" i="1"/>
  <c r="F28" i="1"/>
  <c r="H28" i="1"/>
  <c r="E29" i="1"/>
  <c r="F29" i="1"/>
  <c r="H29" i="1"/>
  <c r="E30" i="1"/>
  <c r="F30" i="1"/>
  <c r="H30" i="1"/>
  <c r="E31" i="1"/>
  <c r="F31" i="1"/>
  <c r="H31" i="1"/>
  <c r="E32" i="1"/>
  <c r="F32" i="1"/>
  <c r="H32" i="1"/>
  <c r="E33" i="1"/>
  <c r="F33" i="1"/>
  <c r="H33" i="1"/>
  <c r="E34" i="1"/>
  <c r="F34" i="1"/>
  <c r="H34" i="1"/>
  <c r="E35" i="1"/>
  <c r="F35" i="1"/>
  <c r="H35" i="1"/>
  <c r="E36" i="1"/>
  <c r="F36" i="1"/>
  <c r="H36" i="1"/>
  <c r="E37" i="1"/>
  <c r="F37" i="1"/>
  <c r="H37" i="1"/>
  <c r="E38" i="1"/>
  <c r="F38" i="1"/>
  <c r="H38" i="1"/>
  <c r="E39" i="1"/>
  <c r="F39" i="1"/>
  <c r="H39" i="1"/>
  <c r="E40" i="1"/>
  <c r="F40" i="1"/>
  <c r="H40" i="1"/>
  <c r="E41" i="1"/>
  <c r="F41" i="1"/>
  <c r="H41" i="1"/>
  <c r="E42" i="1"/>
  <c r="F42" i="1"/>
  <c r="H42" i="1"/>
  <c r="E43" i="1"/>
  <c r="F43" i="1"/>
  <c r="H43" i="1"/>
  <c r="E44" i="1"/>
  <c r="F44" i="1"/>
  <c r="H44" i="1"/>
  <c r="E45" i="1"/>
  <c r="F45" i="1"/>
  <c r="H45" i="1"/>
  <c r="E46" i="1"/>
  <c r="F46" i="1"/>
  <c r="H46" i="1"/>
  <c r="E47" i="1"/>
  <c r="F47" i="1"/>
  <c r="H47" i="1"/>
  <c r="E48" i="1"/>
  <c r="F48" i="1"/>
  <c r="H48" i="1"/>
  <c r="E49" i="1"/>
  <c r="F49" i="1"/>
  <c r="H49" i="1"/>
  <c r="E50" i="1"/>
  <c r="F50" i="1"/>
  <c r="H50" i="1"/>
  <c r="E51" i="1"/>
  <c r="F51" i="1"/>
  <c r="H51" i="1"/>
  <c r="E52" i="1"/>
  <c r="F52" i="1"/>
  <c r="H52" i="1"/>
  <c r="E53" i="1"/>
  <c r="F53" i="1"/>
  <c r="H53" i="1"/>
  <c r="E54" i="1"/>
  <c r="F54" i="1"/>
  <c r="H54" i="1"/>
  <c r="E55" i="1"/>
  <c r="F55" i="1"/>
  <c r="H55" i="1"/>
  <c r="E56" i="1"/>
  <c r="F56" i="1"/>
  <c r="H56" i="1"/>
  <c r="E57" i="1"/>
  <c r="F57" i="1"/>
  <c r="H57" i="1"/>
  <c r="E58" i="1"/>
  <c r="F58" i="1"/>
  <c r="H58" i="1"/>
  <c r="E59" i="1"/>
  <c r="F59" i="1"/>
  <c r="H59" i="1"/>
  <c r="E60" i="1"/>
  <c r="F60" i="1"/>
  <c r="H60" i="1"/>
  <c r="E61" i="1"/>
  <c r="F61" i="1"/>
  <c r="H61" i="1"/>
  <c r="E62" i="1"/>
  <c r="F62" i="1"/>
  <c r="H62" i="1"/>
  <c r="E63" i="1"/>
  <c r="F63" i="1"/>
  <c r="H63" i="1"/>
  <c r="E64" i="1"/>
  <c r="F64" i="1"/>
  <c r="H64" i="1"/>
  <c r="E65" i="1"/>
  <c r="F65" i="1"/>
  <c r="H65" i="1"/>
  <c r="E66" i="1"/>
  <c r="F66" i="1"/>
  <c r="H66" i="1"/>
  <c r="E67" i="1"/>
  <c r="F67" i="1"/>
  <c r="H67" i="1"/>
  <c r="E68" i="1"/>
  <c r="F68" i="1"/>
  <c r="H68" i="1"/>
  <c r="E69" i="1"/>
  <c r="F69" i="1"/>
  <c r="H69" i="1"/>
  <c r="E70" i="1"/>
  <c r="F70" i="1"/>
  <c r="H70" i="1"/>
  <c r="E71" i="1"/>
  <c r="F71" i="1"/>
  <c r="H71" i="1"/>
  <c r="E72" i="1"/>
  <c r="F72" i="1"/>
  <c r="H72" i="1"/>
  <c r="E73" i="1"/>
  <c r="F73" i="1"/>
  <c r="H73" i="1"/>
  <c r="E74" i="1"/>
  <c r="F74" i="1"/>
  <c r="H74" i="1"/>
  <c r="E75" i="1"/>
  <c r="F75" i="1"/>
  <c r="H75" i="1"/>
  <c r="E76" i="1"/>
  <c r="F76" i="1"/>
  <c r="H76" i="1"/>
  <c r="E77" i="1"/>
  <c r="F77" i="1"/>
  <c r="H77" i="1"/>
  <c r="E78" i="1"/>
  <c r="F78" i="1"/>
  <c r="H78" i="1"/>
  <c r="E79" i="1"/>
  <c r="F79" i="1"/>
  <c r="H79" i="1"/>
  <c r="E80" i="1"/>
  <c r="F80" i="1"/>
  <c r="H80" i="1"/>
  <c r="E81" i="1"/>
  <c r="F81" i="1"/>
  <c r="H81" i="1"/>
  <c r="E82" i="1"/>
  <c r="F82" i="1"/>
  <c r="H82" i="1"/>
  <c r="E83" i="1"/>
  <c r="F83" i="1"/>
  <c r="H83" i="1"/>
  <c r="E84" i="1"/>
  <c r="F84" i="1"/>
  <c r="H84" i="1"/>
  <c r="E85" i="1"/>
  <c r="F85" i="1"/>
  <c r="H85" i="1"/>
  <c r="E86" i="1"/>
  <c r="F86" i="1"/>
  <c r="H86" i="1"/>
  <c r="E87" i="1"/>
  <c r="F87" i="1"/>
  <c r="H87" i="1"/>
  <c r="E88" i="1"/>
  <c r="F88" i="1"/>
  <c r="H88" i="1"/>
  <c r="E89" i="1"/>
  <c r="F89" i="1"/>
  <c r="H89" i="1"/>
  <c r="E90" i="1"/>
  <c r="F90" i="1"/>
  <c r="H90" i="1"/>
  <c r="E91" i="1"/>
  <c r="F91" i="1"/>
  <c r="H91" i="1"/>
  <c r="E92" i="1"/>
  <c r="F92" i="1"/>
  <c r="H92" i="1"/>
  <c r="E93" i="1"/>
  <c r="F93" i="1"/>
  <c r="H93" i="1"/>
  <c r="E94" i="1"/>
  <c r="F94" i="1"/>
  <c r="H94" i="1"/>
  <c r="E95" i="1"/>
  <c r="F95" i="1"/>
  <c r="H95" i="1"/>
  <c r="E96" i="1"/>
  <c r="F96" i="1"/>
  <c r="H96" i="1"/>
  <c r="E97" i="1"/>
  <c r="F97" i="1"/>
  <c r="H97" i="1"/>
  <c r="E98" i="1"/>
  <c r="F98" i="1"/>
  <c r="H98" i="1"/>
  <c r="E99" i="1"/>
  <c r="F99" i="1"/>
  <c r="H99" i="1"/>
  <c r="E100" i="1"/>
  <c r="F100" i="1"/>
  <c r="H100" i="1"/>
  <c r="E101" i="1"/>
  <c r="F101" i="1"/>
  <c r="H101" i="1"/>
  <c r="E102" i="1"/>
  <c r="F102" i="1"/>
  <c r="H102" i="1"/>
  <c r="E103" i="1"/>
  <c r="F103" i="1"/>
  <c r="H103" i="1"/>
  <c r="E104" i="1"/>
  <c r="F104" i="1"/>
  <c r="H104" i="1"/>
  <c r="E105" i="1"/>
  <c r="F105" i="1"/>
  <c r="H105" i="1"/>
  <c r="E106" i="1"/>
  <c r="F106" i="1"/>
  <c r="H106" i="1"/>
  <c r="E107" i="1"/>
  <c r="F107" i="1"/>
  <c r="H107" i="1"/>
  <c r="E108" i="1"/>
  <c r="F108" i="1"/>
  <c r="H108" i="1"/>
  <c r="E109" i="1"/>
  <c r="F109" i="1"/>
  <c r="H109" i="1"/>
  <c r="E110" i="1"/>
  <c r="F110" i="1"/>
  <c r="H110" i="1"/>
  <c r="E111" i="1"/>
  <c r="F111" i="1"/>
  <c r="H111" i="1"/>
  <c r="E112" i="1"/>
  <c r="F112" i="1"/>
  <c r="H112" i="1"/>
  <c r="E113" i="1"/>
  <c r="F113" i="1"/>
  <c r="H113" i="1"/>
  <c r="E114" i="1"/>
  <c r="F114" i="1"/>
  <c r="H114" i="1"/>
  <c r="E115" i="1"/>
  <c r="F115" i="1"/>
  <c r="H115" i="1"/>
  <c r="E116" i="1"/>
  <c r="F116" i="1"/>
  <c r="H116" i="1"/>
  <c r="E117" i="1"/>
  <c r="F117" i="1"/>
  <c r="H117" i="1"/>
  <c r="E118" i="1"/>
  <c r="F118" i="1"/>
  <c r="H118" i="1"/>
  <c r="E119" i="1"/>
  <c r="F119" i="1"/>
  <c r="H119" i="1"/>
  <c r="E120" i="1"/>
  <c r="F120" i="1"/>
  <c r="H120" i="1"/>
  <c r="E121" i="1"/>
  <c r="F121" i="1"/>
  <c r="H121" i="1"/>
  <c r="E122" i="1"/>
  <c r="F122" i="1"/>
  <c r="H122" i="1"/>
  <c r="E123" i="1"/>
  <c r="F123" i="1"/>
  <c r="H123" i="1"/>
  <c r="E124" i="1"/>
  <c r="F124" i="1"/>
  <c r="H124" i="1"/>
  <c r="E125" i="1"/>
  <c r="F125" i="1"/>
  <c r="H125" i="1"/>
  <c r="E126" i="1"/>
  <c r="F126" i="1"/>
  <c r="H126" i="1"/>
  <c r="E127" i="1"/>
  <c r="F127" i="1"/>
  <c r="H127" i="1"/>
  <c r="E128" i="1"/>
  <c r="F128" i="1"/>
  <c r="H128" i="1"/>
  <c r="E129" i="1"/>
  <c r="F129" i="1"/>
  <c r="H129" i="1"/>
  <c r="E130" i="1"/>
  <c r="F130" i="1"/>
  <c r="H130" i="1"/>
  <c r="E131" i="1"/>
  <c r="F131" i="1"/>
  <c r="H131" i="1"/>
  <c r="E132" i="1"/>
  <c r="F132" i="1"/>
  <c r="H132" i="1"/>
  <c r="E133" i="1"/>
  <c r="F133" i="1"/>
  <c r="H133" i="1"/>
  <c r="E134" i="1"/>
  <c r="F134" i="1"/>
  <c r="H134" i="1"/>
  <c r="E135" i="1"/>
  <c r="F135" i="1"/>
  <c r="H135" i="1"/>
  <c r="E136" i="1"/>
  <c r="F136" i="1"/>
  <c r="H136" i="1"/>
  <c r="E137" i="1"/>
  <c r="F137" i="1"/>
  <c r="H137" i="1"/>
  <c r="E138" i="1"/>
  <c r="F138" i="1"/>
  <c r="H138" i="1"/>
  <c r="E139" i="1"/>
  <c r="F139" i="1"/>
  <c r="H139" i="1"/>
  <c r="E140" i="1"/>
  <c r="F140" i="1"/>
  <c r="H140" i="1"/>
  <c r="E141" i="1"/>
  <c r="F141" i="1"/>
  <c r="H141" i="1"/>
  <c r="E142" i="1"/>
  <c r="F142" i="1"/>
  <c r="H142" i="1"/>
  <c r="E143" i="1"/>
  <c r="F143" i="1"/>
  <c r="H143" i="1"/>
  <c r="E144" i="1"/>
  <c r="F144" i="1"/>
  <c r="H144" i="1"/>
  <c r="E145" i="1"/>
  <c r="F145" i="1"/>
  <c r="H145" i="1"/>
  <c r="E146" i="1"/>
  <c r="F146" i="1"/>
  <c r="H146" i="1"/>
  <c r="E147" i="1"/>
  <c r="F147" i="1"/>
  <c r="H147" i="1"/>
  <c r="E148" i="1"/>
  <c r="F148" i="1"/>
  <c r="H148" i="1"/>
  <c r="E149" i="1"/>
  <c r="F149" i="1"/>
  <c r="H149" i="1"/>
  <c r="E150" i="1"/>
  <c r="F150" i="1"/>
  <c r="H150" i="1"/>
  <c r="E151" i="1"/>
  <c r="F151" i="1"/>
  <c r="H151" i="1"/>
  <c r="E152" i="1"/>
  <c r="F152" i="1"/>
  <c r="H152" i="1"/>
  <c r="E153" i="1"/>
  <c r="F153" i="1"/>
  <c r="H153" i="1"/>
  <c r="E154" i="1"/>
  <c r="F154" i="1"/>
  <c r="H154" i="1"/>
  <c r="E155" i="1"/>
  <c r="F155" i="1"/>
  <c r="H155" i="1"/>
  <c r="E156" i="1"/>
  <c r="F156" i="1"/>
  <c r="H156" i="1"/>
  <c r="E157" i="1"/>
  <c r="F157" i="1"/>
  <c r="H157" i="1"/>
  <c r="E158" i="1"/>
  <c r="F158" i="1"/>
  <c r="H158" i="1"/>
  <c r="E159" i="1"/>
  <c r="F159" i="1"/>
  <c r="H159" i="1"/>
  <c r="E160" i="1"/>
  <c r="F160" i="1"/>
  <c r="H160" i="1"/>
  <c r="E161" i="1"/>
  <c r="F161" i="1"/>
  <c r="H161" i="1"/>
  <c r="E162" i="1"/>
  <c r="F162" i="1"/>
  <c r="H162" i="1"/>
  <c r="E163" i="1"/>
  <c r="F163" i="1"/>
  <c r="H163" i="1"/>
  <c r="E164" i="1"/>
  <c r="F164" i="1"/>
  <c r="H164" i="1"/>
  <c r="E165" i="1"/>
  <c r="F165" i="1"/>
  <c r="H165" i="1"/>
  <c r="E166" i="1"/>
  <c r="F166" i="1"/>
  <c r="H166" i="1"/>
  <c r="E167" i="1"/>
  <c r="F167" i="1"/>
  <c r="H167" i="1"/>
  <c r="E168" i="1"/>
  <c r="F168" i="1"/>
  <c r="H168" i="1"/>
  <c r="E169" i="1"/>
  <c r="F169" i="1"/>
  <c r="H169" i="1"/>
  <c r="E170" i="1"/>
  <c r="F170" i="1"/>
  <c r="H170" i="1"/>
  <c r="E171" i="1"/>
  <c r="F171" i="1"/>
  <c r="H171" i="1"/>
  <c r="E172" i="1"/>
  <c r="F172" i="1"/>
  <c r="H172" i="1"/>
  <c r="E173" i="1"/>
  <c r="F173" i="1"/>
  <c r="H173" i="1"/>
  <c r="E174" i="1"/>
  <c r="F174" i="1"/>
  <c r="H174" i="1"/>
  <c r="E175" i="1"/>
  <c r="F175" i="1"/>
  <c r="H175" i="1"/>
  <c r="E176" i="1"/>
  <c r="F176" i="1"/>
  <c r="H176" i="1"/>
  <c r="E177" i="1"/>
  <c r="F177" i="1"/>
  <c r="H177" i="1"/>
  <c r="E178" i="1"/>
  <c r="F178" i="1"/>
  <c r="H178" i="1"/>
  <c r="E179" i="1"/>
  <c r="F179" i="1"/>
  <c r="H179" i="1"/>
  <c r="E180" i="1"/>
  <c r="F180" i="1"/>
  <c r="H180" i="1"/>
  <c r="E181" i="1"/>
  <c r="F181" i="1"/>
  <c r="H181" i="1"/>
  <c r="E182" i="1"/>
  <c r="F182" i="1"/>
  <c r="H182" i="1"/>
  <c r="E183" i="1"/>
  <c r="F183" i="1"/>
  <c r="H183" i="1"/>
  <c r="E184" i="1"/>
  <c r="F184" i="1"/>
  <c r="H184" i="1"/>
  <c r="E185" i="1"/>
  <c r="F185" i="1"/>
  <c r="H185" i="1"/>
  <c r="E186" i="1"/>
  <c r="F186" i="1"/>
  <c r="H186" i="1"/>
  <c r="E187" i="1"/>
  <c r="F187" i="1"/>
  <c r="H187" i="1"/>
  <c r="E188" i="1"/>
  <c r="F188" i="1"/>
  <c r="H188" i="1"/>
  <c r="E189" i="1"/>
  <c r="F189" i="1"/>
  <c r="H189" i="1"/>
  <c r="E190" i="1"/>
  <c r="F190" i="1"/>
  <c r="H190" i="1"/>
  <c r="E191" i="1"/>
  <c r="F191" i="1"/>
  <c r="H191" i="1"/>
  <c r="E192" i="1"/>
  <c r="F192" i="1"/>
  <c r="H192" i="1"/>
  <c r="E193" i="1"/>
  <c r="F193" i="1"/>
  <c r="H193" i="1"/>
  <c r="E194" i="1"/>
  <c r="F194" i="1"/>
  <c r="H194" i="1"/>
  <c r="E195" i="1"/>
  <c r="F195" i="1"/>
  <c r="H195" i="1"/>
  <c r="E196" i="1"/>
  <c r="F196" i="1"/>
  <c r="H196" i="1"/>
  <c r="E197" i="1"/>
  <c r="F197" i="1"/>
  <c r="H197" i="1"/>
  <c r="E198" i="1"/>
  <c r="F198" i="1"/>
  <c r="H198" i="1"/>
  <c r="E199" i="1"/>
  <c r="F199" i="1"/>
  <c r="H199" i="1"/>
  <c r="E200" i="1"/>
  <c r="F200" i="1"/>
  <c r="H200" i="1"/>
  <c r="E201" i="1"/>
  <c r="F201" i="1"/>
  <c r="H201" i="1"/>
  <c r="E202" i="1"/>
  <c r="F202" i="1"/>
  <c r="H202" i="1"/>
  <c r="E203" i="1"/>
  <c r="F203" i="1"/>
  <c r="H203" i="1"/>
  <c r="E204" i="1"/>
  <c r="F204" i="1"/>
  <c r="H204" i="1"/>
  <c r="E205" i="1"/>
  <c r="F205" i="1"/>
  <c r="H205" i="1"/>
  <c r="E206" i="1"/>
  <c r="F206" i="1"/>
  <c r="H206" i="1"/>
  <c r="E207" i="1"/>
  <c r="F207" i="1"/>
  <c r="H207" i="1"/>
  <c r="E208" i="1"/>
  <c r="F208" i="1"/>
  <c r="H208" i="1"/>
  <c r="E209" i="1"/>
  <c r="F209" i="1"/>
  <c r="H209" i="1"/>
  <c r="E210" i="1"/>
  <c r="F210" i="1"/>
  <c r="H210" i="1"/>
  <c r="E211" i="1"/>
  <c r="F211" i="1"/>
  <c r="H211" i="1"/>
  <c r="E212" i="1"/>
  <c r="F212" i="1"/>
  <c r="H212" i="1"/>
  <c r="E213" i="1"/>
  <c r="F213" i="1"/>
  <c r="H213" i="1"/>
  <c r="E214" i="1"/>
  <c r="F214" i="1"/>
  <c r="H214" i="1"/>
  <c r="E215" i="1"/>
  <c r="F215" i="1"/>
  <c r="H215" i="1"/>
  <c r="E216" i="1"/>
  <c r="F216" i="1"/>
  <c r="H216" i="1"/>
  <c r="E217" i="1"/>
  <c r="F217" i="1"/>
  <c r="H217" i="1"/>
  <c r="E218" i="1"/>
  <c r="F218" i="1"/>
  <c r="H218" i="1"/>
  <c r="E219" i="1"/>
  <c r="F219" i="1"/>
  <c r="H219" i="1"/>
  <c r="E220" i="1"/>
  <c r="F220" i="1"/>
  <c r="H220" i="1"/>
  <c r="E221" i="1"/>
  <c r="F221" i="1"/>
  <c r="H221" i="1"/>
  <c r="E222" i="1"/>
  <c r="F222" i="1"/>
  <c r="H222" i="1"/>
  <c r="E223" i="1"/>
  <c r="F223" i="1"/>
  <c r="H223" i="1"/>
  <c r="E224" i="1"/>
  <c r="F224" i="1"/>
  <c r="H224" i="1"/>
  <c r="E225" i="1"/>
  <c r="F225" i="1"/>
  <c r="H225" i="1"/>
  <c r="E226" i="1"/>
  <c r="F226" i="1"/>
  <c r="H226" i="1"/>
  <c r="E227" i="1"/>
  <c r="F227" i="1"/>
  <c r="H227" i="1"/>
  <c r="E228" i="1"/>
  <c r="F228" i="1"/>
  <c r="H228" i="1"/>
  <c r="E229" i="1"/>
  <c r="F229" i="1"/>
  <c r="H229" i="1"/>
  <c r="E230" i="1"/>
  <c r="F230" i="1"/>
  <c r="H230" i="1"/>
  <c r="E231" i="1"/>
  <c r="F231" i="1"/>
  <c r="H231" i="1"/>
  <c r="E232" i="1"/>
  <c r="F232" i="1"/>
  <c r="H232" i="1"/>
  <c r="E233" i="1"/>
  <c r="F233" i="1"/>
  <c r="H233" i="1"/>
  <c r="E234" i="1"/>
  <c r="F234" i="1"/>
  <c r="H234" i="1"/>
  <c r="E235" i="1"/>
  <c r="F235" i="1"/>
  <c r="H235" i="1"/>
  <c r="E236" i="1"/>
  <c r="F236" i="1"/>
  <c r="H236" i="1"/>
  <c r="E237" i="1"/>
  <c r="F237" i="1"/>
  <c r="H237" i="1"/>
  <c r="E238" i="1"/>
  <c r="F238" i="1"/>
  <c r="H238" i="1"/>
  <c r="E239" i="1"/>
  <c r="F239" i="1"/>
  <c r="H239" i="1"/>
  <c r="E240" i="1"/>
  <c r="F240" i="1"/>
  <c r="H240" i="1"/>
  <c r="E241" i="1"/>
  <c r="F241" i="1"/>
  <c r="H241" i="1"/>
  <c r="E242" i="1"/>
  <c r="F242" i="1"/>
  <c r="H242" i="1"/>
  <c r="E243" i="1"/>
  <c r="F243" i="1"/>
  <c r="H243" i="1"/>
  <c r="E244" i="1"/>
  <c r="F244" i="1"/>
  <c r="H244" i="1"/>
  <c r="E245" i="1"/>
  <c r="F245" i="1"/>
  <c r="H245" i="1"/>
  <c r="E246" i="1"/>
  <c r="F246" i="1"/>
  <c r="H246" i="1"/>
  <c r="E247" i="1"/>
  <c r="F247" i="1"/>
  <c r="H247" i="1"/>
  <c r="E248" i="1"/>
  <c r="F248" i="1"/>
  <c r="H248" i="1"/>
  <c r="E249" i="1"/>
  <c r="F249" i="1"/>
  <c r="H249" i="1"/>
  <c r="E250" i="1"/>
  <c r="F250" i="1"/>
  <c r="H250" i="1"/>
  <c r="E251" i="1"/>
  <c r="F251" i="1"/>
  <c r="H251" i="1"/>
  <c r="E252" i="1"/>
  <c r="F252" i="1"/>
  <c r="H252" i="1"/>
  <c r="E253" i="1"/>
  <c r="F253" i="1"/>
  <c r="H253" i="1"/>
  <c r="E254" i="1"/>
  <c r="F254" i="1"/>
  <c r="H254" i="1"/>
  <c r="E255" i="1"/>
  <c r="F255" i="1"/>
  <c r="H255" i="1"/>
  <c r="E256" i="1"/>
  <c r="F256" i="1"/>
  <c r="H256" i="1"/>
  <c r="E257" i="1"/>
  <c r="F257" i="1"/>
  <c r="H257" i="1"/>
  <c r="E258" i="1"/>
  <c r="F258" i="1"/>
  <c r="H258" i="1"/>
  <c r="E259" i="1"/>
  <c r="F259" i="1"/>
  <c r="H259" i="1"/>
  <c r="E260" i="1"/>
  <c r="F260" i="1"/>
  <c r="H260" i="1"/>
  <c r="E261" i="1"/>
  <c r="F261" i="1"/>
  <c r="H261" i="1"/>
  <c r="E262" i="1"/>
  <c r="F262" i="1"/>
  <c r="H262" i="1"/>
  <c r="E263" i="1"/>
  <c r="F263" i="1"/>
  <c r="H263" i="1"/>
  <c r="E264" i="1"/>
  <c r="F264" i="1"/>
  <c r="H264" i="1"/>
  <c r="E265" i="1"/>
  <c r="F265" i="1"/>
  <c r="H265" i="1"/>
  <c r="E266" i="1"/>
  <c r="F266" i="1"/>
  <c r="H266" i="1"/>
  <c r="E267" i="1"/>
  <c r="F267" i="1"/>
  <c r="H267" i="1"/>
  <c r="E268" i="1"/>
  <c r="F268" i="1"/>
  <c r="H268" i="1"/>
  <c r="E269" i="1"/>
  <c r="F269" i="1"/>
  <c r="H269" i="1"/>
  <c r="E270" i="1"/>
  <c r="F270" i="1"/>
  <c r="H270" i="1"/>
  <c r="E271" i="1"/>
  <c r="F271" i="1"/>
  <c r="H271" i="1"/>
  <c r="E272" i="1"/>
  <c r="F272" i="1"/>
  <c r="H272" i="1"/>
  <c r="E273" i="1"/>
  <c r="F273" i="1"/>
  <c r="H273" i="1"/>
  <c r="E274" i="1"/>
  <c r="F274" i="1"/>
  <c r="H274" i="1"/>
  <c r="E275" i="1"/>
  <c r="F275" i="1"/>
  <c r="H275" i="1"/>
  <c r="E276" i="1"/>
  <c r="F276" i="1"/>
  <c r="H276" i="1"/>
  <c r="E277" i="1"/>
  <c r="F277" i="1"/>
  <c r="H277" i="1"/>
  <c r="E278" i="1"/>
  <c r="F278" i="1"/>
  <c r="H278" i="1"/>
  <c r="E279" i="1"/>
  <c r="F279" i="1"/>
  <c r="H279" i="1"/>
  <c r="E280" i="1"/>
  <c r="F280" i="1"/>
  <c r="H280" i="1"/>
  <c r="E281" i="1"/>
  <c r="F281" i="1"/>
  <c r="H281" i="1"/>
  <c r="E282" i="1"/>
  <c r="F282" i="1"/>
  <c r="H282" i="1"/>
  <c r="E283" i="1"/>
  <c r="F283" i="1"/>
  <c r="H283" i="1"/>
  <c r="E284" i="1"/>
  <c r="F284" i="1"/>
  <c r="H284" i="1"/>
  <c r="E285" i="1"/>
  <c r="F285" i="1"/>
  <c r="H285" i="1"/>
  <c r="E286" i="1"/>
  <c r="F286" i="1"/>
  <c r="H286" i="1"/>
  <c r="E287" i="1"/>
  <c r="F287" i="1"/>
  <c r="H287" i="1"/>
  <c r="E288" i="1"/>
  <c r="F288" i="1"/>
  <c r="H288" i="1"/>
  <c r="E289" i="1"/>
  <c r="F289" i="1"/>
  <c r="H289" i="1"/>
  <c r="E290" i="1"/>
  <c r="F290" i="1"/>
  <c r="H290" i="1"/>
  <c r="E291" i="1"/>
  <c r="F291" i="1"/>
  <c r="H291" i="1"/>
  <c r="E292" i="1"/>
  <c r="F292" i="1"/>
  <c r="H292" i="1"/>
  <c r="E293" i="1"/>
  <c r="F293" i="1"/>
  <c r="H293" i="1"/>
  <c r="E294" i="1"/>
  <c r="F294" i="1"/>
  <c r="H294" i="1"/>
  <c r="E295" i="1"/>
  <c r="F295" i="1"/>
  <c r="H295" i="1"/>
  <c r="E296" i="1"/>
  <c r="F296" i="1"/>
  <c r="H296" i="1"/>
  <c r="E297" i="1"/>
  <c r="F297" i="1"/>
  <c r="H297" i="1"/>
  <c r="E298" i="1"/>
  <c r="F298" i="1"/>
  <c r="H298" i="1"/>
  <c r="E299" i="1"/>
  <c r="F299" i="1"/>
  <c r="H299" i="1"/>
  <c r="E300" i="1"/>
  <c r="F300" i="1"/>
  <c r="H300" i="1"/>
  <c r="E301" i="1"/>
  <c r="F301" i="1"/>
  <c r="H301" i="1"/>
  <c r="E302" i="1"/>
  <c r="F302" i="1"/>
  <c r="H302" i="1"/>
  <c r="E303" i="1"/>
  <c r="F303" i="1"/>
  <c r="H303" i="1"/>
  <c r="E304" i="1"/>
  <c r="F304" i="1"/>
  <c r="H304" i="1"/>
  <c r="E305" i="1"/>
  <c r="F305" i="1"/>
  <c r="H305" i="1"/>
  <c r="E306" i="1"/>
  <c r="F306" i="1"/>
  <c r="H306" i="1"/>
  <c r="E307" i="1"/>
  <c r="F307" i="1"/>
  <c r="H307" i="1"/>
  <c r="E308" i="1"/>
  <c r="F308" i="1"/>
  <c r="H308" i="1"/>
  <c r="E309" i="1"/>
  <c r="F309" i="1"/>
  <c r="H309" i="1"/>
  <c r="E310" i="1"/>
  <c r="F310" i="1"/>
  <c r="H310" i="1"/>
  <c r="E311" i="1"/>
  <c r="F311" i="1"/>
  <c r="H311" i="1"/>
  <c r="E312" i="1"/>
  <c r="F312" i="1"/>
  <c r="H312" i="1"/>
  <c r="E313" i="1"/>
  <c r="F313" i="1"/>
  <c r="H313" i="1"/>
  <c r="E314" i="1"/>
  <c r="F314" i="1"/>
  <c r="H314" i="1"/>
  <c r="E315" i="1"/>
  <c r="F315" i="1"/>
  <c r="H315" i="1"/>
  <c r="E316" i="1"/>
  <c r="F316" i="1"/>
  <c r="H316" i="1"/>
  <c r="E317" i="1"/>
  <c r="F317" i="1"/>
  <c r="H317" i="1"/>
  <c r="E318" i="1"/>
  <c r="F318" i="1"/>
  <c r="H318" i="1"/>
  <c r="E319" i="1"/>
  <c r="F319" i="1"/>
  <c r="H319" i="1"/>
  <c r="E320" i="1"/>
  <c r="F320" i="1"/>
  <c r="H320" i="1"/>
  <c r="E321" i="1"/>
  <c r="F321" i="1"/>
  <c r="H321" i="1"/>
  <c r="E322" i="1"/>
  <c r="F322" i="1"/>
  <c r="H322" i="1"/>
  <c r="E323" i="1"/>
  <c r="F323" i="1"/>
  <c r="H323" i="1"/>
  <c r="E324" i="1"/>
  <c r="F324" i="1"/>
  <c r="H324" i="1"/>
  <c r="E325" i="1"/>
  <c r="F325" i="1"/>
  <c r="H325" i="1"/>
  <c r="E326" i="1"/>
  <c r="F326" i="1"/>
  <c r="H326" i="1"/>
  <c r="E327" i="1"/>
  <c r="F327" i="1"/>
  <c r="H327" i="1"/>
  <c r="E328" i="1"/>
  <c r="F328" i="1"/>
  <c r="H328" i="1"/>
  <c r="E329" i="1"/>
  <c r="F329" i="1"/>
  <c r="H329" i="1"/>
  <c r="E330" i="1"/>
  <c r="F330" i="1"/>
  <c r="H330" i="1"/>
  <c r="E331" i="1"/>
  <c r="F331" i="1"/>
  <c r="H331" i="1"/>
  <c r="E332" i="1"/>
  <c r="F332" i="1"/>
  <c r="H332" i="1"/>
  <c r="E333" i="1"/>
  <c r="F333" i="1"/>
  <c r="H333" i="1"/>
  <c r="E334" i="1"/>
  <c r="F334" i="1"/>
  <c r="H334" i="1"/>
  <c r="E335" i="1"/>
  <c r="F335" i="1"/>
  <c r="H335" i="1"/>
  <c r="E336" i="1"/>
  <c r="F336" i="1"/>
  <c r="H336" i="1"/>
  <c r="E337" i="1"/>
  <c r="F337" i="1"/>
  <c r="H337" i="1"/>
  <c r="E338" i="1"/>
  <c r="F338" i="1"/>
  <c r="H338" i="1"/>
  <c r="E339" i="1"/>
  <c r="F339" i="1"/>
  <c r="H339" i="1"/>
  <c r="E340" i="1"/>
  <c r="F340" i="1"/>
  <c r="H340" i="1"/>
  <c r="E341" i="1"/>
  <c r="F341" i="1"/>
  <c r="H341" i="1"/>
  <c r="E342" i="1"/>
  <c r="F342" i="1"/>
  <c r="H342" i="1"/>
  <c r="E343" i="1"/>
  <c r="F343" i="1"/>
  <c r="H343" i="1"/>
  <c r="E344" i="1"/>
  <c r="F344" i="1"/>
  <c r="H344" i="1"/>
  <c r="E345" i="1"/>
  <c r="F345" i="1"/>
  <c r="H345" i="1"/>
  <c r="E346" i="1"/>
  <c r="F346" i="1"/>
  <c r="H346" i="1"/>
  <c r="E347" i="1"/>
  <c r="F347" i="1"/>
  <c r="H347" i="1"/>
  <c r="E348" i="1"/>
  <c r="F348" i="1"/>
  <c r="H348" i="1"/>
  <c r="E349" i="1"/>
  <c r="F349" i="1"/>
  <c r="H349" i="1"/>
  <c r="E350" i="1"/>
  <c r="F350" i="1"/>
  <c r="H350" i="1"/>
  <c r="E351" i="1"/>
  <c r="F351" i="1"/>
  <c r="H351" i="1"/>
  <c r="E352" i="1"/>
  <c r="F352" i="1"/>
  <c r="H352" i="1"/>
  <c r="E353" i="1"/>
  <c r="F353" i="1"/>
  <c r="H353" i="1"/>
  <c r="E354" i="1"/>
  <c r="F354" i="1"/>
  <c r="H354" i="1"/>
  <c r="E355" i="1"/>
  <c r="F355" i="1"/>
  <c r="H355" i="1"/>
  <c r="E356" i="1"/>
  <c r="F356" i="1"/>
  <c r="H356" i="1"/>
  <c r="E357" i="1"/>
  <c r="F357" i="1"/>
  <c r="H357" i="1"/>
  <c r="E358" i="1"/>
  <c r="F358" i="1"/>
  <c r="H358" i="1"/>
  <c r="E359" i="1"/>
  <c r="F359" i="1"/>
  <c r="H359" i="1"/>
  <c r="E360" i="1"/>
  <c r="F360" i="1"/>
  <c r="H360" i="1"/>
  <c r="E361" i="1"/>
  <c r="F361" i="1"/>
  <c r="H361" i="1"/>
  <c r="E362" i="1"/>
  <c r="F362" i="1"/>
  <c r="H362" i="1"/>
  <c r="E363" i="1"/>
  <c r="F363" i="1"/>
  <c r="H363" i="1"/>
  <c r="E364" i="1"/>
  <c r="F364" i="1"/>
  <c r="H364" i="1"/>
  <c r="E365" i="1"/>
  <c r="F365" i="1"/>
  <c r="H365" i="1"/>
  <c r="E366" i="1"/>
  <c r="F366" i="1"/>
  <c r="H366" i="1"/>
  <c r="E367" i="1"/>
  <c r="F367" i="1"/>
  <c r="H367" i="1"/>
  <c r="E368" i="1"/>
  <c r="F368" i="1"/>
  <c r="H368" i="1"/>
  <c r="E369" i="1"/>
  <c r="F369" i="1"/>
  <c r="H369" i="1"/>
  <c r="E370" i="1"/>
  <c r="F370" i="1"/>
  <c r="H370" i="1"/>
  <c r="E371" i="1"/>
  <c r="F371" i="1"/>
  <c r="H371" i="1"/>
  <c r="E372" i="1"/>
  <c r="F372" i="1"/>
  <c r="H372" i="1"/>
  <c r="E373" i="1"/>
  <c r="F373" i="1"/>
  <c r="H373" i="1"/>
  <c r="E374" i="1"/>
  <c r="F374" i="1"/>
  <c r="H374" i="1"/>
  <c r="E375" i="1"/>
  <c r="F375" i="1"/>
  <c r="H375" i="1"/>
  <c r="E376" i="1"/>
  <c r="F376" i="1"/>
  <c r="H376" i="1"/>
  <c r="E377" i="1"/>
  <c r="F377" i="1"/>
  <c r="H377" i="1"/>
  <c r="E378" i="1"/>
  <c r="F378" i="1"/>
  <c r="H378" i="1"/>
  <c r="E379" i="1"/>
  <c r="F379" i="1"/>
  <c r="H379" i="1"/>
  <c r="E380" i="1"/>
  <c r="F380" i="1"/>
  <c r="H380" i="1"/>
  <c r="E381" i="1"/>
  <c r="F381" i="1"/>
  <c r="H381" i="1"/>
  <c r="E382" i="1"/>
  <c r="F382" i="1"/>
  <c r="H382" i="1"/>
  <c r="E383" i="1"/>
  <c r="F383" i="1"/>
  <c r="H383" i="1"/>
  <c r="E384" i="1"/>
  <c r="F384" i="1"/>
  <c r="H384" i="1"/>
  <c r="E385" i="1"/>
  <c r="F385" i="1"/>
  <c r="E386" i="1"/>
  <c r="F386" i="1"/>
  <c r="E387" i="1"/>
  <c r="F387" i="1"/>
  <c r="E388" i="1"/>
  <c r="F388" i="1"/>
  <c r="H388" i="1"/>
  <c r="E389" i="1"/>
  <c r="F389" i="1"/>
  <c r="H389" i="1"/>
  <c r="E390" i="1"/>
  <c r="F390" i="1"/>
  <c r="H390" i="1"/>
  <c r="E391" i="1"/>
  <c r="F391" i="1"/>
  <c r="H391" i="1"/>
  <c r="E392" i="1"/>
  <c r="F392" i="1"/>
  <c r="H392" i="1"/>
  <c r="E393" i="1"/>
  <c r="F393" i="1"/>
  <c r="H393" i="1"/>
  <c r="E394" i="1"/>
  <c r="F394" i="1"/>
  <c r="H394" i="1"/>
  <c r="E395" i="1"/>
  <c r="F395" i="1"/>
  <c r="H395" i="1"/>
  <c r="E396" i="1"/>
  <c r="F396" i="1"/>
  <c r="H396" i="1"/>
  <c r="E397" i="1"/>
  <c r="F397" i="1"/>
  <c r="H397" i="1"/>
  <c r="E398" i="1"/>
  <c r="F398" i="1"/>
  <c r="H398" i="1"/>
  <c r="E399" i="1"/>
  <c r="F399" i="1"/>
  <c r="H399" i="1"/>
  <c r="E400" i="1"/>
  <c r="F400" i="1"/>
  <c r="H400" i="1"/>
  <c r="E401" i="1"/>
  <c r="F401" i="1"/>
  <c r="H401" i="1"/>
  <c r="E402" i="1"/>
  <c r="F402" i="1"/>
  <c r="H402" i="1"/>
  <c r="E403" i="1"/>
  <c r="F403" i="1"/>
  <c r="H403" i="1"/>
  <c r="E404" i="1"/>
  <c r="F404" i="1"/>
  <c r="H404" i="1"/>
  <c r="E405" i="1"/>
  <c r="F405" i="1"/>
  <c r="H405" i="1"/>
  <c r="E406" i="1"/>
  <c r="F406" i="1"/>
  <c r="H406" i="1"/>
  <c r="E407" i="1"/>
  <c r="F407" i="1"/>
  <c r="H407" i="1"/>
  <c r="E408" i="1"/>
  <c r="F408" i="1"/>
  <c r="H408" i="1"/>
  <c r="E409" i="1"/>
  <c r="F409" i="1"/>
  <c r="H409" i="1"/>
  <c r="E410" i="1"/>
  <c r="F410" i="1"/>
  <c r="H410" i="1"/>
  <c r="E411" i="1"/>
  <c r="F411" i="1"/>
  <c r="H411" i="1"/>
  <c r="E412" i="1"/>
  <c r="F412" i="1"/>
  <c r="H412" i="1"/>
  <c r="E413" i="1"/>
  <c r="F413" i="1"/>
  <c r="H413" i="1"/>
  <c r="E414" i="1"/>
  <c r="F414" i="1"/>
  <c r="H414" i="1"/>
  <c r="E415" i="1"/>
  <c r="F415" i="1"/>
  <c r="H415" i="1"/>
  <c r="E416" i="1"/>
  <c r="F416" i="1"/>
  <c r="H416" i="1"/>
  <c r="E417" i="1"/>
  <c r="F417" i="1"/>
  <c r="H417" i="1"/>
  <c r="E418" i="1"/>
  <c r="F418" i="1"/>
  <c r="H418" i="1"/>
  <c r="E419" i="1"/>
  <c r="F419" i="1"/>
  <c r="H419" i="1"/>
  <c r="E420" i="1"/>
  <c r="F420" i="1"/>
  <c r="H420" i="1"/>
  <c r="E421" i="1"/>
  <c r="F421" i="1"/>
  <c r="H421" i="1"/>
  <c r="E422" i="1"/>
  <c r="F422" i="1"/>
  <c r="H422" i="1"/>
  <c r="E423" i="1"/>
  <c r="F423" i="1"/>
  <c r="H423" i="1"/>
  <c r="E424" i="1"/>
  <c r="F424" i="1"/>
  <c r="H424" i="1"/>
  <c r="E425" i="1"/>
  <c r="F425" i="1"/>
  <c r="H425" i="1"/>
  <c r="E426" i="1"/>
  <c r="F426" i="1"/>
  <c r="H426" i="1"/>
  <c r="E427" i="1"/>
  <c r="F427" i="1"/>
  <c r="H427" i="1"/>
  <c r="E428" i="1"/>
  <c r="F428" i="1"/>
  <c r="H428" i="1"/>
  <c r="E429" i="1"/>
  <c r="F429" i="1"/>
  <c r="H429" i="1"/>
  <c r="E430" i="1"/>
  <c r="F430" i="1"/>
  <c r="H430" i="1"/>
  <c r="E431" i="1"/>
  <c r="F431" i="1"/>
  <c r="H431" i="1"/>
  <c r="E432" i="1"/>
  <c r="F432" i="1"/>
  <c r="H432" i="1"/>
  <c r="E433" i="1"/>
  <c r="F433" i="1"/>
  <c r="H433" i="1"/>
  <c r="E434" i="1"/>
  <c r="F434" i="1"/>
  <c r="H434" i="1"/>
  <c r="E435" i="1"/>
  <c r="F435" i="1"/>
  <c r="H435" i="1"/>
  <c r="E436" i="1"/>
  <c r="F436" i="1"/>
  <c r="H436" i="1"/>
  <c r="E437" i="1"/>
  <c r="F437" i="1"/>
  <c r="H437" i="1"/>
  <c r="E438" i="1"/>
  <c r="F438" i="1"/>
  <c r="H438" i="1"/>
  <c r="E439" i="1"/>
  <c r="F439" i="1"/>
  <c r="H439" i="1"/>
  <c r="E440" i="1"/>
  <c r="F440" i="1"/>
  <c r="H440" i="1"/>
  <c r="E441" i="1"/>
  <c r="F441" i="1"/>
  <c r="H441" i="1"/>
  <c r="E442" i="1"/>
  <c r="F442" i="1"/>
  <c r="H442" i="1"/>
  <c r="E443" i="1"/>
  <c r="F443" i="1"/>
  <c r="H443" i="1"/>
  <c r="E444" i="1"/>
  <c r="F444" i="1"/>
  <c r="H444" i="1"/>
  <c r="E445" i="1"/>
  <c r="F445" i="1"/>
  <c r="H445" i="1"/>
  <c r="E446" i="1"/>
  <c r="F446" i="1"/>
  <c r="H446" i="1"/>
  <c r="E447" i="1"/>
  <c r="F447" i="1"/>
  <c r="H447" i="1"/>
  <c r="E448" i="1"/>
  <c r="F448" i="1"/>
  <c r="H448" i="1"/>
  <c r="E449" i="1"/>
  <c r="F449" i="1"/>
  <c r="H449" i="1"/>
  <c r="E450" i="1"/>
  <c r="F450" i="1"/>
  <c r="H450" i="1"/>
  <c r="E451" i="1"/>
  <c r="F451" i="1"/>
  <c r="H451" i="1"/>
  <c r="E452" i="1"/>
  <c r="F452" i="1"/>
  <c r="H452" i="1"/>
  <c r="E453" i="1"/>
  <c r="F453" i="1"/>
  <c r="H453" i="1"/>
  <c r="E454" i="1"/>
  <c r="F454" i="1"/>
  <c r="H454" i="1"/>
  <c r="E455" i="1"/>
  <c r="F455" i="1"/>
  <c r="H455" i="1"/>
  <c r="E456" i="1"/>
  <c r="F456" i="1"/>
  <c r="H456" i="1"/>
  <c r="E457" i="1"/>
  <c r="F457" i="1"/>
  <c r="H457" i="1"/>
  <c r="E458" i="1"/>
  <c r="F458" i="1"/>
  <c r="H458" i="1"/>
  <c r="E459" i="1"/>
  <c r="F459" i="1"/>
  <c r="H459" i="1"/>
  <c r="E460" i="1"/>
  <c r="F460" i="1"/>
  <c r="H460" i="1"/>
  <c r="E461" i="1"/>
  <c r="F461" i="1"/>
  <c r="H461" i="1"/>
  <c r="E462" i="1"/>
  <c r="F462" i="1"/>
  <c r="H462" i="1"/>
  <c r="E463" i="1"/>
  <c r="F463" i="1"/>
  <c r="H463" i="1"/>
  <c r="E464" i="1"/>
  <c r="F464" i="1"/>
  <c r="H464" i="1"/>
  <c r="E465" i="1"/>
  <c r="F465" i="1"/>
  <c r="H465" i="1"/>
  <c r="E466" i="1"/>
  <c r="F466" i="1"/>
  <c r="H466" i="1"/>
  <c r="E467" i="1"/>
  <c r="F467" i="1"/>
  <c r="H467" i="1"/>
  <c r="E468" i="1"/>
  <c r="F468" i="1"/>
  <c r="H468" i="1"/>
  <c r="E469" i="1"/>
  <c r="F469" i="1"/>
  <c r="H469" i="1"/>
  <c r="E470" i="1"/>
  <c r="F470" i="1"/>
  <c r="H470" i="1"/>
  <c r="E471" i="1"/>
  <c r="F471" i="1"/>
  <c r="H471" i="1"/>
  <c r="E472" i="1"/>
  <c r="F472" i="1"/>
  <c r="H472" i="1"/>
  <c r="E473" i="1"/>
  <c r="F473" i="1"/>
  <c r="H473" i="1"/>
  <c r="E474" i="1"/>
  <c r="F474" i="1"/>
  <c r="H474" i="1"/>
  <c r="E475" i="1"/>
  <c r="F475" i="1"/>
  <c r="H475" i="1"/>
  <c r="E476" i="1"/>
  <c r="F476" i="1"/>
  <c r="H476" i="1"/>
  <c r="E477" i="1"/>
  <c r="F477" i="1"/>
  <c r="H477" i="1"/>
  <c r="E478" i="1"/>
  <c r="F478" i="1"/>
  <c r="H478" i="1"/>
  <c r="E479" i="1"/>
  <c r="F479" i="1"/>
  <c r="H479" i="1"/>
  <c r="E480" i="1"/>
  <c r="F480" i="1"/>
  <c r="H480" i="1"/>
  <c r="E481" i="1"/>
  <c r="F481" i="1"/>
  <c r="H481" i="1"/>
  <c r="E482" i="1"/>
  <c r="F482" i="1"/>
  <c r="H482" i="1"/>
  <c r="E483" i="1"/>
  <c r="F483" i="1"/>
  <c r="H483" i="1"/>
  <c r="E484" i="1"/>
  <c r="F484" i="1"/>
  <c r="H484" i="1"/>
  <c r="E485" i="1"/>
  <c r="F485" i="1"/>
  <c r="H485" i="1"/>
  <c r="E486" i="1"/>
  <c r="F486" i="1"/>
  <c r="H486" i="1"/>
  <c r="E487" i="1"/>
  <c r="F487" i="1"/>
  <c r="H487" i="1"/>
  <c r="E488" i="1"/>
  <c r="F488" i="1"/>
  <c r="H488" i="1"/>
  <c r="E489" i="1"/>
  <c r="F489" i="1"/>
  <c r="H489" i="1"/>
  <c r="E490" i="1"/>
  <c r="F490" i="1"/>
  <c r="H490" i="1"/>
  <c r="E491" i="1"/>
  <c r="F491" i="1"/>
  <c r="H491" i="1"/>
  <c r="E492" i="1"/>
  <c r="F492" i="1"/>
  <c r="H492" i="1"/>
  <c r="E493" i="1"/>
  <c r="F493" i="1"/>
  <c r="H493" i="1"/>
  <c r="E494" i="1"/>
  <c r="F494" i="1"/>
  <c r="H494" i="1"/>
  <c r="E495" i="1"/>
  <c r="F495" i="1"/>
  <c r="H495" i="1"/>
  <c r="E496" i="1"/>
  <c r="F496" i="1"/>
  <c r="H496" i="1"/>
  <c r="E497" i="1"/>
  <c r="F497" i="1"/>
  <c r="H497" i="1"/>
  <c r="E498" i="1"/>
  <c r="F498" i="1"/>
  <c r="H498" i="1"/>
  <c r="E499" i="1"/>
  <c r="F499" i="1"/>
  <c r="H499" i="1"/>
  <c r="E500" i="1"/>
  <c r="F500" i="1"/>
  <c r="H500" i="1"/>
  <c r="E501" i="1"/>
  <c r="F501" i="1"/>
  <c r="H501" i="1"/>
  <c r="E502" i="1"/>
  <c r="F502" i="1"/>
  <c r="H502" i="1"/>
  <c r="E503" i="1"/>
  <c r="F503" i="1"/>
  <c r="H503" i="1"/>
  <c r="E504" i="1"/>
  <c r="F504" i="1"/>
  <c r="H504" i="1"/>
  <c r="E505" i="1"/>
  <c r="F505" i="1"/>
  <c r="H505" i="1"/>
  <c r="E506" i="1"/>
  <c r="F506" i="1"/>
  <c r="H506" i="1"/>
  <c r="E507" i="1"/>
  <c r="F507" i="1"/>
  <c r="H507" i="1"/>
  <c r="E508" i="1"/>
  <c r="F508" i="1"/>
  <c r="H508" i="1"/>
  <c r="E509" i="1"/>
  <c r="F509" i="1"/>
  <c r="H509" i="1"/>
  <c r="E510" i="1"/>
  <c r="F510" i="1"/>
  <c r="H510" i="1"/>
  <c r="E511" i="1"/>
  <c r="F511" i="1"/>
  <c r="H511" i="1"/>
  <c r="E512" i="1"/>
  <c r="F512" i="1"/>
  <c r="H512" i="1"/>
  <c r="E513" i="1"/>
  <c r="F513" i="1"/>
  <c r="H513" i="1"/>
  <c r="E514" i="1"/>
  <c r="F514" i="1"/>
  <c r="H514" i="1"/>
  <c r="E515" i="1"/>
  <c r="F515" i="1"/>
  <c r="H515" i="1"/>
  <c r="E516" i="1"/>
  <c r="F516" i="1"/>
  <c r="H516" i="1"/>
  <c r="E517" i="1"/>
  <c r="F517" i="1"/>
  <c r="H517" i="1"/>
  <c r="E518" i="1"/>
  <c r="F518" i="1"/>
  <c r="H518" i="1"/>
  <c r="E519" i="1"/>
  <c r="F519" i="1"/>
  <c r="H519" i="1"/>
  <c r="E520" i="1"/>
  <c r="F520" i="1"/>
  <c r="H520" i="1"/>
  <c r="E521" i="1"/>
  <c r="F521" i="1"/>
  <c r="H521" i="1"/>
  <c r="E522" i="1"/>
  <c r="F522" i="1"/>
  <c r="H522" i="1"/>
  <c r="E523" i="1"/>
  <c r="F523" i="1"/>
  <c r="H523" i="1"/>
  <c r="E524" i="1"/>
  <c r="F524" i="1"/>
  <c r="H524" i="1"/>
  <c r="E525" i="1"/>
  <c r="F525" i="1"/>
  <c r="H525" i="1"/>
  <c r="E526" i="1"/>
  <c r="F526" i="1"/>
  <c r="H526" i="1"/>
  <c r="E527" i="1"/>
  <c r="F527" i="1"/>
  <c r="H527" i="1"/>
  <c r="E528" i="1"/>
  <c r="F528" i="1"/>
  <c r="H528" i="1"/>
  <c r="E529" i="1"/>
  <c r="F529" i="1"/>
  <c r="H529" i="1"/>
  <c r="E530" i="1"/>
  <c r="F530" i="1"/>
  <c r="H530" i="1"/>
  <c r="E531" i="1"/>
  <c r="F531" i="1"/>
  <c r="H531" i="1"/>
  <c r="E532" i="1"/>
  <c r="F532" i="1"/>
  <c r="H532" i="1"/>
  <c r="E533" i="1"/>
  <c r="F533" i="1"/>
  <c r="H533" i="1"/>
  <c r="E534" i="1"/>
  <c r="F534" i="1"/>
  <c r="H534" i="1"/>
  <c r="E535" i="1"/>
  <c r="F535" i="1"/>
  <c r="H535" i="1"/>
  <c r="E536" i="1"/>
  <c r="F536" i="1"/>
  <c r="H536" i="1"/>
  <c r="E537" i="1"/>
  <c r="F537" i="1"/>
  <c r="H537" i="1"/>
  <c r="E538" i="1"/>
  <c r="F538" i="1"/>
  <c r="H538" i="1"/>
  <c r="E539" i="1"/>
  <c r="F539" i="1"/>
  <c r="H539" i="1"/>
  <c r="E540" i="1"/>
  <c r="F540" i="1"/>
  <c r="H540" i="1"/>
  <c r="E541" i="1"/>
  <c r="F541" i="1"/>
  <c r="H541" i="1"/>
  <c r="E542" i="1"/>
  <c r="F542" i="1"/>
  <c r="H542" i="1"/>
  <c r="E543" i="1"/>
  <c r="F543" i="1"/>
  <c r="H543" i="1"/>
  <c r="E544" i="1"/>
  <c r="F544" i="1"/>
  <c r="H544" i="1"/>
  <c r="E545" i="1"/>
  <c r="F545" i="1"/>
  <c r="H545" i="1"/>
  <c r="E546" i="1"/>
  <c r="F546" i="1"/>
  <c r="H546" i="1"/>
  <c r="E547" i="1"/>
  <c r="F547" i="1"/>
  <c r="H547" i="1"/>
  <c r="E548" i="1"/>
  <c r="F548" i="1"/>
  <c r="H548" i="1"/>
  <c r="E549" i="1"/>
  <c r="F549" i="1"/>
  <c r="H549" i="1"/>
  <c r="E550" i="1"/>
  <c r="F550" i="1"/>
  <c r="H550" i="1"/>
  <c r="E551" i="1"/>
  <c r="F551" i="1"/>
  <c r="H551" i="1"/>
  <c r="E552" i="1"/>
  <c r="F552" i="1"/>
  <c r="H552" i="1"/>
  <c r="E553" i="1"/>
  <c r="F553" i="1"/>
  <c r="H553" i="1"/>
  <c r="E554" i="1"/>
  <c r="F554" i="1"/>
  <c r="H554" i="1"/>
  <c r="E555" i="1"/>
  <c r="F555" i="1"/>
  <c r="H555" i="1"/>
  <c r="E556" i="1"/>
  <c r="F556" i="1"/>
  <c r="H556" i="1"/>
  <c r="E557" i="1"/>
  <c r="F557" i="1"/>
  <c r="H557" i="1"/>
  <c r="E558" i="1"/>
  <c r="F558" i="1"/>
  <c r="H558" i="1"/>
  <c r="E559" i="1"/>
  <c r="F559" i="1"/>
  <c r="H559" i="1"/>
  <c r="E560" i="1"/>
  <c r="F560" i="1"/>
  <c r="H560" i="1"/>
  <c r="E561" i="1"/>
  <c r="F561" i="1"/>
  <c r="H561" i="1"/>
  <c r="E562" i="1"/>
  <c r="F562" i="1"/>
  <c r="H562" i="1"/>
  <c r="E563" i="1"/>
  <c r="F563" i="1"/>
  <c r="H563" i="1"/>
  <c r="E564" i="1"/>
  <c r="F564" i="1"/>
  <c r="H564" i="1"/>
  <c r="E565" i="1"/>
  <c r="F565" i="1"/>
  <c r="H565" i="1"/>
  <c r="E566" i="1"/>
  <c r="F566" i="1"/>
  <c r="H566" i="1"/>
  <c r="E567" i="1"/>
  <c r="F567" i="1"/>
  <c r="H567" i="1"/>
  <c r="E568" i="1"/>
  <c r="F568" i="1"/>
  <c r="H568" i="1"/>
  <c r="E569" i="1"/>
  <c r="F569" i="1"/>
  <c r="H569" i="1"/>
  <c r="E570" i="1"/>
  <c r="F570" i="1"/>
  <c r="H570" i="1"/>
  <c r="E571" i="1"/>
  <c r="F571" i="1"/>
  <c r="H571" i="1"/>
  <c r="E572" i="1"/>
  <c r="F572" i="1"/>
  <c r="H572" i="1"/>
  <c r="E573" i="1"/>
  <c r="F573" i="1"/>
  <c r="H573" i="1"/>
  <c r="E574" i="1"/>
  <c r="F574" i="1"/>
  <c r="H574" i="1"/>
  <c r="E575" i="1"/>
  <c r="F575" i="1"/>
  <c r="H575" i="1"/>
  <c r="E576" i="1"/>
  <c r="F576" i="1"/>
  <c r="H576" i="1"/>
  <c r="E577" i="1"/>
  <c r="F577" i="1"/>
  <c r="H577" i="1"/>
  <c r="E578" i="1"/>
  <c r="F578" i="1"/>
  <c r="H578" i="1"/>
  <c r="E579" i="1"/>
  <c r="F579" i="1"/>
  <c r="H579" i="1"/>
  <c r="E580" i="1"/>
  <c r="F580" i="1"/>
  <c r="H580" i="1"/>
  <c r="E581" i="1"/>
  <c r="F581" i="1"/>
  <c r="H581" i="1"/>
  <c r="E582" i="1"/>
  <c r="F582" i="1"/>
  <c r="H582" i="1"/>
  <c r="E583" i="1"/>
  <c r="F583" i="1"/>
  <c r="H583" i="1"/>
  <c r="E584" i="1"/>
  <c r="F584" i="1"/>
  <c r="H584" i="1"/>
  <c r="E585" i="1"/>
  <c r="F585" i="1"/>
  <c r="H585" i="1"/>
  <c r="E586" i="1"/>
  <c r="F586" i="1"/>
  <c r="H586" i="1"/>
  <c r="E587" i="1"/>
  <c r="F587" i="1"/>
  <c r="H587" i="1"/>
  <c r="E588" i="1"/>
  <c r="F588" i="1"/>
  <c r="H588" i="1"/>
  <c r="E589" i="1"/>
  <c r="F589" i="1"/>
  <c r="H589" i="1"/>
  <c r="E590" i="1"/>
  <c r="F590" i="1"/>
  <c r="H590" i="1"/>
  <c r="E591" i="1"/>
  <c r="F591" i="1"/>
  <c r="H591" i="1"/>
  <c r="E592" i="1"/>
  <c r="F592" i="1"/>
  <c r="H592" i="1"/>
  <c r="E593" i="1"/>
  <c r="F593" i="1"/>
  <c r="H593" i="1"/>
  <c r="E594" i="1"/>
  <c r="F594" i="1"/>
  <c r="H594" i="1"/>
  <c r="E595" i="1"/>
  <c r="F595" i="1"/>
  <c r="H595" i="1"/>
  <c r="E596" i="1"/>
  <c r="F596" i="1"/>
  <c r="H596" i="1"/>
  <c r="E597" i="1"/>
  <c r="F597" i="1"/>
  <c r="H597" i="1"/>
  <c r="E598" i="1"/>
  <c r="F598" i="1"/>
  <c r="H598" i="1"/>
  <c r="E599" i="1"/>
  <c r="F599" i="1"/>
  <c r="H599" i="1"/>
  <c r="E600" i="1"/>
  <c r="F600" i="1"/>
  <c r="H600" i="1"/>
  <c r="E601" i="1"/>
  <c r="F601" i="1"/>
  <c r="H601" i="1"/>
  <c r="E602" i="1"/>
  <c r="F602" i="1"/>
  <c r="H602" i="1"/>
  <c r="E603" i="1"/>
  <c r="F603" i="1"/>
  <c r="H603" i="1"/>
  <c r="E604" i="1"/>
  <c r="F604" i="1"/>
  <c r="H604" i="1"/>
  <c r="E605" i="1"/>
  <c r="F605" i="1"/>
  <c r="H605" i="1"/>
  <c r="E606" i="1"/>
  <c r="F606" i="1"/>
  <c r="H606" i="1"/>
  <c r="E607" i="1"/>
  <c r="F607" i="1"/>
  <c r="H607" i="1"/>
  <c r="E608" i="1"/>
  <c r="F608" i="1"/>
  <c r="H608" i="1"/>
  <c r="E609" i="1"/>
  <c r="F609" i="1"/>
  <c r="H609" i="1"/>
  <c r="E610" i="1"/>
  <c r="F610" i="1"/>
  <c r="H610" i="1"/>
  <c r="E611" i="1"/>
  <c r="F611" i="1"/>
  <c r="H611" i="1"/>
  <c r="E612" i="1"/>
  <c r="F612" i="1"/>
  <c r="H612" i="1"/>
  <c r="E613" i="1"/>
  <c r="F613" i="1"/>
  <c r="H613" i="1"/>
  <c r="E614" i="1"/>
  <c r="F614" i="1"/>
  <c r="H614" i="1"/>
  <c r="E615" i="1"/>
  <c r="F615" i="1"/>
  <c r="H615" i="1"/>
  <c r="E616" i="1"/>
  <c r="F616" i="1"/>
  <c r="H616" i="1"/>
  <c r="E617" i="1"/>
  <c r="F617" i="1"/>
  <c r="H617" i="1"/>
  <c r="E618" i="1"/>
  <c r="F618" i="1"/>
  <c r="H618" i="1"/>
  <c r="E619" i="1"/>
  <c r="F619" i="1"/>
  <c r="H619" i="1"/>
  <c r="E620" i="1"/>
  <c r="F620" i="1"/>
  <c r="H620" i="1"/>
  <c r="E621" i="1"/>
  <c r="F621" i="1"/>
  <c r="H621" i="1"/>
  <c r="E622" i="1"/>
  <c r="F622" i="1"/>
  <c r="H622" i="1"/>
  <c r="E623" i="1"/>
  <c r="F623" i="1"/>
  <c r="H623" i="1"/>
  <c r="E624" i="1"/>
  <c r="F624" i="1"/>
  <c r="H624" i="1"/>
  <c r="E625" i="1"/>
  <c r="F625" i="1"/>
  <c r="H625" i="1"/>
  <c r="E626" i="1"/>
  <c r="F626" i="1"/>
  <c r="H626" i="1"/>
  <c r="E627" i="1"/>
  <c r="F627" i="1"/>
  <c r="H627" i="1"/>
  <c r="E628" i="1"/>
  <c r="F628" i="1"/>
  <c r="H628" i="1"/>
  <c r="E629" i="1"/>
  <c r="F629" i="1"/>
  <c r="H629" i="1"/>
  <c r="E630" i="1"/>
  <c r="F630" i="1"/>
  <c r="H630" i="1"/>
  <c r="E631" i="1"/>
  <c r="F631" i="1"/>
  <c r="H631" i="1"/>
  <c r="E632" i="1"/>
  <c r="F632" i="1"/>
  <c r="H632" i="1"/>
  <c r="E633" i="1"/>
  <c r="F633" i="1"/>
  <c r="H633" i="1"/>
  <c r="E634" i="1"/>
  <c r="F634" i="1"/>
  <c r="H634" i="1"/>
  <c r="E635" i="1"/>
  <c r="F635" i="1"/>
  <c r="H635" i="1"/>
  <c r="E636" i="1"/>
  <c r="F636" i="1"/>
  <c r="H636" i="1"/>
  <c r="E637" i="1"/>
  <c r="F637" i="1"/>
  <c r="H637" i="1"/>
  <c r="E638" i="1"/>
  <c r="F638" i="1"/>
  <c r="H638" i="1"/>
  <c r="E639" i="1"/>
  <c r="F639" i="1"/>
  <c r="H639" i="1"/>
  <c r="E640" i="1"/>
  <c r="F640" i="1"/>
  <c r="H640" i="1"/>
  <c r="E641" i="1"/>
  <c r="F641" i="1"/>
  <c r="H641" i="1"/>
  <c r="E642" i="1"/>
  <c r="F642" i="1"/>
  <c r="H642" i="1"/>
  <c r="E643" i="1"/>
  <c r="F643" i="1"/>
  <c r="H643" i="1"/>
  <c r="E644" i="1"/>
  <c r="F644" i="1"/>
  <c r="H644" i="1"/>
  <c r="E645" i="1"/>
  <c r="F645" i="1"/>
  <c r="H645" i="1"/>
  <c r="E646" i="1"/>
  <c r="F646" i="1"/>
  <c r="H646" i="1"/>
  <c r="E647" i="1"/>
  <c r="F647" i="1"/>
  <c r="H647" i="1"/>
  <c r="E648" i="1"/>
  <c r="F648" i="1"/>
  <c r="H648" i="1"/>
  <c r="E649" i="1"/>
  <c r="F649" i="1"/>
  <c r="H649" i="1"/>
  <c r="E650" i="1"/>
  <c r="F650" i="1"/>
  <c r="H650" i="1"/>
  <c r="E651" i="1"/>
  <c r="F651" i="1"/>
  <c r="H651" i="1"/>
  <c r="E652" i="1"/>
  <c r="F652" i="1"/>
  <c r="H652" i="1"/>
  <c r="E653" i="1"/>
  <c r="F653" i="1"/>
  <c r="H653" i="1"/>
  <c r="E654" i="1"/>
  <c r="F654" i="1"/>
  <c r="H654" i="1"/>
  <c r="E655" i="1"/>
  <c r="F655" i="1"/>
  <c r="H655" i="1"/>
  <c r="E656" i="1"/>
  <c r="F656" i="1"/>
  <c r="H656" i="1"/>
  <c r="E657" i="1"/>
  <c r="F657" i="1"/>
  <c r="H657" i="1"/>
  <c r="E658" i="1"/>
  <c r="F658" i="1"/>
  <c r="H658" i="1"/>
  <c r="E659" i="1"/>
  <c r="F659" i="1"/>
  <c r="H659" i="1"/>
  <c r="E660" i="1"/>
  <c r="F660" i="1"/>
  <c r="H660" i="1"/>
  <c r="E661" i="1"/>
  <c r="F661" i="1"/>
  <c r="H661" i="1"/>
  <c r="E662" i="1"/>
  <c r="F662" i="1"/>
  <c r="H662" i="1"/>
  <c r="E663" i="1"/>
  <c r="F663" i="1"/>
  <c r="H663" i="1"/>
  <c r="E664" i="1"/>
  <c r="F664" i="1"/>
  <c r="H664" i="1"/>
  <c r="E665" i="1"/>
  <c r="F665" i="1"/>
  <c r="H665" i="1"/>
  <c r="E666" i="1"/>
  <c r="F666" i="1"/>
  <c r="H666" i="1"/>
  <c r="E667" i="1"/>
  <c r="F667" i="1"/>
  <c r="H667" i="1"/>
  <c r="E668" i="1"/>
  <c r="F668" i="1"/>
  <c r="H668" i="1"/>
  <c r="E669" i="1"/>
  <c r="F669" i="1"/>
  <c r="H669" i="1"/>
  <c r="E670" i="1"/>
  <c r="F670" i="1"/>
  <c r="H670" i="1"/>
  <c r="E671" i="1"/>
  <c r="F671" i="1"/>
  <c r="H671" i="1"/>
  <c r="E672" i="1"/>
  <c r="F672" i="1"/>
  <c r="H672" i="1"/>
  <c r="E673" i="1"/>
  <c r="F673" i="1"/>
  <c r="H673" i="1"/>
  <c r="E674" i="1"/>
  <c r="F674" i="1"/>
  <c r="H674" i="1"/>
  <c r="E675" i="1"/>
  <c r="F675" i="1"/>
  <c r="H675" i="1"/>
  <c r="E676" i="1"/>
  <c r="F676" i="1"/>
  <c r="H676" i="1"/>
  <c r="E677" i="1"/>
  <c r="F677" i="1"/>
  <c r="H677" i="1"/>
  <c r="E678" i="1"/>
  <c r="F678" i="1"/>
  <c r="H678" i="1"/>
  <c r="E679" i="1"/>
  <c r="F679" i="1"/>
  <c r="H679" i="1"/>
  <c r="E680" i="1"/>
  <c r="F680" i="1"/>
  <c r="H680" i="1"/>
  <c r="E681" i="1"/>
  <c r="F681" i="1"/>
  <c r="H681" i="1"/>
  <c r="E682" i="1"/>
  <c r="F682" i="1"/>
  <c r="H682" i="1"/>
  <c r="E683" i="1"/>
  <c r="F683" i="1"/>
  <c r="H683" i="1"/>
  <c r="E684" i="1"/>
  <c r="F684" i="1"/>
  <c r="H684" i="1"/>
  <c r="E685" i="1"/>
  <c r="F685" i="1"/>
  <c r="H685" i="1"/>
  <c r="E686" i="1"/>
  <c r="F686" i="1"/>
  <c r="H686" i="1"/>
  <c r="E687" i="1"/>
  <c r="F687" i="1"/>
  <c r="H687" i="1"/>
  <c r="E688" i="1"/>
  <c r="F688" i="1"/>
  <c r="H688" i="1"/>
  <c r="E689" i="1"/>
  <c r="F689" i="1"/>
  <c r="H689" i="1"/>
  <c r="E690" i="1"/>
  <c r="F690" i="1"/>
  <c r="H690" i="1"/>
  <c r="E691" i="1"/>
  <c r="F691" i="1"/>
  <c r="H691" i="1"/>
  <c r="E692" i="1"/>
  <c r="F692" i="1"/>
  <c r="H692" i="1"/>
  <c r="E693" i="1"/>
  <c r="F693" i="1"/>
  <c r="H693" i="1"/>
  <c r="E694" i="1"/>
  <c r="F694" i="1"/>
  <c r="H694" i="1"/>
  <c r="E695" i="1"/>
  <c r="F695" i="1"/>
  <c r="H695" i="1"/>
  <c r="E696" i="1"/>
  <c r="F696" i="1"/>
  <c r="H696" i="1"/>
  <c r="E697" i="1"/>
  <c r="F697" i="1"/>
  <c r="H697" i="1"/>
  <c r="E698" i="1"/>
  <c r="F698" i="1"/>
  <c r="H698" i="1"/>
  <c r="E699" i="1"/>
  <c r="F699" i="1"/>
  <c r="H699" i="1"/>
  <c r="E700" i="1"/>
  <c r="F700" i="1"/>
  <c r="H700" i="1"/>
  <c r="E701" i="1"/>
  <c r="F701" i="1"/>
  <c r="H701" i="1"/>
  <c r="E702" i="1"/>
  <c r="F702" i="1"/>
  <c r="H702" i="1"/>
  <c r="E703" i="1"/>
  <c r="F703" i="1"/>
  <c r="H703" i="1"/>
  <c r="E704" i="1"/>
  <c r="F704" i="1"/>
  <c r="H704" i="1"/>
  <c r="E705" i="1"/>
  <c r="F705" i="1"/>
  <c r="H705" i="1"/>
  <c r="E706" i="1"/>
  <c r="F706" i="1"/>
  <c r="H706" i="1"/>
  <c r="E707" i="1"/>
  <c r="F707" i="1"/>
  <c r="H707" i="1"/>
  <c r="E708" i="1"/>
  <c r="F708" i="1"/>
  <c r="H708" i="1"/>
  <c r="E709" i="1"/>
  <c r="F709" i="1"/>
  <c r="H709" i="1"/>
  <c r="E710" i="1"/>
  <c r="F710" i="1"/>
  <c r="H710" i="1"/>
  <c r="E711" i="1"/>
  <c r="F711" i="1"/>
  <c r="H711" i="1"/>
  <c r="E712" i="1"/>
  <c r="F712" i="1"/>
  <c r="H712" i="1"/>
  <c r="E713" i="1"/>
  <c r="F713" i="1"/>
  <c r="H713" i="1"/>
  <c r="E714" i="1"/>
  <c r="F714" i="1"/>
  <c r="H714" i="1"/>
  <c r="E715" i="1"/>
  <c r="F715" i="1"/>
  <c r="H715" i="1"/>
  <c r="E716" i="1"/>
  <c r="F716" i="1"/>
  <c r="H716" i="1"/>
  <c r="E717" i="1"/>
  <c r="F717" i="1"/>
  <c r="H717" i="1"/>
  <c r="E718" i="1"/>
  <c r="F718" i="1"/>
  <c r="H718" i="1"/>
  <c r="E719" i="1"/>
  <c r="F719" i="1"/>
  <c r="H719" i="1"/>
  <c r="E720" i="1"/>
  <c r="F720" i="1"/>
  <c r="H720" i="1"/>
  <c r="E721" i="1"/>
  <c r="F721" i="1"/>
  <c r="H721" i="1"/>
  <c r="E722" i="1"/>
  <c r="F722" i="1"/>
  <c r="H722" i="1"/>
  <c r="E723" i="1"/>
  <c r="F723" i="1"/>
  <c r="H723" i="1"/>
  <c r="E724" i="1"/>
  <c r="F724" i="1"/>
  <c r="H724" i="1"/>
  <c r="E725" i="1"/>
  <c r="F725" i="1"/>
  <c r="H725" i="1"/>
  <c r="E726" i="1"/>
  <c r="F726" i="1"/>
  <c r="H726" i="1"/>
  <c r="E727" i="1"/>
  <c r="F727" i="1"/>
  <c r="H727" i="1"/>
  <c r="E728" i="1"/>
  <c r="F728" i="1"/>
  <c r="H728" i="1"/>
  <c r="E729" i="1"/>
  <c r="F729" i="1"/>
  <c r="H729" i="1"/>
  <c r="E730" i="1"/>
  <c r="F730" i="1"/>
  <c r="H730" i="1"/>
  <c r="E731" i="1"/>
  <c r="F731" i="1"/>
  <c r="H731" i="1"/>
  <c r="E732" i="1"/>
  <c r="F732" i="1"/>
  <c r="H732" i="1"/>
  <c r="E733" i="1"/>
  <c r="F733" i="1"/>
  <c r="H733" i="1"/>
  <c r="E734" i="1"/>
  <c r="F734" i="1"/>
  <c r="H734" i="1"/>
  <c r="E735" i="1"/>
  <c r="F735" i="1"/>
  <c r="H735" i="1"/>
  <c r="E736" i="1"/>
  <c r="F736" i="1"/>
  <c r="H736" i="1"/>
  <c r="E737" i="1"/>
  <c r="F737" i="1"/>
  <c r="H737" i="1"/>
  <c r="E738" i="1"/>
  <c r="F738" i="1"/>
  <c r="H738" i="1"/>
  <c r="E739" i="1"/>
  <c r="F739" i="1"/>
  <c r="H739" i="1"/>
  <c r="E740" i="1"/>
  <c r="F740" i="1"/>
  <c r="H740" i="1"/>
  <c r="E741" i="1"/>
  <c r="F741" i="1"/>
  <c r="H741" i="1"/>
  <c r="E742" i="1"/>
  <c r="F742" i="1"/>
  <c r="H742" i="1"/>
  <c r="E743" i="1"/>
  <c r="F743" i="1"/>
  <c r="H743" i="1"/>
  <c r="E744" i="1"/>
  <c r="F744" i="1"/>
  <c r="H744" i="1"/>
  <c r="E745" i="1"/>
  <c r="F745" i="1"/>
  <c r="H745" i="1"/>
  <c r="E746" i="1"/>
  <c r="F746" i="1"/>
  <c r="H746" i="1"/>
  <c r="E747" i="1"/>
  <c r="F747" i="1"/>
  <c r="H747" i="1"/>
  <c r="E748" i="1"/>
  <c r="F748" i="1"/>
  <c r="H748" i="1"/>
  <c r="E749" i="1"/>
  <c r="F749" i="1"/>
  <c r="H749" i="1"/>
  <c r="E750" i="1"/>
  <c r="F750" i="1"/>
  <c r="H750" i="1"/>
  <c r="E751" i="1"/>
  <c r="F751" i="1"/>
  <c r="H751" i="1"/>
  <c r="E752" i="1"/>
  <c r="F752" i="1"/>
  <c r="H752" i="1"/>
  <c r="E753" i="1"/>
  <c r="F753" i="1"/>
  <c r="H753" i="1"/>
  <c r="E754" i="1"/>
  <c r="F754" i="1"/>
  <c r="H754" i="1"/>
  <c r="E755" i="1"/>
  <c r="F755" i="1"/>
  <c r="H755" i="1"/>
  <c r="E756" i="1"/>
  <c r="F756" i="1"/>
  <c r="H756" i="1"/>
  <c r="E757" i="1"/>
  <c r="F757" i="1"/>
  <c r="H757" i="1"/>
  <c r="E758" i="1"/>
  <c r="F758" i="1"/>
  <c r="H758" i="1"/>
  <c r="E759" i="1"/>
  <c r="F759" i="1"/>
  <c r="H759" i="1"/>
  <c r="E760" i="1"/>
  <c r="F760" i="1"/>
  <c r="H760" i="1"/>
  <c r="E761" i="1"/>
  <c r="F761" i="1"/>
  <c r="H761" i="1"/>
  <c r="E762" i="1"/>
  <c r="F762" i="1"/>
  <c r="H762" i="1"/>
  <c r="E763" i="1"/>
  <c r="F763" i="1"/>
  <c r="H763" i="1"/>
  <c r="E764" i="1"/>
  <c r="F764" i="1"/>
  <c r="H764" i="1"/>
  <c r="E765" i="1"/>
  <c r="F765" i="1"/>
  <c r="H765" i="1"/>
  <c r="E766" i="1"/>
  <c r="F766" i="1"/>
  <c r="H766" i="1"/>
  <c r="E767" i="1"/>
  <c r="F767" i="1"/>
  <c r="H767" i="1"/>
  <c r="E768" i="1"/>
  <c r="F768" i="1"/>
  <c r="H768" i="1"/>
  <c r="E769" i="1"/>
  <c r="F769" i="1"/>
  <c r="H769" i="1"/>
  <c r="E770" i="1"/>
  <c r="F770" i="1"/>
  <c r="H770" i="1"/>
  <c r="E771" i="1"/>
  <c r="F771" i="1"/>
  <c r="H771" i="1"/>
  <c r="E772" i="1"/>
  <c r="F772" i="1"/>
  <c r="H772" i="1"/>
  <c r="E773" i="1"/>
  <c r="F773" i="1"/>
  <c r="H773" i="1"/>
  <c r="E774" i="1"/>
  <c r="F774" i="1"/>
  <c r="H774" i="1"/>
  <c r="E775" i="1"/>
  <c r="F775" i="1"/>
  <c r="H775" i="1"/>
  <c r="E776" i="1"/>
  <c r="F776" i="1"/>
  <c r="H776" i="1"/>
  <c r="E777" i="1"/>
  <c r="F777" i="1"/>
  <c r="H777" i="1"/>
  <c r="E778" i="1"/>
  <c r="F778" i="1"/>
  <c r="H778" i="1"/>
  <c r="E779" i="1"/>
  <c r="F779" i="1"/>
  <c r="H779" i="1"/>
  <c r="E780" i="1"/>
  <c r="F780" i="1"/>
  <c r="H780" i="1"/>
  <c r="E781" i="1"/>
  <c r="F781" i="1"/>
  <c r="H781" i="1"/>
  <c r="E782" i="1"/>
  <c r="F782" i="1"/>
  <c r="H782" i="1"/>
  <c r="E783" i="1"/>
  <c r="F783" i="1"/>
  <c r="H783" i="1"/>
  <c r="E784" i="1"/>
  <c r="F784" i="1"/>
  <c r="H784" i="1"/>
  <c r="E785" i="1"/>
  <c r="F785" i="1"/>
  <c r="H785" i="1"/>
  <c r="E786" i="1"/>
  <c r="F786" i="1"/>
  <c r="H786" i="1"/>
  <c r="E787" i="1"/>
  <c r="F787" i="1"/>
  <c r="H787" i="1"/>
  <c r="E788" i="1"/>
  <c r="F788" i="1"/>
  <c r="H788" i="1"/>
  <c r="E789" i="1"/>
  <c r="F789" i="1"/>
  <c r="H789" i="1"/>
  <c r="E790" i="1"/>
  <c r="F790" i="1"/>
  <c r="H790" i="1"/>
  <c r="E791" i="1"/>
  <c r="F791" i="1"/>
  <c r="H791" i="1"/>
  <c r="E792" i="1"/>
  <c r="F792" i="1"/>
  <c r="H792" i="1"/>
  <c r="E793" i="1"/>
  <c r="F793" i="1"/>
  <c r="H793" i="1"/>
  <c r="E794" i="1"/>
  <c r="F794" i="1"/>
  <c r="H794" i="1"/>
  <c r="E795" i="1"/>
  <c r="F795" i="1"/>
  <c r="H795" i="1"/>
  <c r="E796" i="1"/>
  <c r="F796" i="1"/>
  <c r="H796" i="1"/>
  <c r="E797" i="1"/>
  <c r="F797" i="1"/>
  <c r="H797" i="1"/>
  <c r="E798" i="1"/>
  <c r="F798" i="1"/>
  <c r="H798" i="1"/>
  <c r="E799" i="1"/>
  <c r="F799" i="1"/>
  <c r="H799" i="1"/>
  <c r="E800" i="1"/>
  <c r="F800" i="1"/>
  <c r="H800" i="1"/>
  <c r="E801" i="1"/>
  <c r="F801" i="1"/>
  <c r="H801" i="1"/>
  <c r="E802" i="1"/>
  <c r="F802" i="1"/>
  <c r="H802" i="1"/>
  <c r="E803" i="1"/>
  <c r="F803" i="1"/>
  <c r="H803" i="1"/>
  <c r="E804" i="1"/>
  <c r="F804" i="1"/>
  <c r="H804" i="1"/>
  <c r="E805" i="1"/>
  <c r="F805" i="1"/>
  <c r="H805" i="1"/>
  <c r="E806" i="1"/>
  <c r="F806" i="1"/>
  <c r="H806" i="1"/>
  <c r="E807" i="1"/>
  <c r="F807" i="1"/>
  <c r="H807" i="1"/>
  <c r="E808" i="1"/>
  <c r="F808" i="1"/>
  <c r="H808" i="1"/>
  <c r="E809" i="1"/>
  <c r="F809" i="1"/>
  <c r="H809" i="1"/>
  <c r="E810" i="1"/>
  <c r="F810" i="1"/>
  <c r="H810" i="1"/>
  <c r="E811" i="1"/>
  <c r="F811" i="1"/>
  <c r="H811" i="1"/>
  <c r="E812" i="1"/>
  <c r="F812" i="1"/>
  <c r="H812" i="1"/>
  <c r="E813" i="1"/>
  <c r="F813" i="1"/>
  <c r="H813" i="1"/>
  <c r="E814" i="1"/>
  <c r="F814" i="1"/>
  <c r="H814" i="1"/>
  <c r="E815" i="1"/>
  <c r="F815" i="1"/>
  <c r="H815" i="1"/>
  <c r="E816" i="1"/>
  <c r="F816" i="1"/>
  <c r="H816" i="1"/>
  <c r="E817" i="1"/>
  <c r="F817" i="1"/>
  <c r="H817" i="1"/>
  <c r="E818" i="1"/>
  <c r="F818" i="1"/>
  <c r="H818" i="1"/>
  <c r="E819" i="1"/>
  <c r="F819" i="1"/>
  <c r="H819" i="1"/>
  <c r="E820" i="1"/>
  <c r="F820" i="1"/>
  <c r="H820" i="1"/>
  <c r="E821" i="1"/>
  <c r="F821" i="1"/>
  <c r="H821" i="1"/>
  <c r="E822" i="1"/>
  <c r="F822" i="1"/>
  <c r="H822" i="1"/>
  <c r="E823" i="1"/>
  <c r="F823" i="1"/>
  <c r="H823" i="1"/>
  <c r="E824" i="1"/>
  <c r="F824" i="1"/>
  <c r="H824" i="1"/>
  <c r="E825" i="1"/>
  <c r="F825" i="1"/>
  <c r="H825" i="1"/>
  <c r="E826" i="1"/>
  <c r="F826" i="1"/>
  <c r="H826" i="1"/>
  <c r="E827" i="1"/>
  <c r="F827" i="1"/>
  <c r="H827" i="1"/>
  <c r="E828" i="1"/>
  <c r="F828" i="1"/>
  <c r="H828" i="1"/>
  <c r="E829" i="1"/>
  <c r="F829" i="1"/>
  <c r="H829" i="1"/>
  <c r="E830" i="1"/>
  <c r="F830" i="1"/>
  <c r="H830" i="1"/>
  <c r="E831" i="1"/>
  <c r="F831" i="1"/>
  <c r="H831" i="1"/>
  <c r="E832" i="1"/>
  <c r="F832" i="1"/>
  <c r="H832" i="1"/>
  <c r="E833" i="1"/>
  <c r="F833" i="1"/>
  <c r="H833" i="1"/>
  <c r="E834" i="1"/>
  <c r="F834" i="1"/>
  <c r="H834" i="1"/>
  <c r="E835" i="1"/>
  <c r="F835" i="1"/>
  <c r="H835" i="1"/>
  <c r="E836" i="1"/>
  <c r="F836" i="1"/>
  <c r="H836" i="1"/>
  <c r="E837" i="1"/>
  <c r="F837" i="1"/>
  <c r="H837" i="1"/>
  <c r="E838" i="1"/>
  <c r="F838" i="1"/>
  <c r="H838" i="1"/>
  <c r="E839" i="1"/>
  <c r="F839" i="1"/>
  <c r="H839" i="1"/>
  <c r="E840" i="1"/>
  <c r="F840" i="1"/>
  <c r="H840" i="1"/>
  <c r="E841" i="1"/>
  <c r="F841" i="1"/>
  <c r="H841" i="1"/>
  <c r="E842" i="1"/>
  <c r="F842" i="1"/>
  <c r="H842" i="1"/>
  <c r="E843" i="1"/>
  <c r="F843" i="1"/>
  <c r="H843" i="1"/>
  <c r="E844" i="1"/>
  <c r="F844" i="1"/>
  <c r="H844" i="1"/>
  <c r="E845" i="1"/>
  <c r="F845" i="1"/>
  <c r="H845" i="1"/>
  <c r="E846" i="1"/>
  <c r="F846" i="1"/>
  <c r="H846" i="1"/>
  <c r="E847" i="1"/>
  <c r="F847" i="1"/>
  <c r="H847" i="1"/>
  <c r="E848" i="1"/>
  <c r="F848" i="1"/>
  <c r="H848" i="1"/>
  <c r="E849" i="1"/>
  <c r="F849" i="1"/>
  <c r="H849" i="1"/>
  <c r="E850" i="1"/>
  <c r="F850" i="1"/>
  <c r="H850" i="1"/>
  <c r="E851" i="1"/>
  <c r="F851" i="1"/>
  <c r="H851" i="1"/>
  <c r="E852" i="1"/>
  <c r="F852" i="1"/>
  <c r="H852" i="1"/>
  <c r="E853" i="1"/>
  <c r="F853" i="1"/>
  <c r="H853" i="1"/>
  <c r="E854" i="1"/>
  <c r="F854" i="1"/>
  <c r="H854" i="1"/>
  <c r="E855" i="1"/>
  <c r="F855" i="1"/>
  <c r="H855" i="1"/>
  <c r="E856" i="1"/>
  <c r="F856" i="1"/>
  <c r="H856" i="1"/>
  <c r="E857" i="1"/>
  <c r="F857" i="1"/>
  <c r="H857" i="1"/>
  <c r="E858" i="1"/>
  <c r="F858" i="1"/>
  <c r="H858" i="1"/>
  <c r="E859" i="1"/>
  <c r="F859" i="1"/>
  <c r="H859" i="1"/>
  <c r="E860" i="1"/>
  <c r="F860" i="1"/>
  <c r="H860" i="1"/>
  <c r="E861" i="1"/>
  <c r="F861" i="1"/>
  <c r="H861" i="1"/>
  <c r="E862" i="1"/>
  <c r="F862" i="1"/>
  <c r="H862" i="1"/>
  <c r="E863" i="1"/>
  <c r="F863" i="1"/>
  <c r="H863" i="1"/>
  <c r="E864" i="1"/>
  <c r="F864" i="1"/>
  <c r="H864" i="1"/>
  <c r="E865" i="1"/>
  <c r="F865" i="1"/>
  <c r="H865" i="1"/>
  <c r="E866" i="1"/>
  <c r="F866" i="1"/>
  <c r="H866" i="1"/>
  <c r="E867" i="1"/>
  <c r="F867" i="1"/>
  <c r="H867" i="1"/>
  <c r="E868" i="1"/>
  <c r="F868" i="1"/>
  <c r="H868" i="1"/>
  <c r="E869" i="1"/>
  <c r="F869" i="1"/>
  <c r="H869" i="1"/>
  <c r="E870" i="1"/>
  <c r="F870" i="1"/>
  <c r="H870" i="1"/>
  <c r="E871" i="1"/>
  <c r="F871" i="1"/>
  <c r="H871" i="1"/>
  <c r="E872" i="1"/>
  <c r="F872" i="1"/>
  <c r="H872" i="1"/>
  <c r="E873" i="1"/>
  <c r="F873" i="1"/>
  <c r="H873" i="1"/>
  <c r="E874" i="1"/>
  <c r="F874" i="1"/>
  <c r="H874" i="1"/>
  <c r="E875" i="1"/>
  <c r="F875" i="1"/>
  <c r="H875" i="1"/>
  <c r="E876" i="1"/>
  <c r="F876" i="1"/>
  <c r="H876" i="1"/>
  <c r="E877" i="1"/>
  <c r="F877" i="1"/>
  <c r="H877" i="1"/>
  <c r="E878" i="1"/>
  <c r="F878" i="1"/>
  <c r="H878" i="1"/>
  <c r="E879" i="1"/>
  <c r="F879" i="1"/>
  <c r="H879" i="1"/>
  <c r="E880" i="1"/>
  <c r="F880" i="1"/>
  <c r="H880" i="1"/>
  <c r="E881" i="1"/>
  <c r="F881" i="1"/>
  <c r="H881" i="1"/>
  <c r="E882" i="1"/>
  <c r="F882" i="1"/>
  <c r="H882" i="1"/>
  <c r="E883" i="1"/>
  <c r="F883" i="1"/>
  <c r="H883" i="1"/>
  <c r="E884" i="1"/>
  <c r="F884" i="1"/>
  <c r="H884" i="1"/>
  <c r="E885" i="1"/>
  <c r="F885" i="1"/>
  <c r="H885" i="1"/>
  <c r="E886" i="1"/>
  <c r="F886" i="1"/>
  <c r="H886" i="1"/>
  <c r="E887" i="1"/>
  <c r="F887" i="1"/>
  <c r="H887" i="1"/>
  <c r="E888" i="1"/>
  <c r="F888" i="1"/>
  <c r="H888" i="1"/>
  <c r="E889" i="1"/>
  <c r="F889" i="1"/>
  <c r="H889" i="1"/>
  <c r="E890" i="1"/>
  <c r="F890" i="1"/>
  <c r="H890" i="1"/>
  <c r="E891" i="1"/>
  <c r="F891" i="1"/>
  <c r="H891" i="1"/>
  <c r="E892" i="1"/>
  <c r="F892" i="1"/>
  <c r="H892" i="1"/>
  <c r="E893" i="1"/>
  <c r="F893" i="1"/>
  <c r="H893" i="1"/>
  <c r="E894" i="1"/>
  <c r="F894" i="1"/>
  <c r="H894" i="1"/>
  <c r="E895" i="1"/>
  <c r="F895" i="1"/>
  <c r="H895" i="1"/>
  <c r="E896" i="1"/>
  <c r="F896" i="1"/>
  <c r="H896" i="1"/>
  <c r="E897" i="1"/>
  <c r="F897" i="1"/>
  <c r="H897" i="1"/>
  <c r="E898" i="1"/>
  <c r="F898" i="1"/>
  <c r="H898" i="1"/>
  <c r="E899" i="1"/>
  <c r="F899" i="1"/>
  <c r="H899" i="1"/>
  <c r="E900" i="1"/>
  <c r="F900" i="1"/>
  <c r="H900" i="1"/>
  <c r="E901" i="1"/>
  <c r="F901" i="1"/>
  <c r="H901" i="1"/>
  <c r="E902" i="1"/>
  <c r="F902" i="1"/>
  <c r="H902" i="1"/>
  <c r="E903" i="1"/>
  <c r="F903" i="1"/>
  <c r="H903" i="1"/>
  <c r="E904" i="1"/>
  <c r="F904" i="1"/>
  <c r="H904" i="1"/>
  <c r="E905" i="1"/>
  <c r="F905" i="1"/>
  <c r="H905" i="1"/>
  <c r="E906" i="1"/>
  <c r="F906" i="1"/>
  <c r="H906" i="1"/>
  <c r="E907" i="1"/>
  <c r="F907" i="1"/>
  <c r="H907" i="1"/>
  <c r="E908" i="1"/>
  <c r="F908" i="1"/>
  <c r="H908" i="1"/>
  <c r="E909" i="1"/>
  <c r="F909" i="1"/>
  <c r="H909" i="1"/>
  <c r="E910" i="1"/>
  <c r="F910" i="1"/>
  <c r="H910" i="1"/>
  <c r="E911" i="1"/>
  <c r="F911" i="1"/>
  <c r="H911" i="1"/>
  <c r="E912" i="1"/>
  <c r="F912" i="1"/>
  <c r="H912" i="1"/>
  <c r="E913" i="1"/>
  <c r="F913" i="1"/>
  <c r="H913" i="1"/>
  <c r="E914" i="1"/>
  <c r="F914" i="1"/>
  <c r="H914" i="1"/>
  <c r="E915" i="1"/>
  <c r="F915" i="1"/>
  <c r="H915" i="1"/>
  <c r="E916" i="1"/>
  <c r="F916" i="1"/>
  <c r="H916" i="1"/>
  <c r="E917" i="1"/>
  <c r="F917" i="1"/>
  <c r="H917" i="1"/>
  <c r="E918" i="1"/>
  <c r="F918" i="1"/>
  <c r="H918" i="1"/>
  <c r="E919" i="1"/>
  <c r="F919" i="1"/>
  <c r="H919" i="1"/>
  <c r="E920" i="1"/>
  <c r="F920" i="1"/>
  <c r="H920" i="1"/>
  <c r="E921" i="1"/>
  <c r="F921" i="1"/>
  <c r="H921" i="1"/>
  <c r="E922" i="1"/>
  <c r="F922" i="1"/>
  <c r="H922" i="1"/>
  <c r="E923" i="1"/>
  <c r="F923" i="1"/>
  <c r="H923" i="1"/>
  <c r="E924" i="1"/>
  <c r="F924" i="1"/>
  <c r="H924" i="1"/>
  <c r="E925" i="1"/>
  <c r="F925" i="1"/>
  <c r="H925" i="1"/>
  <c r="E926" i="1"/>
  <c r="F926" i="1"/>
  <c r="H926" i="1"/>
  <c r="E927" i="1"/>
  <c r="F927" i="1"/>
  <c r="H927" i="1"/>
  <c r="E928" i="1"/>
  <c r="F928" i="1"/>
  <c r="H928" i="1"/>
  <c r="E929" i="1"/>
  <c r="F929" i="1"/>
  <c r="H929" i="1"/>
  <c r="E930" i="1"/>
  <c r="F930" i="1"/>
  <c r="H930" i="1"/>
  <c r="E931" i="1"/>
  <c r="F931" i="1"/>
  <c r="H931" i="1"/>
  <c r="E932" i="1"/>
  <c r="F932" i="1"/>
  <c r="H932" i="1"/>
  <c r="E933" i="1"/>
  <c r="F933" i="1"/>
  <c r="H933" i="1"/>
  <c r="E934" i="1"/>
  <c r="F934" i="1"/>
  <c r="H934" i="1"/>
  <c r="E935" i="1"/>
  <c r="F935" i="1"/>
  <c r="H935" i="1"/>
  <c r="E936" i="1"/>
  <c r="F936" i="1"/>
  <c r="H936" i="1"/>
  <c r="E937" i="1"/>
  <c r="F937" i="1"/>
  <c r="H937" i="1"/>
  <c r="E938" i="1"/>
  <c r="F938" i="1"/>
  <c r="H938" i="1"/>
  <c r="E939" i="1"/>
  <c r="F939" i="1"/>
  <c r="H939" i="1"/>
  <c r="E940" i="1"/>
  <c r="F940" i="1"/>
  <c r="H940" i="1"/>
  <c r="E941" i="1"/>
  <c r="F941" i="1"/>
  <c r="H941" i="1"/>
  <c r="E942" i="1"/>
  <c r="F942" i="1"/>
  <c r="H942" i="1"/>
  <c r="E943" i="1"/>
  <c r="F943" i="1"/>
  <c r="H943" i="1"/>
  <c r="E944" i="1"/>
  <c r="F944" i="1"/>
  <c r="H944" i="1"/>
  <c r="E945" i="1"/>
  <c r="F945" i="1"/>
  <c r="H945" i="1"/>
  <c r="E946" i="1"/>
  <c r="F946" i="1"/>
  <c r="H946" i="1"/>
  <c r="E947" i="1"/>
  <c r="F947" i="1"/>
  <c r="H947" i="1"/>
  <c r="E948" i="1"/>
  <c r="F948" i="1"/>
  <c r="H948" i="1"/>
  <c r="E949" i="1"/>
  <c r="F949" i="1"/>
  <c r="H949" i="1"/>
  <c r="E950" i="1"/>
  <c r="F950" i="1"/>
  <c r="H950" i="1"/>
  <c r="E951" i="1"/>
  <c r="F951" i="1"/>
  <c r="H951" i="1"/>
  <c r="E952" i="1"/>
  <c r="F952" i="1"/>
  <c r="H952" i="1"/>
  <c r="E953" i="1"/>
  <c r="F953" i="1"/>
  <c r="H953" i="1"/>
  <c r="E954" i="1"/>
  <c r="F954" i="1"/>
  <c r="H954" i="1"/>
  <c r="E955" i="1"/>
  <c r="F955" i="1"/>
  <c r="H955" i="1"/>
  <c r="E956" i="1"/>
  <c r="F956" i="1"/>
  <c r="H956" i="1"/>
  <c r="E957" i="1"/>
  <c r="F957" i="1"/>
  <c r="H957" i="1"/>
  <c r="E958" i="1"/>
  <c r="F958" i="1"/>
  <c r="H958" i="1"/>
  <c r="E959" i="1"/>
  <c r="F959" i="1"/>
  <c r="H959" i="1"/>
  <c r="E960" i="1"/>
  <c r="F960" i="1"/>
  <c r="H960" i="1"/>
  <c r="E961" i="1"/>
  <c r="F961" i="1"/>
  <c r="H961" i="1"/>
  <c r="E962" i="1"/>
  <c r="F962" i="1"/>
  <c r="H962" i="1"/>
  <c r="E963" i="1"/>
  <c r="F963" i="1"/>
  <c r="H963" i="1"/>
  <c r="E964" i="1"/>
  <c r="F964" i="1"/>
  <c r="H964" i="1"/>
  <c r="E965" i="1"/>
  <c r="F965" i="1"/>
  <c r="H965" i="1"/>
  <c r="E966" i="1"/>
  <c r="F966" i="1"/>
  <c r="H966" i="1"/>
  <c r="E967" i="1"/>
  <c r="F967" i="1"/>
  <c r="H967" i="1"/>
  <c r="E968" i="1"/>
  <c r="F968" i="1"/>
  <c r="H968" i="1"/>
  <c r="E969" i="1"/>
  <c r="F969" i="1"/>
  <c r="H969" i="1"/>
  <c r="E970" i="1"/>
  <c r="F970" i="1"/>
  <c r="H970" i="1"/>
  <c r="E971" i="1"/>
  <c r="F971" i="1"/>
  <c r="H971" i="1"/>
  <c r="E972" i="1"/>
  <c r="F972" i="1"/>
  <c r="H972" i="1"/>
  <c r="E973" i="1"/>
  <c r="F973" i="1"/>
  <c r="H973" i="1"/>
  <c r="E974" i="1"/>
  <c r="F974" i="1"/>
  <c r="H974" i="1"/>
  <c r="E975" i="1"/>
  <c r="F975" i="1"/>
  <c r="H975" i="1"/>
  <c r="E976" i="1"/>
  <c r="F976" i="1"/>
  <c r="H976" i="1"/>
  <c r="E977" i="1"/>
  <c r="F977" i="1"/>
  <c r="H977" i="1"/>
  <c r="E978" i="1"/>
  <c r="F978" i="1"/>
  <c r="H978" i="1"/>
  <c r="E979" i="1"/>
  <c r="F979" i="1"/>
  <c r="H979" i="1"/>
  <c r="E980" i="1"/>
  <c r="F980" i="1"/>
  <c r="H980" i="1"/>
  <c r="E981" i="1"/>
  <c r="F981" i="1"/>
  <c r="H981" i="1"/>
  <c r="E982" i="1"/>
  <c r="F982" i="1"/>
  <c r="H982" i="1"/>
  <c r="E983" i="1"/>
  <c r="F983" i="1"/>
  <c r="H983" i="1"/>
  <c r="E984" i="1"/>
  <c r="F984" i="1"/>
  <c r="H984" i="1"/>
  <c r="E985" i="1"/>
  <c r="F985" i="1"/>
  <c r="H985" i="1"/>
  <c r="E986" i="1"/>
  <c r="F986" i="1"/>
  <c r="H986" i="1"/>
  <c r="E987" i="1"/>
  <c r="F987" i="1"/>
  <c r="H987" i="1"/>
  <c r="E988" i="1"/>
  <c r="F988" i="1"/>
  <c r="H988" i="1"/>
  <c r="E989" i="1"/>
  <c r="F989" i="1"/>
  <c r="H989" i="1"/>
  <c r="E990" i="1"/>
  <c r="F990" i="1"/>
  <c r="H990" i="1"/>
  <c r="E991" i="1"/>
  <c r="F991" i="1"/>
  <c r="H991" i="1"/>
  <c r="E992" i="1"/>
  <c r="F992" i="1"/>
  <c r="H992" i="1"/>
  <c r="E993" i="1"/>
  <c r="F993" i="1"/>
  <c r="H993" i="1"/>
  <c r="E994" i="1"/>
  <c r="F994" i="1"/>
  <c r="H994" i="1"/>
  <c r="E995" i="1"/>
  <c r="F995" i="1"/>
  <c r="H995" i="1"/>
  <c r="E996" i="1"/>
  <c r="F996" i="1"/>
  <c r="H996" i="1"/>
  <c r="E997" i="1"/>
  <c r="F997" i="1"/>
  <c r="H997" i="1"/>
  <c r="E998" i="1"/>
  <c r="F998" i="1"/>
  <c r="H998" i="1"/>
  <c r="E999" i="1"/>
  <c r="F999" i="1"/>
  <c r="H999" i="1"/>
  <c r="E1000" i="1"/>
  <c r="F1000" i="1"/>
  <c r="H1000" i="1"/>
  <c r="E1001" i="1"/>
  <c r="F1001" i="1"/>
  <c r="H1001" i="1"/>
  <c r="E1002" i="1"/>
  <c r="F1002" i="1"/>
  <c r="H1002" i="1"/>
  <c r="E1003" i="1"/>
  <c r="F1003" i="1"/>
  <c r="H1003" i="1"/>
  <c r="E1004" i="1"/>
  <c r="F1004" i="1"/>
  <c r="H1004" i="1"/>
  <c r="E1005" i="1"/>
  <c r="F1005" i="1"/>
  <c r="H1005" i="1"/>
  <c r="E1006" i="1"/>
  <c r="F1006" i="1"/>
  <c r="H1006" i="1"/>
  <c r="E1007" i="1"/>
  <c r="F1007" i="1"/>
  <c r="H1007" i="1"/>
  <c r="E1008" i="1"/>
  <c r="F1008" i="1"/>
  <c r="H1008" i="1"/>
  <c r="E1009" i="1"/>
  <c r="F1009" i="1"/>
  <c r="H1009" i="1"/>
  <c r="E1010" i="1"/>
  <c r="F1010" i="1"/>
  <c r="H1010" i="1"/>
  <c r="E1011" i="1"/>
  <c r="F1011" i="1"/>
  <c r="H1011" i="1"/>
  <c r="E1012" i="1"/>
  <c r="F1012" i="1"/>
  <c r="H1012" i="1"/>
  <c r="E1013" i="1"/>
  <c r="F1013" i="1"/>
  <c r="H1013" i="1"/>
  <c r="E1014" i="1"/>
  <c r="F1014" i="1"/>
  <c r="H1014" i="1"/>
  <c r="E1015" i="1"/>
  <c r="F1015" i="1"/>
  <c r="H1015" i="1"/>
  <c r="E1016" i="1"/>
  <c r="F1016" i="1"/>
  <c r="H1016" i="1"/>
  <c r="E1017" i="1"/>
  <c r="F1017" i="1"/>
  <c r="H1017" i="1"/>
  <c r="E1018" i="1"/>
  <c r="F1018" i="1"/>
  <c r="H1018" i="1"/>
  <c r="E1019" i="1"/>
  <c r="F1019" i="1"/>
  <c r="H1019" i="1"/>
  <c r="E1020" i="1"/>
  <c r="F1020" i="1"/>
  <c r="H1020" i="1"/>
  <c r="E1021" i="1"/>
  <c r="F1021" i="1"/>
  <c r="H1021" i="1"/>
  <c r="E1022" i="1"/>
  <c r="F1022" i="1"/>
  <c r="H1022" i="1"/>
  <c r="E1023" i="1"/>
  <c r="F1023" i="1"/>
  <c r="H1023" i="1"/>
  <c r="E1024" i="1"/>
  <c r="F1024" i="1"/>
  <c r="H1024" i="1"/>
  <c r="E1025" i="1"/>
  <c r="F1025" i="1"/>
  <c r="H1025" i="1"/>
  <c r="E1026" i="1"/>
  <c r="F1026" i="1"/>
  <c r="H1026" i="1"/>
  <c r="E1027" i="1"/>
  <c r="F1027" i="1"/>
  <c r="H1027" i="1"/>
  <c r="E1028" i="1"/>
  <c r="F1028" i="1"/>
  <c r="H1028" i="1"/>
  <c r="E1029" i="1"/>
  <c r="F1029" i="1"/>
  <c r="H1029" i="1"/>
  <c r="E1030" i="1"/>
  <c r="F1030" i="1"/>
  <c r="H1030" i="1"/>
  <c r="E1031" i="1"/>
  <c r="F1031" i="1"/>
  <c r="H1031" i="1"/>
  <c r="E1032" i="1"/>
  <c r="F1032" i="1"/>
  <c r="H1032" i="1"/>
  <c r="E1033" i="1"/>
  <c r="F1033" i="1"/>
  <c r="H1033" i="1"/>
  <c r="E1034" i="1"/>
  <c r="F1034" i="1"/>
  <c r="H1034" i="1"/>
  <c r="E1035" i="1"/>
  <c r="F1035" i="1"/>
  <c r="H1035" i="1"/>
  <c r="E1036" i="1"/>
  <c r="F1036" i="1"/>
  <c r="H1036" i="1"/>
  <c r="E1037" i="1"/>
  <c r="F1037" i="1"/>
  <c r="H1037" i="1"/>
  <c r="E1038" i="1"/>
  <c r="F1038" i="1"/>
  <c r="H1038" i="1"/>
  <c r="E1039" i="1"/>
  <c r="F1039" i="1"/>
  <c r="H1039" i="1"/>
  <c r="E1040" i="1"/>
  <c r="F1040" i="1"/>
  <c r="H1040" i="1"/>
  <c r="E1041" i="1"/>
  <c r="F1041" i="1"/>
  <c r="H1041" i="1"/>
  <c r="E1042" i="1"/>
  <c r="F1042" i="1"/>
  <c r="H1042" i="1"/>
  <c r="E1043" i="1"/>
  <c r="F1043" i="1"/>
  <c r="H1043" i="1"/>
  <c r="E1044" i="1"/>
  <c r="F1044" i="1"/>
  <c r="H1044" i="1"/>
  <c r="E1045" i="1"/>
  <c r="F1045" i="1"/>
  <c r="H1045" i="1"/>
  <c r="E1046" i="1"/>
  <c r="F1046" i="1"/>
  <c r="H1046" i="1"/>
  <c r="E1047" i="1"/>
  <c r="F1047" i="1"/>
  <c r="H1047" i="1"/>
  <c r="E1048" i="1"/>
  <c r="F1048" i="1"/>
  <c r="H1048" i="1"/>
  <c r="E1049" i="1"/>
  <c r="F1049" i="1"/>
  <c r="H1049" i="1"/>
  <c r="E1050" i="1"/>
  <c r="F1050" i="1"/>
  <c r="H1050" i="1"/>
  <c r="E1051" i="1"/>
  <c r="F1051" i="1"/>
  <c r="H1051" i="1"/>
  <c r="E1052" i="1"/>
  <c r="F1052" i="1"/>
  <c r="H1052" i="1"/>
  <c r="E1053" i="1"/>
  <c r="F1053" i="1"/>
  <c r="H1053" i="1"/>
  <c r="E1054" i="1"/>
  <c r="F1054" i="1"/>
  <c r="H1054" i="1"/>
  <c r="E1055" i="1"/>
  <c r="F1055" i="1"/>
  <c r="H1055" i="1"/>
  <c r="E1056" i="1"/>
  <c r="F1056" i="1"/>
  <c r="H1056" i="1"/>
  <c r="E1057" i="1"/>
  <c r="F1057" i="1"/>
  <c r="H1057" i="1"/>
  <c r="E1058" i="1"/>
  <c r="F1058" i="1"/>
  <c r="H1058" i="1"/>
  <c r="E1059" i="1"/>
  <c r="F1059" i="1"/>
  <c r="H1059" i="1"/>
  <c r="E1060" i="1"/>
  <c r="F1060" i="1"/>
  <c r="H1060" i="1"/>
  <c r="E1061" i="1"/>
  <c r="F1061" i="1"/>
  <c r="H1061" i="1"/>
  <c r="E1062" i="1"/>
  <c r="F1062" i="1"/>
  <c r="H1062" i="1"/>
  <c r="E1063" i="1"/>
  <c r="F1063" i="1"/>
  <c r="H1063" i="1"/>
  <c r="E1064" i="1"/>
  <c r="F1064" i="1"/>
  <c r="H1064" i="1"/>
  <c r="E1065" i="1"/>
  <c r="F1065" i="1"/>
  <c r="H1065" i="1"/>
  <c r="E1066" i="1"/>
  <c r="F1066" i="1"/>
  <c r="H1066" i="1"/>
  <c r="E1067" i="1"/>
  <c r="F1067" i="1"/>
  <c r="H1067" i="1"/>
  <c r="E1068" i="1"/>
  <c r="F1068" i="1"/>
  <c r="H1068" i="1"/>
  <c r="E1069" i="1"/>
  <c r="F1069" i="1"/>
  <c r="H1069" i="1"/>
  <c r="E1070" i="1"/>
  <c r="F1070" i="1"/>
  <c r="H1070" i="1"/>
  <c r="E1071" i="1"/>
  <c r="F1071" i="1"/>
  <c r="H1071" i="1"/>
  <c r="E1072" i="1"/>
  <c r="F1072" i="1"/>
  <c r="H1072" i="1"/>
  <c r="E1073" i="1"/>
  <c r="F1073" i="1"/>
  <c r="H1073" i="1"/>
  <c r="E1074" i="1"/>
  <c r="F1074" i="1"/>
  <c r="H1074" i="1"/>
  <c r="E1075" i="1"/>
  <c r="F1075" i="1"/>
  <c r="H1075" i="1"/>
  <c r="E1076" i="1"/>
  <c r="F1076" i="1"/>
  <c r="H1076" i="1"/>
  <c r="E1077" i="1"/>
  <c r="F1077" i="1"/>
  <c r="H1077" i="1"/>
  <c r="E1078" i="1"/>
  <c r="F1078" i="1"/>
  <c r="H1078" i="1"/>
  <c r="E1079" i="1"/>
  <c r="F1079" i="1"/>
  <c r="H1079" i="1"/>
  <c r="E1080" i="1"/>
  <c r="F1080" i="1"/>
  <c r="H1080" i="1"/>
  <c r="E1081" i="1"/>
  <c r="F1081" i="1"/>
  <c r="H1081" i="1"/>
  <c r="E1082" i="1"/>
  <c r="F1082" i="1"/>
  <c r="H1082" i="1"/>
  <c r="E1083" i="1"/>
  <c r="F1083" i="1"/>
  <c r="H1083" i="1"/>
  <c r="E1084" i="1"/>
  <c r="F1084" i="1"/>
  <c r="H1084" i="1"/>
  <c r="E1085" i="1"/>
  <c r="F1085" i="1"/>
  <c r="H1085" i="1"/>
  <c r="E1086" i="1"/>
  <c r="F1086" i="1"/>
  <c r="H1086" i="1"/>
  <c r="E1087" i="1"/>
  <c r="F1087" i="1"/>
  <c r="H1087" i="1"/>
  <c r="E1088" i="1"/>
  <c r="F1088" i="1"/>
  <c r="H1088" i="1"/>
  <c r="E1089" i="1"/>
  <c r="F1089" i="1"/>
  <c r="H1089" i="1"/>
  <c r="E1090" i="1"/>
  <c r="F1090" i="1"/>
  <c r="H1090" i="1"/>
  <c r="E1091" i="1"/>
  <c r="F1091" i="1"/>
  <c r="H1091" i="1"/>
  <c r="E1092" i="1"/>
  <c r="F1092" i="1"/>
  <c r="H1092" i="1"/>
  <c r="E1093" i="1"/>
  <c r="F1093" i="1"/>
  <c r="H1093" i="1"/>
  <c r="E1094" i="1"/>
  <c r="F1094" i="1"/>
  <c r="H1094" i="1"/>
  <c r="E1095" i="1"/>
  <c r="F1095" i="1"/>
  <c r="H1095" i="1"/>
  <c r="E1096" i="1"/>
  <c r="F1096" i="1"/>
  <c r="H1096" i="1"/>
  <c r="E1097" i="1"/>
  <c r="F1097" i="1"/>
  <c r="H1097" i="1"/>
  <c r="E1098" i="1"/>
  <c r="F1098" i="1"/>
  <c r="H1098" i="1"/>
  <c r="E1099" i="1"/>
  <c r="F1099" i="1"/>
  <c r="H1099" i="1"/>
  <c r="E1100" i="1"/>
  <c r="F1100" i="1"/>
  <c r="H1100" i="1"/>
  <c r="E1101" i="1"/>
  <c r="F1101" i="1"/>
  <c r="H1101" i="1"/>
  <c r="E1102" i="1"/>
  <c r="F1102" i="1"/>
  <c r="E1103" i="1"/>
  <c r="F1103" i="1"/>
  <c r="E1104" i="1"/>
  <c r="F1104" i="1"/>
  <c r="H1104" i="1"/>
  <c r="E1105" i="1"/>
  <c r="F1105" i="1"/>
  <c r="H1105" i="1"/>
  <c r="E1106" i="1"/>
  <c r="F1106" i="1"/>
  <c r="H1106" i="1"/>
  <c r="E1107" i="1"/>
  <c r="F1107" i="1"/>
  <c r="H1107" i="1"/>
  <c r="E1108" i="1"/>
  <c r="F1108" i="1"/>
  <c r="H1108" i="1"/>
  <c r="E1109" i="1"/>
  <c r="F1109" i="1"/>
  <c r="H1109" i="1"/>
  <c r="E1110" i="1"/>
  <c r="F1110" i="1"/>
  <c r="H1110" i="1"/>
  <c r="E1111" i="1"/>
  <c r="F1111" i="1"/>
  <c r="H1111" i="1"/>
  <c r="E1112" i="1"/>
  <c r="F1112" i="1"/>
  <c r="H1112" i="1"/>
  <c r="E1113" i="1"/>
  <c r="F1113" i="1"/>
  <c r="H1113" i="1"/>
  <c r="E1114" i="1"/>
  <c r="F1114" i="1"/>
  <c r="H1114" i="1"/>
  <c r="E1115" i="1"/>
  <c r="F1115" i="1"/>
  <c r="H1115" i="1"/>
  <c r="E1116" i="1"/>
  <c r="F1116" i="1"/>
  <c r="H1116" i="1"/>
  <c r="E1117" i="1"/>
  <c r="F1117" i="1"/>
  <c r="H1117" i="1"/>
  <c r="E1118" i="1"/>
  <c r="F1118" i="1"/>
  <c r="H1118" i="1"/>
  <c r="E1119" i="1"/>
  <c r="F1119" i="1"/>
  <c r="H1119" i="1"/>
  <c r="E1120" i="1"/>
  <c r="F1120" i="1"/>
  <c r="H1120" i="1"/>
  <c r="E1121" i="1"/>
  <c r="F1121" i="1"/>
  <c r="H1121" i="1"/>
  <c r="E1122" i="1"/>
  <c r="F1122" i="1"/>
  <c r="H1122" i="1"/>
  <c r="E1123" i="1"/>
  <c r="F1123" i="1"/>
  <c r="H1123" i="1"/>
  <c r="E1124" i="1"/>
  <c r="F1124" i="1"/>
  <c r="H1124" i="1"/>
  <c r="E1125" i="1"/>
  <c r="F1125" i="1"/>
  <c r="H1125" i="1"/>
  <c r="E1126" i="1"/>
  <c r="F1126" i="1"/>
  <c r="H1126" i="1"/>
  <c r="E1127" i="1"/>
  <c r="F1127" i="1"/>
  <c r="H1127" i="1"/>
  <c r="E1128" i="1"/>
  <c r="F1128" i="1"/>
  <c r="H1128" i="1"/>
  <c r="E1129" i="1"/>
  <c r="F1129" i="1"/>
  <c r="H1129" i="1"/>
  <c r="E1130" i="1"/>
  <c r="F1130" i="1"/>
  <c r="H1130" i="1"/>
  <c r="E1131" i="1"/>
  <c r="F1131" i="1"/>
  <c r="H1131" i="1"/>
  <c r="E1132" i="1"/>
  <c r="F1132" i="1"/>
  <c r="H1132" i="1"/>
  <c r="E1133" i="1"/>
  <c r="F1133" i="1"/>
  <c r="H1133" i="1"/>
  <c r="E1134" i="1"/>
  <c r="F1134" i="1"/>
  <c r="H1134" i="1"/>
  <c r="E1135" i="1"/>
  <c r="F1135" i="1"/>
  <c r="H1135" i="1"/>
  <c r="E1136" i="1"/>
  <c r="F1136" i="1"/>
  <c r="H1136" i="1"/>
  <c r="E1137" i="1"/>
  <c r="F1137" i="1"/>
  <c r="H1137" i="1"/>
  <c r="E1138" i="1"/>
  <c r="F1138" i="1"/>
  <c r="H1138" i="1"/>
  <c r="E1139" i="1"/>
  <c r="F1139" i="1"/>
  <c r="H1139" i="1"/>
  <c r="E1140" i="1"/>
  <c r="F1140" i="1"/>
  <c r="H1140" i="1"/>
  <c r="E1141" i="1"/>
  <c r="F1141" i="1"/>
  <c r="H1141" i="1"/>
  <c r="E1142" i="1"/>
  <c r="F1142" i="1"/>
  <c r="H1142" i="1"/>
  <c r="E1143" i="1"/>
  <c r="F1143" i="1"/>
  <c r="H1143" i="1"/>
  <c r="E1144" i="1"/>
  <c r="F1144" i="1"/>
  <c r="H1144" i="1"/>
  <c r="E1145" i="1"/>
  <c r="F1145" i="1"/>
  <c r="H1145" i="1"/>
  <c r="E1146" i="1"/>
  <c r="F1146" i="1"/>
  <c r="H1146" i="1"/>
  <c r="E1147" i="1"/>
  <c r="F1147" i="1"/>
  <c r="H1147" i="1"/>
  <c r="E1148" i="1"/>
  <c r="F1148" i="1"/>
  <c r="H1148" i="1"/>
  <c r="E1149" i="1"/>
  <c r="F1149" i="1"/>
  <c r="H1149" i="1"/>
  <c r="E1150" i="1"/>
  <c r="F1150" i="1"/>
  <c r="H1150" i="1"/>
  <c r="E1151" i="1"/>
  <c r="F1151" i="1"/>
  <c r="H1151" i="1"/>
  <c r="E1152" i="1"/>
  <c r="F1152" i="1"/>
  <c r="H1152" i="1"/>
  <c r="E1153" i="1"/>
  <c r="F1153" i="1"/>
  <c r="H1153" i="1"/>
  <c r="E1154" i="1"/>
  <c r="F1154" i="1"/>
  <c r="H1154" i="1"/>
  <c r="E1155" i="1"/>
  <c r="F1155" i="1"/>
  <c r="H1155" i="1"/>
  <c r="E1156" i="1"/>
  <c r="F1156" i="1"/>
  <c r="H1156" i="1"/>
  <c r="E1157" i="1"/>
  <c r="F1157" i="1"/>
  <c r="H1157" i="1"/>
  <c r="E1158" i="1"/>
  <c r="F1158" i="1"/>
  <c r="H1158" i="1"/>
  <c r="E1159" i="1"/>
  <c r="F1159" i="1"/>
  <c r="H1159" i="1"/>
  <c r="E1160" i="1"/>
  <c r="F1160" i="1"/>
  <c r="H1160" i="1"/>
  <c r="E1161" i="1"/>
  <c r="F1161" i="1"/>
  <c r="H1161" i="1"/>
  <c r="E1162" i="1"/>
  <c r="F1162" i="1"/>
  <c r="H1162" i="1"/>
  <c r="E1163" i="1"/>
  <c r="F1163" i="1"/>
  <c r="H1163" i="1"/>
  <c r="E1164" i="1"/>
  <c r="F1164" i="1"/>
  <c r="H1164" i="1"/>
  <c r="E1165" i="1"/>
  <c r="F1165" i="1"/>
  <c r="H1165" i="1"/>
  <c r="E1166" i="1"/>
  <c r="F1166" i="1"/>
  <c r="H1166" i="1"/>
  <c r="E1167" i="1"/>
  <c r="F1167" i="1"/>
  <c r="H1167" i="1"/>
  <c r="E1168" i="1"/>
  <c r="F1168" i="1"/>
  <c r="H1168" i="1"/>
  <c r="E1169" i="1"/>
  <c r="F1169" i="1"/>
  <c r="H1169" i="1"/>
  <c r="E1170" i="1"/>
  <c r="F1170" i="1"/>
  <c r="H1170" i="1"/>
  <c r="E1171" i="1"/>
  <c r="F1171" i="1"/>
  <c r="H1171" i="1"/>
  <c r="E1172" i="1"/>
  <c r="F1172" i="1"/>
  <c r="H1172" i="1"/>
  <c r="E1173" i="1"/>
  <c r="F1173" i="1"/>
  <c r="H1173" i="1"/>
  <c r="E1174" i="1"/>
  <c r="F1174" i="1"/>
  <c r="H1174" i="1"/>
  <c r="E1175" i="1"/>
  <c r="F1175" i="1"/>
  <c r="H1175" i="1"/>
  <c r="E1176" i="1"/>
  <c r="F1176" i="1"/>
  <c r="H1176" i="1"/>
  <c r="E1177" i="1"/>
  <c r="F1177" i="1"/>
  <c r="H1177" i="1"/>
  <c r="E1178" i="1"/>
  <c r="F1178" i="1"/>
  <c r="H1178" i="1"/>
  <c r="E1179" i="1"/>
  <c r="F1179" i="1"/>
  <c r="H1179" i="1"/>
  <c r="E1180" i="1"/>
  <c r="F1180" i="1"/>
  <c r="H1180" i="1"/>
  <c r="E1181" i="1"/>
  <c r="F1181" i="1"/>
  <c r="H1181" i="1"/>
  <c r="E1182" i="1"/>
  <c r="F1182" i="1"/>
  <c r="H1182" i="1"/>
  <c r="E1183" i="1"/>
  <c r="F1183" i="1"/>
  <c r="H1183" i="1"/>
  <c r="E1184" i="1"/>
  <c r="F1184" i="1"/>
  <c r="H1184" i="1"/>
  <c r="E1185" i="1"/>
  <c r="F1185" i="1"/>
  <c r="H1185" i="1"/>
  <c r="E1186" i="1"/>
  <c r="F1186" i="1"/>
  <c r="H1186" i="1"/>
  <c r="E1187" i="1"/>
  <c r="F1187" i="1"/>
  <c r="H1187" i="1"/>
  <c r="E1188" i="1"/>
  <c r="F1188" i="1"/>
  <c r="H1188" i="1"/>
  <c r="E1189" i="1"/>
  <c r="F1189" i="1"/>
  <c r="H1189" i="1"/>
  <c r="E1190" i="1"/>
  <c r="F1190" i="1"/>
  <c r="H1190" i="1"/>
  <c r="E1191" i="1"/>
  <c r="F1191" i="1"/>
  <c r="H1191" i="1"/>
  <c r="E1192" i="1"/>
  <c r="F1192" i="1"/>
  <c r="H1192" i="1"/>
  <c r="E1193" i="1"/>
  <c r="F1193" i="1"/>
  <c r="H1193" i="1"/>
  <c r="E1194" i="1"/>
  <c r="F1194" i="1"/>
  <c r="H1194" i="1"/>
  <c r="E1195" i="1"/>
  <c r="F1195" i="1"/>
  <c r="H1195" i="1"/>
  <c r="E1196" i="1"/>
  <c r="F1196" i="1"/>
  <c r="H1196" i="1"/>
  <c r="E1197" i="1"/>
  <c r="F1197" i="1"/>
  <c r="H1197" i="1"/>
  <c r="E1198" i="1"/>
  <c r="F1198" i="1"/>
  <c r="H1198" i="1"/>
  <c r="E1199" i="1"/>
  <c r="F1199" i="1"/>
  <c r="H1199" i="1"/>
  <c r="E1200" i="1"/>
  <c r="F1200" i="1"/>
  <c r="H1200" i="1"/>
  <c r="E1201" i="1"/>
  <c r="F1201" i="1"/>
  <c r="H1201" i="1"/>
  <c r="E1202" i="1"/>
  <c r="F1202" i="1"/>
  <c r="H1202" i="1"/>
  <c r="E1203" i="1"/>
  <c r="F1203" i="1"/>
  <c r="H1203" i="1"/>
  <c r="E1204" i="1"/>
  <c r="F1204" i="1"/>
  <c r="H1204" i="1"/>
  <c r="E1205" i="1"/>
  <c r="F1205" i="1"/>
  <c r="H1205" i="1"/>
  <c r="E1206" i="1"/>
  <c r="F1206" i="1"/>
  <c r="H1206" i="1"/>
  <c r="E1207" i="1"/>
  <c r="F1207" i="1"/>
  <c r="H1207" i="1"/>
  <c r="E1208" i="1"/>
  <c r="F1208" i="1"/>
  <c r="H1208" i="1"/>
  <c r="E1209" i="1"/>
  <c r="F1209" i="1"/>
  <c r="H1209" i="1"/>
  <c r="E1210" i="1"/>
  <c r="F1210" i="1"/>
  <c r="H1210" i="1"/>
  <c r="E1211" i="1"/>
  <c r="F1211" i="1"/>
  <c r="H1211" i="1"/>
  <c r="E1212" i="1"/>
  <c r="F1212" i="1"/>
  <c r="H1212" i="1"/>
  <c r="E1213" i="1"/>
  <c r="F1213" i="1"/>
  <c r="H1213" i="1"/>
  <c r="E1214" i="1"/>
  <c r="F1214" i="1"/>
  <c r="H1214" i="1"/>
  <c r="E1215" i="1"/>
  <c r="F1215" i="1"/>
  <c r="H1215" i="1"/>
  <c r="E1216" i="1"/>
  <c r="F1216" i="1"/>
  <c r="H1216" i="1"/>
  <c r="E1217" i="1"/>
  <c r="F1217" i="1"/>
  <c r="H1217" i="1"/>
  <c r="E1218" i="1"/>
  <c r="F1218" i="1"/>
  <c r="H1218" i="1"/>
  <c r="E1219" i="1"/>
  <c r="F1219" i="1"/>
  <c r="H1219" i="1"/>
  <c r="E1220" i="1"/>
  <c r="F1220" i="1"/>
  <c r="H1220" i="1"/>
  <c r="E1221" i="1"/>
  <c r="F1221" i="1"/>
  <c r="H1221" i="1"/>
  <c r="E1222" i="1"/>
  <c r="F1222" i="1"/>
  <c r="H1222" i="1"/>
  <c r="E1223" i="1"/>
  <c r="F1223" i="1"/>
  <c r="H1223" i="1"/>
  <c r="E1224" i="1"/>
  <c r="F1224" i="1"/>
  <c r="H1224" i="1"/>
  <c r="E1225" i="1"/>
  <c r="F1225" i="1"/>
  <c r="H1225" i="1"/>
  <c r="E1226" i="1"/>
  <c r="F1226" i="1"/>
  <c r="H1226" i="1"/>
  <c r="E1227" i="1"/>
  <c r="F1227" i="1"/>
  <c r="H1227" i="1"/>
  <c r="E1228" i="1"/>
  <c r="F1228" i="1"/>
  <c r="H1228" i="1"/>
  <c r="E1229" i="1"/>
  <c r="F1229" i="1"/>
  <c r="H1229" i="1"/>
  <c r="E1230" i="1"/>
  <c r="F1230" i="1"/>
  <c r="H1230" i="1"/>
  <c r="E1231" i="1"/>
  <c r="F1231" i="1"/>
  <c r="H1231" i="1"/>
  <c r="E1232" i="1"/>
  <c r="F1232" i="1"/>
  <c r="H1232" i="1"/>
  <c r="E1233" i="1"/>
  <c r="F1233" i="1"/>
  <c r="H1233" i="1"/>
  <c r="E1234" i="1"/>
  <c r="F1234" i="1"/>
  <c r="H1234" i="1"/>
  <c r="E1235" i="1"/>
  <c r="F1235" i="1"/>
  <c r="H1235" i="1"/>
  <c r="E1236" i="1"/>
  <c r="F1236" i="1"/>
  <c r="H1236" i="1"/>
  <c r="E1237" i="1"/>
  <c r="F1237" i="1"/>
  <c r="H1237" i="1"/>
  <c r="E1238" i="1"/>
  <c r="F1238" i="1"/>
  <c r="H1238" i="1"/>
  <c r="E1239" i="1"/>
  <c r="F1239" i="1"/>
  <c r="H1239" i="1"/>
  <c r="E1240" i="1"/>
  <c r="F1240" i="1"/>
  <c r="H1240" i="1"/>
  <c r="E1241" i="1"/>
  <c r="F1241" i="1"/>
  <c r="H1241" i="1"/>
  <c r="E1242" i="1"/>
  <c r="F1242" i="1"/>
  <c r="H1242" i="1"/>
  <c r="E1243" i="1"/>
  <c r="F1243" i="1"/>
  <c r="H1243" i="1"/>
  <c r="E1244" i="1"/>
  <c r="F1244" i="1"/>
  <c r="H1244" i="1"/>
  <c r="E1245" i="1"/>
  <c r="F1245" i="1"/>
  <c r="H1245" i="1"/>
  <c r="E1246" i="1"/>
  <c r="F1246" i="1"/>
  <c r="H1246" i="1"/>
  <c r="E1247" i="1"/>
  <c r="F1247" i="1"/>
  <c r="H1247" i="1"/>
  <c r="E1248" i="1"/>
  <c r="F1248" i="1"/>
  <c r="H1248" i="1"/>
  <c r="E1249" i="1"/>
  <c r="F1249" i="1"/>
  <c r="H1249" i="1"/>
  <c r="E1250" i="1"/>
  <c r="F1250" i="1"/>
  <c r="H1250" i="1"/>
  <c r="E1251" i="1"/>
  <c r="F1251" i="1"/>
  <c r="H1251" i="1"/>
  <c r="E1252" i="1"/>
  <c r="F1252" i="1"/>
  <c r="H1252" i="1"/>
  <c r="E1253" i="1"/>
  <c r="F1253" i="1"/>
  <c r="H1253" i="1"/>
  <c r="E1254" i="1"/>
  <c r="F1254" i="1"/>
  <c r="H1254" i="1"/>
  <c r="E1255" i="1"/>
  <c r="F1255" i="1"/>
  <c r="H1255" i="1"/>
  <c r="E1256" i="1"/>
  <c r="F1256" i="1"/>
  <c r="H1256" i="1"/>
  <c r="E1257" i="1"/>
  <c r="F1257" i="1"/>
  <c r="H1257" i="1"/>
  <c r="E1258" i="1"/>
  <c r="F1258" i="1"/>
  <c r="H1258" i="1"/>
  <c r="E1259" i="1"/>
  <c r="F1259" i="1"/>
  <c r="H1259" i="1"/>
  <c r="E1260" i="1"/>
  <c r="F1260" i="1"/>
  <c r="H1260" i="1"/>
  <c r="E1261" i="1"/>
  <c r="F1261" i="1"/>
  <c r="H1261" i="1"/>
  <c r="E1262" i="1"/>
  <c r="F1262" i="1"/>
  <c r="H1262" i="1"/>
  <c r="E1263" i="1"/>
  <c r="F1263" i="1"/>
  <c r="H1263" i="1"/>
  <c r="E1264" i="1"/>
  <c r="F1264" i="1"/>
  <c r="H1264" i="1"/>
  <c r="E1265" i="1"/>
  <c r="F1265" i="1"/>
  <c r="H1265" i="1"/>
  <c r="E1266" i="1"/>
  <c r="F1266" i="1"/>
  <c r="H1266" i="1"/>
  <c r="E1267" i="1"/>
  <c r="F1267" i="1"/>
  <c r="H1267" i="1"/>
  <c r="E1268" i="1"/>
  <c r="F1268" i="1"/>
  <c r="H1268" i="1"/>
  <c r="E1269" i="1"/>
  <c r="F1269" i="1"/>
  <c r="H1269" i="1"/>
  <c r="E1270" i="1"/>
  <c r="F1270" i="1"/>
  <c r="H1270" i="1"/>
  <c r="E1271" i="1"/>
  <c r="F1271" i="1"/>
  <c r="H1271" i="1"/>
  <c r="E1272" i="1"/>
  <c r="F1272" i="1"/>
  <c r="H1272" i="1"/>
  <c r="E1273" i="1"/>
  <c r="F1273" i="1"/>
  <c r="H1273" i="1"/>
  <c r="E1274" i="1"/>
  <c r="F1274" i="1"/>
  <c r="H1274" i="1"/>
  <c r="E1275" i="1"/>
  <c r="F1275" i="1"/>
  <c r="H1275" i="1"/>
  <c r="E1276" i="1"/>
  <c r="F1276" i="1"/>
  <c r="H1276" i="1"/>
  <c r="E1277" i="1"/>
  <c r="F1277" i="1"/>
  <c r="H1277" i="1"/>
  <c r="E1278" i="1"/>
  <c r="F1278" i="1"/>
  <c r="H1278" i="1"/>
  <c r="E1279" i="1"/>
  <c r="F1279" i="1"/>
  <c r="H1279" i="1"/>
  <c r="E1280" i="1"/>
  <c r="F1280" i="1"/>
  <c r="H1280" i="1"/>
  <c r="E1281" i="1"/>
  <c r="F1281" i="1"/>
  <c r="H1281" i="1"/>
  <c r="E1282" i="1"/>
  <c r="F1282" i="1"/>
  <c r="H1282" i="1"/>
  <c r="E1283" i="1"/>
  <c r="F1283" i="1"/>
  <c r="H1283" i="1"/>
  <c r="E1284" i="1"/>
  <c r="F1284" i="1"/>
  <c r="H1284" i="1"/>
  <c r="E1285" i="1"/>
  <c r="F1285" i="1"/>
  <c r="H1285" i="1"/>
  <c r="E1286" i="1"/>
  <c r="F1286" i="1"/>
  <c r="H1286" i="1"/>
  <c r="E1287" i="1"/>
  <c r="F1287" i="1"/>
  <c r="H1287" i="1"/>
  <c r="E1288" i="1"/>
  <c r="F1288" i="1"/>
  <c r="H1288" i="1"/>
  <c r="E1289" i="1"/>
  <c r="F1289" i="1"/>
  <c r="H1289" i="1"/>
  <c r="E1290" i="1"/>
  <c r="F1290" i="1"/>
  <c r="H1290" i="1"/>
  <c r="E1291" i="1"/>
  <c r="F1291" i="1"/>
  <c r="H1291" i="1"/>
  <c r="E1292" i="1"/>
  <c r="F1292" i="1"/>
  <c r="H1292" i="1"/>
  <c r="E1293" i="1"/>
  <c r="F1293" i="1"/>
  <c r="H1293" i="1"/>
  <c r="E1294" i="1"/>
  <c r="F1294" i="1"/>
  <c r="H1294" i="1"/>
  <c r="E1295" i="1"/>
  <c r="F1295" i="1"/>
  <c r="H1295" i="1"/>
  <c r="E1296" i="1"/>
  <c r="F1296" i="1"/>
  <c r="H1296" i="1"/>
  <c r="E1297" i="1"/>
  <c r="F1297" i="1"/>
  <c r="H1297" i="1"/>
  <c r="E1298" i="1"/>
  <c r="F1298" i="1"/>
  <c r="H1298" i="1"/>
  <c r="E1299" i="1"/>
  <c r="F1299" i="1"/>
  <c r="H1299" i="1"/>
  <c r="E1300" i="1"/>
  <c r="F1300" i="1"/>
  <c r="H1300" i="1"/>
  <c r="E1301" i="1"/>
  <c r="F1301" i="1"/>
  <c r="H1301" i="1"/>
  <c r="E1302" i="1"/>
  <c r="F1302" i="1"/>
  <c r="H1302" i="1"/>
  <c r="E1303" i="1"/>
  <c r="F1303" i="1"/>
  <c r="H1303" i="1"/>
  <c r="E1304" i="1"/>
  <c r="F1304" i="1"/>
  <c r="H1304" i="1"/>
  <c r="E1305" i="1"/>
  <c r="F1305" i="1"/>
  <c r="H1305" i="1"/>
  <c r="E1306" i="1"/>
  <c r="F1306" i="1"/>
  <c r="H1306" i="1"/>
  <c r="E1307" i="1"/>
  <c r="F1307" i="1"/>
  <c r="H1307" i="1"/>
  <c r="E1308" i="1"/>
  <c r="F1308" i="1"/>
  <c r="H1308" i="1"/>
  <c r="E1309" i="1"/>
  <c r="F1309" i="1"/>
  <c r="H1309" i="1"/>
  <c r="E1310" i="1"/>
  <c r="F1310" i="1"/>
  <c r="H1310" i="1"/>
  <c r="E1311" i="1"/>
  <c r="F1311" i="1"/>
  <c r="H1311" i="1"/>
  <c r="E1312" i="1"/>
  <c r="F1312" i="1"/>
  <c r="H1312" i="1"/>
  <c r="E1313" i="1"/>
  <c r="F1313" i="1"/>
  <c r="H1313" i="1"/>
  <c r="E1314" i="1"/>
  <c r="F1314" i="1"/>
  <c r="H1314" i="1"/>
  <c r="E1315" i="1"/>
  <c r="F1315" i="1"/>
  <c r="H1315" i="1"/>
  <c r="E1316" i="1"/>
  <c r="F1316" i="1"/>
  <c r="H1316" i="1"/>
  <c r="E1317" i="1"/>
  <c r="F1317" i="1"/>
  <c r="H1317" i="1"/>
  <c r="E1318" i="1"/>
  <c r="F1318" i="1"/>
  <c r="H1318" i="1"/>
  <c r="E1319" i="1"/>
  <c r="F1319" i="1"/>
  <c r="H1319" i="1"/>
  <c r="E1320" i="1"/>
  <c r="F1320" i="1"/>
  <c r="H1320" i="1"/>
  <c r="E1321" i="1"/>
  <c r="F1321" i="1"/>
  <c r="H1321" i="1"/>
  <c r="E1322" i="1"/>
  <c r="F1322" i="1"/>
  <c r="H1322" i="1"/>
  <c r="E1323" i="1"/>
  <c r="F1323" i="1"/>
  <c r="H1323" i="1"/>
  <c r="E1324" i="1"/>
  <c r="F1324" i="1"/>
  <c r="H1324" i="1"/>
  <c r="E1325" i="1"/>
  <c r="F1325" i="1"/>
  <c r="H1325" i="1"/>
  <c r="E1326" i="1"/>
  <c r="F1326" i="1"/>
  <c r="H1326" i="1"/>
  <c r="E1327" i="1"/>
  <c r="F1327" i="1"/>
  <c r="H1327" i="1"/>
  <c r="E1328" i="1"/>
  <c r="F1328" i="1"/>
  <c r="H1328" i="1"/>
  <c r="E1329" i="1"/>
  <c r="F1329" i="1"/>
  <c r="H1329" i="1"/>
  <c r="E1330" i="1"/>
  <c r="F1330" i="1"/>
  <c r="H1330" i="1"/>
  <c r="E1331" i="1"/>
  <c r="F1331" i="1"/>
  <c r="H1331" i="1"/>
  <c r="E1332" i="1"/>
  <c r="F1332" i="1"/>
  <c r="H1332" i="1"/>
  <c r="E1333" i="1"/>
  <c r="F1333" i="1"/>
  <c r="H1333" i="1"/>
  <c r="E1334" i="1"/>
  <c r="F1334" i="1"/>
  <c r="H1334" i="1"/>
  <c r="E1335" i="1"/>
  <c r="F1335" i="1"/>
  <c r="H1335" i="1"/>
  <c r="E1336" i="1"/>
  <c r="F1336" i="1"/>
  <c r="H1336" i="1"/>
  <c r="E1337" i="1"/>
  <c r="F1337" i="1"/>
  <c r="H1337" i="1"/>
  <c r="E1338" i="1"/>
  <c r="F1338" i="1"/>
  <c r="H1338" i="1"/>
  <c r="E1339" i="1"/>
  <c r="F1339" i="1"/>
  <c r="H1339" i="1"/>
  <c r="E1340" i="1"/>
  <c r="F1340" i="1"/>
  <c r="H1340" i="1"/>
  <c r="E1341" i="1"/>
  <c r="F1341" i="1"/>
  <c r="H1341" i="1"/>
  <c r="E1342" i="1"/>
  <c r="F1342" i="1"/>
  <c r="E1343" i="1"/>
  <c r="F1343" i="1"/>
  <c r="E1344" i="1"/>
  <c r="F1344" i="1"/>
  <c r="H1344" i="1"/>
  <c r="E1345" i="1"/>
  <c r="F1345" i="1"/>
  <c r="H1345" i="1"/>
  <c r="E1346" i="1"/>
  <c r="F1346" i="1"/>
  <c r="H1346" i="1"/>
  <c r="E1347" i="1"/>
  <c r="F1347" i="1"/>
  <c r="H1347" i="1"/>
  <c r="E1348" i="1"/>
  <c r="F1348" i="1"/>
  <c r="H1348" i="1"/>
  <c r="E1349" i="1"/>
  <c r="F1349" i="1"/>
  <c r="H1349" i="1"/>
  <c r="E1350" i="1"/>
  <c r="F1350" i="1"/>
  <c r="H1350" i="1"/>
  <c r="E1351" i="1"/>
  <c r="F1351" i="1"/>
  <c r="H1351" i="1"/>
  <c r="E1352" i="1"/>
  <c r="F1352" i="1"/>
  <c r="H1352" i="1"/>
  <c r="E1353" i="1"/>
  <c r="F1353" i="1"/>
  <c r="H1353" i="1"/>
  <c r="E1354" i="1"/>
  <c r="F1354" i="1"/>
  <c r="H1354" i="1"/>
  <c r="E1355" i="1"/>
  <c r="F1355" i="1"/>
  <c r="H1355" i="1"/>
  <c r="E1356" i="1"/>
  <c r="F1356" i="1"/>
  <c r="H1356" i="1"/>
  <c r="E1357" i="1"/>
  <c r="F1357" i="1"/>
  <c r="H1357" i="1"/>
  <c r="E1358" i="1"/>
  <c r="F1358" i="1"/>
  <c r="H1358" i="1"/>
  <c r="E1359" i="1"/>
  <c r="F1359" i="1"/>
  <c r="H1359" i="1"/>
  <c r="E1360" i="1"/>
  <c r="F1360" i="1"/>
  <c r="H1360" i="1"/>
  <c r="E1361" i="1"/>
  <c r="F1361" i="1"/>
  <c r="H1361" i="1"/>
  <c r="E1362" i="1"/>
  <c r="F1362" i="1"/>
  <c r="H1362" i="1"/>
  <c r="E1363" i="1"/>
  <c r="F1363" i="1"/>
  <c r="H1363" i="1"/>
  <c r="E1364" i="1"/>
  <c r="F1364" i="1"/>
  <c r="H1364" i="1"/>
  <c r="E1365" i="1"/>
  <c r="F1365" i="1"/>
  <c r="H1365" i="1"/>
  <c r="E1366" i="1"/>
  <c r="F1366" i="1"/>
  <c r="H1366" i="1"/>
  <c r="E1367" i="1"/>
  <c r="F1367" i="1"/>
  <c r="H1367" i="1"/>
  <c r="E1368" i="1"/>
  <c r="F1368" i="1"/>
  <c r="H1368" i="1"/>
  <c r="E1369" i="1"/>
  <c r="F1369" i="1"/>
  <c r="H1369" i="1"/>
  <c r="E1370" i="1"/>
  <c r="F1370" i="1"/>
  <c r="H1370" i="1"/>
  <c r="E1371" i="1"/>
  <c r="F1371" i="1"/>
  <c r="H1371" i="1"/>
  <c r="E1372" i="1"/>
  <c r="F1372" i="1"/>
  <c r="H1372" i="1"/>
  <c r="E1373" i="1"/>
  <c r="F1373" i="1"/>
  <c r="E1374" i="1"/>
  <c r="F1374" i="1"/>
  <c r="H1374" i="1"/>
  <c r="E1375" i="1"/>
  <c r="F1375" i="1"/>
  <c r="H1375" i="1"/>
  <c r="E1376" i="1"/>
  <c r="F1376" i="1"/>
  <c r="H1376" i="1"/>
  <c r="E1377" i="1"/>
  <c r="F1377" i="1"/>
  <c r="H1377" i="1"/>
  <c r="E1378" i="1"/>
  <c r="F1378" i="1"/>
  <c r="H1378" i="1"/>
  <c r="E1379" i="1"/>
  <c r="F1379" i="1"/>
  <c r="H1379" i="1"/>
  <c r="E1380" i="1"/>
  <c r="F1380" i="1"/>
  <c r="H1380" i="1"/>
  <c r="E1381" i="1"/>
  <c r="F1381" i="1"/>
  <c r="H1381" i="1"/>
  <c r="E1382" i="1"/>
  <c r="F1382" i="1"/>
  <c r="H1382" i="1"/>
  <c r="E1383" i="1"/>
  <c r="F1383" i="1"/>
  <c r="H1383" i="1"/>
  <c r="E1384" i="1"/>
  <c r="F1384" i="1"/>
  <c r="H1384" i="1"/>
  <c r="E1385" i="1"/>
  <c r="F1385" i="1"/>
  <c r="H1385" i="1"/>
  <c r="E1386" i="1"/>
  <c r="F1386" i="1"/>
  <c r="H1386" i="1"/>
  <c r="E1387" i="1"/>
  <c r="F1387" i="1"/>
  <c r="H1387" i="1"/>
  <c r="E1388" i="1"/>
  <c r="F1388" i="1"/>
  <c r="H1388" i="1"/>
  <c r="E1389" i="1"/>
  <c r="F1389" i="1"/>
  <c r="H1389" i="1"/>
  <c r="E1390" i="1"/>
  <c r="F1390" i="1"/>
  <c r="H1390" i="1"/>
  <c r="E1391" i="1"/>
  <c r="F1391" i="1"/>
  <c r="H1391" i="1"/>
  <c r="E1392" i="1"/>
  <c r="F1392" i="1"/>
  <c r="H1392" i="1"/>
  <c r="E1393" i="1"/>
  <c r="F1393" i="1"/>
  <c r="H1393" i="1"/>
  <c r="E1394" i="1"/>
  <c r="F1394" i="1"/>
  <c r="H1394" i="1"/>
  <c r="E1395" i="1"/>
  <c r="F1395" i="1"/>
  <c r="H1395" i="1"/>
  <c r="E1396" i="1"/>
  <c r="F1396" i="1"/>
  <c r="H1396" i="1"/>
  <c r="E1397" i="1"/>
  <c r="F1397" i="1"/>
  <c r="H1397" i="1"/>
  <c r="E1398" i="1"/>
  <c r="F1398" i="1"/>
  <c r="H1398" i="1"/>
  <c r="E1399" i="1"/>
  <c r="F1399" i="1"/>
  <c r="H1399" i="1"/>
  <c r="E1400" i="1"/>
  <c r="F1400" i="1"/>
  <c r="H1400" i="1"/>
  <c r="E1401" i="1"/>
  <c r="F1401" i="1"/>
  <c r="H1401" i="1"/>
  <c r="E1402" i="1"/>
  <c r="F1402" i="1"/>
  <c r="H1402" i="1"/>
  <c r="E1403" i="1"/>
  <c r="F1403" i="1"/>
  <c r="H1403" i="1"/>
  <c r="E1404" i="1"/>
  <c r="F1404" i="1"/>
  <c r="H1404" i="1"/>
  <c r="E1405" i="1"/>
  <c r="F1405" i="1"/>
  <c r="H1405" i="1"/>
  <c r="E1406" i="1"/>
  <c r="F1406" i="1"/>
  <c r="H1406" i="1"/>
  <c r="E1407" i="1"/>
  <c r="F1407" i="1"/>
  <c r="H1407" i="1"/>
  <c r="E1408" i="1"/>
  <c r="F1408" i="1"/>
  <c r="H1408" i="1"/>
  <c r="E1409" i="1"/>
  <c r="F1409" i="1"/>
  <c r="H1409" i="1"/>
  <c r="E1410" i="1"/>
  <c r="F1410" i="1"/>
  <c r="H1410" i="1"/>
  <c r="E1411" i="1"/>
  <c r="F1411" i="1"/>
  <c r="H1411" i="1"/>
  <c r="E1412" i="1"/>
  <c r="F1412" i="1"/>
  <c r="H1412" i="1"/>
  <c r="E1413" i="1"/>
  <c r="F1413" i="1"/>
  <c r="H1413" i="1"/>
  <c r="E1414" i="1"/>
  <c r="F1414" i="1"/>
  <c r="H1414" i="1"/>
  <c r="E1415" i="1"/>
  <c r="F1415" i="1"/>
  <c r="H1415" i="1"/>
  <c r="E1416" i="1"/>
  <c r="F1416" i="1"/>
  <c r="H1416" i="1"/>
  <c r="E1417" i="1"/>
  <c r="F1417" i="1"/>
  <c r="H1417" i="1"/>
  <c r="E1418" i="1"/>
  <c r="F1418" i="1"/>
  <c r="H1418" i="1"/>
  <c r="E1419" i="1"/>
  <c r="F1419" i="1"/>
  <c r="H1419" i="1"/>
  <c r="E1420" i="1"/>
  <c r="F1420" i="1"/>
  <c r="H1420" i="1"/>
  <c r="E1421" i="1"/>
  <c r="F1421" i="1"/>
  <c r="H1421" i="1"/>
  <c r="E1422" i="1"/>
  <c r="F1422" i="1"/>
  <c r="H1422" i="1"/>
  <c r="E1423" i="1"/>
  <c r="F1423" i="1"/>
  <c r="H1423" i="1"/>
  <c r="E1424" i="1"/>
  <c r="F1424" i="1"/>
  <c r="H1424" i="1"/>
  <c r="E1425" i="1"/>
  <c r="F1425" i="1"/>
  <c r="H1425" i="1"/>
  <c r="E1426" i="1"/>
  <c r="F1426" i="1"/>
  <c r="H1426" i="1"/>
  <c r="E1427" i="1"/>
  <c r="F1427" i="1"/>
  <c r="H1427" i="1"/>
  <c r="E1428" i="1"/>
  <c r="F1428" i="1"/>
  <c r="H1428" i="1"/>
  <c r="E1429" i="1"/>
  <c r="F1429" i="1"/>
  <c r="H1429" i="1"/>
  <c r="E1430" i="1"/>
  <c r="F1430" i="1"/>
  <c r="H1430" i="1"/>
  <c r="E1431" i="1"/>
  <c r="F1431" i="1"/>
  <c r="H1431" i="1"/>
  <c r="E1432" i="1"/>
  <c r="F1432" i="1"/>
  <c r="H1432" i="1"/>
  <c r="E1433" i="1"/>
  <c r="F1433" i="1"/>
  <c r="H1433" i="1"/>
  <c r="E1434" i="1"/>
  <c r="F1434" i="1"/>
  <c r="H1434" i="1"/>
  <c r="E1435" i="1"/>
  <c r="F1435" i="1"/>
  <c r="H1435" i="1"/>
  <c r="E1436" i="1"/>
  <c r="F1436" i="1"/>
  <c r="H1436" i="1"/>
  <c r="E1437" i="1"/>
  <c r="F1437" i="1"/>
  <c r="H1437" i="1"/>
  <c r="E1438" i="1"/>
  <c r="F1438" i="1"/>
  <c r="H1438" i="1"/>
  <c r="E1439" i="1"/>
  <c r="F1439" i="1"/>
  <c r="H1439" i="1"/>
  <c r="E1440" i="1"/>
  <c r="F1440" i="1"/>
  <c r="H1440" i="1"/>
  <c r="E1441" i="1"/>
  <c r="F1441" i="1"/>
  <c r="H1441" i="1"/>
  <c r="E1442" i="1"/>
  <c r="F1442" i="1"/>
  <c r="H1442" i="1"/>
  <c r="E1443" i="1"/>
  <c r="F1443" i="1"/>
  <c r="H1443" i="1"/>
  <c r="E1444" i="1"/>
  <c r="F1444" i="1"/>
  <c r="H1444" i="1"/>
  <c r="E1445" i="1"/>
  <c r="F1445" i="1"/>
  <c r="H1445" i="1"/>
  <c r="E1446" i="1"/>
  <c r="F1446" i="1"/>
  <c r="H1446" i="1"/>
  <c r="E1447" i="1"/>
  <c r="F1447" i="1"/>
  <c r="H1447" i="1"/>
  <c r="E1448" i="1"/>
  <c r="F1448" i="1"/>
  <c r="H1448" i="1"/>
  <c r="E1449" i="1"/>
  <c r="F1449" i="1"/>
  <c r="H1449" i="1"/>
  <c r="E1450" i="1"/>
  <c r="F1450" i="1"/>
  <c r="H1450" i="1"/>
  <c r="E1451" i="1"/>
  <c r="F1451" i="1"/>
  <c r="H1451" i="1"/>
  <c r="E1452" i="1"/>
  <c r="F1452" i="1"/>
  <c r="H1452" i="1"/>
  <c r="E1453" i="1"/>
  <c r="F1453" i="1"/>
  <c r="H1453" i="1"/>
  <c r="E1454" i="1"/>
  <c r="F1454" i="1"/>
  <c r="H1454" i="1"/>
  <c r="E1455" i="1"/>
  <c r="F1455" i="1"/>
  <c r="H1455" i="1"/>
  <c r="E1456" i="1"/>
  <c r="F1456" i="1"/>
  <c r="H1456" i="1"/>
  <c r="E1457" i="1"/>
  <c r="F1457" i="1"/>
  <c r="H1457" i="1"/>
  <c r="E1458" i="1"/>
  <c r="F1458" i="1"/>
  <c r="H1458" i="1"/>
  <c r="E1459" i="1"/>
  <c r="F1459" i="1"/>
  <c r="H1459" i="1"/>
  <c r="E1460" i="1"/>
  <c r="F1460" i="1"/>
  <c r="H1460" i="1"/>
  <c r="E1461" i="1"/>
  <c r="F1461" i="1"/>
  <c r="H1461" i="1"/>
  <c r="E1462" i="1"/>
  <c r="F1462" i="1"/>
  <c r="H1462" i="1"/>
  <c r="E1463" i="1"/>
  <c r="F1463" i="1"/>
  <c r="H1463" i="1"/>
  <c r="E1464" i="1"/>
  <c r="F1464" i="1"/>
  <c r="H1464" i="1"/>
  <c r="E1465" i="1"/>
  <c r="F1465" i="1"/>
  <c r="H1465" i="1"/>
  <c r="E1466" i="1"/>
  <c r="F1466" i="1"/>
  <c r="H1466" i="1"/>
  <c r="E1467" i="1"/>
  <c r="F1467" i="1"/>
  <c r="H1467" i="1"/>
  <c r="E1468" i="1"/>
  <c r="F1468" i="1"/>
  <c r="H1468" i="1"/>
  <c r="E1469" i="1"/>
  <c r="F1469" i="1"/>
  <c r="H1469" i="1"/>
  <c r="E1470" i="1"/>
  <c r="F1470" i="1"/>
  <c r="H1470" i="1"/>
  <c r="E1471" i="1"/>
  <c r="F1471" i="1"/>
  <c r="H1471" i="1"/>
  <c r="E1472" i="1"/>
  <c r="F1472" i="1"/>
  <c r="H1472" i="1"/>
  <c r="E1473" i="1"/>
  <c r="F1473" i="1"/>
  <c r="H1473" i="1"/>
  <c r="E1474" i="1"/>
  <c r="F1474" i="1"/>
  <c r="H1474" i="1"/>
  <c r="E1475" i="1"/>
  <c r="F1475" i="1"/>
  <c r="H1475" i="1"/>
  <c r="E1476" i="1"/>
  <c r="F1476" i="1"/>
  <c r="H1476" i="1"/>
  <c r="E1477" i="1"/>
  <c r="F1477" i="1"/>
  <c r="H1477" i="1"/>
  <c r="E1478" i="1"/>
  <c r="F1478" i="1"/>
  <c r="H1478" i="1"/>
  <c r="E1479" i="1"/>
  <c r="F1479" i="1"/>
  <c r="H1479" i="1"/>
  <c r="E1480" i="1"/>
  <c r="F1480" i="1"/>
  <c r="H1480" i="1"/>
  <c r="E1481" i="1"/>
  <c r="F1481" i="1"/>
  <c r="H1481" i="1"/>
  <c r="E1482" i="1"/>
  <c r="F1482" i="1"/>
  <c r="H1482" i="1"/>
  <c r="E1483" i="1"/>
  <c r="F1483" i="1"/>
  <c r="H1483" i="1"/>
  <c r="E1484" i="1"/>
  <c r="F1484" i="1"/>
  <c r="H1484" i="1"/>
  <c r="E1485" i="1"/>
  <c r="F1485" i="1"/>
  <c r="H1485" i="1"/>
  <c r="E1486" i="1"/>
  <c r="F1486" i="1"/>
  <c r="H1486" i="1"/>
  <c r="E1487" i="1"/>
  <c r="F1487" i="1"/>
  <c r="H1487" i="1"/>
  <c r="E1488" i="1"/>
  <c r="F1488" i="1"/>
  <c r="H1488" i="1"/>
  <c r="E1489" i="1"/>
  <c r="F1489" i="1"/>
  <c r="H1489" i="1"/>
  <c r="E1490" i="1"/>
  <c r="F1490" i="1"/>
  <c r="H1490" i="1"/>
  <c r="E1491" i="1"/>
  <c r="F1491" i="1"/>
  <c r="H1491" i="1"/>
  <c r="E1492" i="1"/>
  <c r="F1492" i="1"/>
  <c r="H1492" i="1"/>
  <c r="E1493" i="1"/>
  <c r="F1493" i="1"/>
  <c r="H1493" i="1"/>
  <c r="E1494" i="1"/>
  <c r="F1494" i="1"/>
  <c r="H1494" i="1"/>
  <c r="E1495" i="1"/>
  <c r="F1495" i="1"/>
  <c r="H1495" i="1"/>
  <c r="E1496" i="1"/>
  <c r="F1496" i="1"/>
  <c r="H1496" i="1"/>
  <c r="E1497" i="1"/>
  <c r="F1497" i="1"/>
  <c r="H1497" i="1"/>
  <c r="E1498" i="1"/>
  <c r="F1498" i="1"/>
  <c r="H1498" i="1"/>
  <c r="E1499" i="1"/>
  <c r="F1499" i="1"/>
  <c r="H1499" i="1"/>
  <c r="E1500" i="1"/>
  <c r="F1500" i="1"/>
  <c r="H1500" i="1"/>
  <c r="E1501" i="1"/>
  <c r="F1501" i="1"/>
  <c r="H1501" i="1"/>
  <c r="E1502" i="1"/>
  <c r="F1502" i="1"/>
  <c r="H1502" i="1"/>
  <c r="E1503" i="1"/>
  <c r="F1503" i="1"/>
  <c r="H1503" i="1"/>
  <c r="E1504" i="1"/>
  <c r="F1504" i="1"/>
  <c r="H1504" i="1"/>
  <c r="E1505" i="1"/>
  <c r="F1505" i="1"/>
  <c r="H1505" i="1"/>
  <c r="E1506" i="1"/>
  <c r="F1506" i="1"/>
  <c r="H1506" i="1"/>
  <c r="E1507" i="1"/>
  <c r="F1507" i="1"/>
  <c r="H1507" i="1"/>
  <c r="E1508" i="1"/>
  <c r="F1508" i="1"/>
  <c r="H1508" i="1"/>
  <c r="E1509" i="1"/>
  <c r="F1509" i="1"/>
  <c r="H1509" i="1"/>
  <c r="E1510" i="1"/>
  <c r="F1510" i="1"/>
  <c r="H1510" i="1"/>
  <c r="E1511" i="1"/>
  <c r="F1511" i="1"/>
  <c r="H1511" i="1"/>
  <c r="E1512" i="1"/>
  <c r="F1512" i="1"/>
  <c r="H1512" i="1"/>
  <c r="E1513" i="1"/>
  <c r="F1513" i="1"/>
  <c r="H1513" i="1"/>
  <c r="E1514" i="1"/>
  <c r="F1514" i="1"/>
  <c r="H1514" i="1"/>
  <c r="E1515" i="1"/>
  <c r="F1515" i="1"/>
  <c r="H1515" i="1"/>
  <c r="E1516" i="1"/>
  <c r="F1516" i="1"/>
  <c r="H1516" i="1"/>
  <c r="E1517" i="1"/>
  <c r="F1517" i="1"/>
  <c r="H1517" i="1"/>
  <c r="E1518" i="1"/>
  <c r="F1518" i="1"/>
  <c r="H1518" i="1"/>
  <c r="E1519" i="1"/>
  <c r="F1519" i="1"/>
  <c r="H1519" i="1"/>
  <c r="E1520" i="1"/>
  <c r="F1520" i="1"/>
  <c r="H1520" i="1"/>
  <c r="E1521" i="1"/>
  <c r="F1521" i="1"/>
  <c r="H1521" i="1"/>
  <c r="E1522" i="1"/>
  <c r="F1522" i="1"/>
  <c r="H1522" i="1"/>
  <c r="E1523" i="1"/>
  <c r="F1523" i="1"/>
  <c r="H1523" i="1"/>
  <c r="E1524" i="1"/>
  <c r="F1524" i="1"/>
  <c r="H1524" i="1"/>
  <c r="E1525" i="1"/>
  <c r="F1525" i="1"/>
  <c r="H1525" i="1"/>
  <c r="E1526" i="1"/>
  <c r="F1526" i="1"/>
  <c r="H1526" i="1"/>
  <c r="E1527" i="1"/>
  <c r="F1527" i="1"/>
  <c r="H1527" i="1"/>
  <c r="E1528" i="1"/>
  <c r="F1528" i="1"/>
  <c r="H1528" i="1"/>
  <c r="E1529" i="1"/>
  <c r="F1529" i="1"/>
  <c r="H1529" i="1"/>
  <c r="E1530" i="1"/>
  <c r="F1530" i="1"/>
  <c r="H1530" i="1"/>
  <c r="E1531" i="1"/>
  <c r="F1531" i="1"/>
  <c r="H1531" i="1"/>
  <c r="E1532" i="1"/>
  <c r="F1532" i="1"/>
  <c r="H1532" i="1"/>
  <c r="E1533" i="1"/>
  <c r="F1533" i="1"/>
  <c r="H1533" i="1"/>
  <c r="E1534" i="1"/>
  <c r="F1534" i="1"/>
  <c r="H1534" i="1"/>
  <c r="E1535" i="1"/>
  <c r="F1535" i="1"/>
  <c r="H1535" i="1"/>
  <c r="E1536" i="1"/>
  <c r="F1536" i="1"/>
  <c r="H1536" i="1"/>
  <c r="E1537" i="1"/>
  <c r="F1537" i="1"/>
  <c r="H1537" i="1"/>
  <c r="E1538" i="1"/>
  <c r="F1538" i="1"/>
  <c r="H1538" i="1"/>
  <c r="E1539" i="1"/>
  <c r="F1539" i="1"/>
  <c r="H1539" i="1"/>
  <c r="E1540" i="1"/>
  <c r="F1540" i="1"/>
  <c r="H1540" i="1"/>
  <c r="E1541" i="1"/>
  <c r="F1541" i="1"/>
  <c r="H1541" i="1"/>
  <c r="E1542" i="1"/>
  <c r="F1542" i="1"/>
  <c r="H1542" i="1"/>
  <c r="E1543" i="1"/>
  <c r="F1543" i="1"/>
  <c r="H1543" i="1"/>
  <c r="E1544" i="1"/>
  <c r="F1544" i="1"/>
  <c r="H1544" i="1"/>
  <c r="E1545" i="1"/>
  <c r="F1545" i="1"/>
  <c r="H1545" i="1"/>
  <c r="E1546" i="1"/>
  <c r="F1546" i="1"/>
  <c r="H1546" i="1"/>
  <c r="E1547" i="1"/>
  <c r="F1547" i="1"/>
  <c r="H1547" i="1"/>
  <c r="E1548" i="1"/>
  <c r="F1548" i="1"/>
  <c r="H1548" i="1"/>
  <c r="E1549" i="1"/>
  <c r="F1549" i="1"/>
  <c r="H1549" i="1"/>
  <c r="E1550" i="1"/>
  <c r="F1550" i="1"/>
  <c r="H1550" i="1"/>
  <c r="E1551" i="1"/>
  <c r="F1551" i="1"/>
  <c r="H1551" i="1"/>
  <c r="E1552" i="1"/>
  <c r="F1552" i="1"/>
  <c r="H1552" i="1"/>
  <c r="E1553" i="1"/>
  <c r="F1553" i="1"/>
  <c r="H1553" i="1"/>
  <c r="E1554" i="1"/>
  <c r="F1554" i="1"/>
  <c r="H1554" i="1"/>
  <c r="E1555" i="1"/>
  <c r="F1555" i="1"/>
  <c r="H1555" i="1"/>
  <c r="E1556" i="1"/>
  <c r="F1556" i="1"/>
  <c r="H1556" i="1"/>
  <c r="E1557" i="1"/>
  <c r="F1557" i="1"/>
  <c r="H1557" i="1"/>
  <c r="E1558" i="1"/>
  <c r="F1558" i="1"/>
  <c r="H1558" i="1"/>
  <c r="E1559" i="1"/>
  <c r="F1559" i="1"/>
  <c r="H1559" i="1"/>
  <c r="E1560" i="1"/>
  <c r="F1560" i="1"/>
  <c r="H1560" i="1"/>
  <c r="E1561" i="1"/>
  <c r="F1561" i="1"/>
  <c r="H1561" i="1"/>
  <c r="E1562" i="1"/>
  <c r="F1562" i="1"/>
  <c r="H1562" i="1"/>
  <c r="E1563" i="1"/>
  <c r="F1563" i="1"/>
  <c r="H1563" i="1"/>
  <c r="E1564" i="1"/>
  <c r="F1564" i="1"/>
  <c r="H1564" i="1"/>
  <c r="E1565" i="1"/>
  <c r="F1565" i="1"/>
  <c r="H1565" i="1"/>
  <c r="E1566" i="1"/>
  <c r="F1566" i="1"/>
  <c r="H1566" i="1"/>
  <c r="E1567" i="1"/>
  <c r="F1567" i="1"/>
  <c r="H1567" i="1"/>
  <c r="E1568" i="1"/>
  <c r="F1568" i="1"/>
  <c r="H1568" i="1"/>
  <c r="E1569" i="1"/>
  <c r="F1569" i="1"/>
  <c r="H1569" i="1"/>
  <c r="E1570" i="1"/>
  <c r="F1570" i="1"/>
  <c r="H1570" i="1"/>
  <c r="E1571" i="1"/>
  <c r="F1571" i="1"/>
  <c r="H1571" i="1"/>
  <c r="E1572" i="1"/>
  <c r="F1572" i="1"/>
  <c r="H1572" i="1"/>
  <c r="E1573" i="1"/>
  <c r="F1573" i="1"/>
  <c r="H1573" i="1"/>
  <c r="E1574" i="1"/>
  <c r="F1574" i="1"/>
  <c r="H1574" i="1"/>
  <c r="E1575" i="1"/>
  <c r="F1575" i="1"/>
  <c r="H1575" i="1"/>
  <c r="E1576" i="1"/>
  <c r="F1576" i="1"/>
  <c r="H1576" i="1"/>
  <c r="E1577" i="1"/>
  <c r="F1577" i="1"/>
  <c r="H1577" i="1"/>
  <c r="E1578" i="1"/>
  <c r="F1578" i="1"/>
  <c r="H1578" i="1"/>
  <c r="E1579" i="1"/>
  <c r="F1579" i="1"/>
  <c r="H1579" i="1"/>
  <c r="E1580" i="1"/>
  <c r="F1580" i="1"/>
  <c r="H1580" i="1"/>
  <c r="E1581" i="1"/>
  <c r="F1581" i="1"/>
  <c r="H1581" i="1"/>
  <c r="E1582" i="1"/>
  <c r="F1582" i="1"/>
  <c r="H1582" i="1"/>
  <c r="E1583" i="1"/>
  <c r="F1583" i="1"/>
  <c r="H1583" i="1"/>
  <c r="E1584" i="1"/>
  <c r="F1584" i="1"/>
  <c r="H1584" i="1"/>
  <c r="E1585" i="1"/>
  <c r="F1585" i="1"/>
  <c r="H1585" i="1"/>
  <c r="E1586" i="1"/>
  <c r="F1586" i="1"/>
  <c r="H1586" i="1"/>
  <c r="E1587" i="1"/>
  <c r="F1587" i="1"/>
  <c r="H1587" i="1"/>
  <c r="E1588" i="1"/>
  <c r="F1588" i="1"/>
  <c r="H1588" i="1"/>
  <c r="E1589" i="1"/>
  <c r="F1589" i="1"/>
  <c r="H1589" i="1"/>
  <c r="E1590" i="1"/>
  <c r="F1590" i="1"/>
  <c r="H1590" i="1"/>
  <c r="E1591" i="1"/>
  <c r="F1591" i="1"/>
  <c r="H1591" i="1"/>
  <c r="E1592" i="1"/>
  <c r="F1592" i="1"/>
  <c r="H1592" i="1"/>
  <c r="E1593" i="1"/>
  <c r="F1593" i="1"/>
  <c r="H1593" i="1"/>
  <c r="E1594" i="1"/>
  <c r="F1594" i="1"/>
  <c r="H1594" i="1"/>
  <c r="E1595" i="1"/>
  <c r="F1595" i="1"/>
  <c r="H1595" i="1"/>
  <c r="E1596" i="1"/>
  <c r="F1596" i="1"/>
  <c r="H1596" i="1"/>
  <c r="E1597" i="1"/>
  <c r="F1597" i="1"/>
  <c r="H1597" i="1"/>
  <c r="E1598" i="1"/>
  <c r="F1598" i="1"/>
  <c r="H1598" i="1"/>
  <c r="E1599" i="1"/>
  <c r="F1599" i="1"/>
  <c r="H1599" i="1"/>
  <c r="E1600" i="1"/>
  <c r="F1600" i="1"/>
  <c r="H1600" i="1"/>
  <c r="E1601" i="1"/>
  <c r="F1601" i="1"/>
  <c r="H1601" i="1"/>
  <c r="E1602" i="1"/>
  <c r="F1602" i="1"/>
  <c r="H1602" i="1"/>
  <c r="E1603" i="1"/>
  <c r="F1603" i="1"/>
  <c r="H1603" i="1"/>
  <c r="E1604" i="1"/>
  <c r="F1604" i="1"/>
  <c r="H1604" i="1"/>
  <c r="E1605" i="1"/>
  <c r="F1605" i="1"/>
  <c r="H1605" i="1"/>
  <c r="E1606" i="1"/>
  <c r="F1606" i="1"/>
  <c r="H1606" i="1"/>
  <c r="E1607" i="1"/>
  <c r="F1607" i="1"/>
  <c r="H1607" i="1"/>
  <c r="E1608" i="1"/>
  <c r="F1608" i="1"/>
  <c r="H1608" i="1"/>
  <c r="E1609" i="1"/>
  <c r="F1609" i="1"/>
  <c r="H1609" i="1"/>
  <c r="E1610" i="1"/>
  <c r="F1610" i="1"/>
  <c r="H1610" i="1"/>
  <c r="E1611" i="1"/>
  <c r="F1611" i="1"/>
  <c r="H1611" i="1"/>
  <c r="E1612" i="1"/>
  <c r="F1612" i="1"/>
  <c r="H1612" i="1"/>
  <c r="E1613" i="1"/>
  <c r="F1613" i="1"/>
  <c r="H1613" i="1"/>
  <c r="E1614" i="1"/>
  <c r="F1614" i="1"/>
  <c r="H1614" i="1"/>
  <c r="E1615" i="1"/>
  <c r="F1615" i="1"/>
  <c r="H1615" i="1"/>
  <c r="E1616" i="1"/>
  <c r="F1616" i="1"/>
  <c r="H1616" i="1"/>
  <c r="E1617" i="1"/>
  <c r="F1617" i="1"/>
  <c r="H1617" i="1"/>
  <c r="E1618" i="1"/>
  <c r="F1618" i="1"/>
  <c r="H1618" i="1"/>
  <c r="E1619" i="1"/>
  <c r="F1619" i="1"/>
  <c r="H1619" i="1"/>
  <c r="E1620" i="1"/>
  <c r="F1620" i="1"/>
  <c r="H1620" i="1"/>
  <c r="E1621" i="1"/>
  <c r="F1621" i="1"/>
  <c r="H1621" i="1"/>
  <c r="E1622" i="1"/>
  <c r="F1622" i="1"/>
  <c r="H1622" i="1"/>
  <c r="E1623" i="1"/>
  <c r="F1623" i="1"/>
  <c r="H1623" i="1"/>
  <c r="E1624" i="1"/>
  <c r="F1624" i="1"/>
  <c r="H1624" i="1"/>
  <c r="E1625" i="1"/>
  <c r="F1625" i="1"/>
  <c r="H1625" i="1"/>
  <c r="E1626" i="1"/>
  <c r="F1626" i="1"/>
  <c r="H1626" i="1"/>
  <c r="E1627" i="1"/>
  <c r="F1627" i="1"/>
  <c r="H1627" i="1"/>
  <c r="E1628" i="1"/>
  <c r="F1628" i="1"/>
  <c r="H1628" i="1"/>
  <c r="E1629" i="1"/>
  <c r="F1629" i="1"/>
  <c r="H1629" i="1"/>
  <c r="E1630" i="1"/>
  <c r="F1630" i="1"/>
  <c r="H1630" i="1"/>
  <c r="E1631" i="1"/>
  <c r="F1631" i="1"/>
  <c r="H1631" i="1"/>
  <c r="E1632" i="1"/>
  <c r="F1632" i="1"/>
  <c r="H1632" i="1"/>
  <c r="E1633" i="1"/>
  <c r="F1633" i="1"/>
  <c r="H1633" i="1"/>
  <c r="E1634" i="1"/>
  <c r="F1634" i="1"/>
  <c r="H1634" i="1"/>
  <c r="E1635" i="1"/>
  <c r="F1635" i="1"/>
  <c r="H1635" i="1"/>
  <c r="E1636" i="1"/>
  <c r="F1636" i="1"/>
  <c r="H1636" i="1"/>
  <c r="E1637" i="1"/>
  <c r="F1637" i="1"/>
  <c r="H1637" i="1"/>
  <c r="E1638" i="1"/>
  <c r="F1638" i="1"/>
  <c r="H1638" i="1"/>
  <c r="E1639" i="1"/>
  <c r="F1639" i="1"/>
  <c r="H1639" i="1"/>
  <c r="E1640" i="1"/>
  <c r="F1640" i="1"/>
  <c r="H1640" i="1"/>
  <c r="E1641" i="1"/>
  <c r="F1641" i="1"/>
  <c r="H1641" i="1"/>
  <c r="E1642" i="1"/>
  <c r="F1642" i="1"/>
  <c r="H1642" i="1"/>
  <c r="E1643" i="1"/>
  <c r="F1643" i="1"/>
  <c r="H1643" i="1"/>
  <c r="E1644" i="1"/>
  <c r="F1644" i="1"/>
  <c r="H1644" i="1"/>
  <c r="E1645" i="1"/>
  <c r="F1645" i="1"/>
  <c r="H1645" i="1"/>
  <c r="E1646" i="1"/>
  <c r="F1646" i="1"/>
  <c r="H1646" i="1"/>
  <c r="E1647" i="1"/>
  <c r="F1647" i="1"/>
  <c r="H1647" i="1"/>
  <c r="E1648" i="1"/>
  <c r="F1648" i="1"/>
  <c r="H1648" i="1"/>
  <c r="E1649" i="1"/>
  <c r="F1649" i="1"/>
  <c r="H1649" i="1"/>
  <c r="E1650" i="1"/>
  <c r="F1650" i="1"/>
  <c r="H1650" i="1"/>
  <c r="E1651" i="1"/>
  <c r="F1651" i="1"/>
  <c r="H1651" i="1"/>
  <c r="E1652" i="1"/>
  <c r="F1652" i="1"/>
  <c r="H1652" i="1"/>
  <c r="E1653" i="1"/>
  <c r="F1653" i="1"/>
  <c r="H1653" i="1"/>
  <c r="E1654" i="1"/>
  <c r="F1654" i="1"/>
  <c r="H1654" i="1"/>
  <c r="E1655" i="1"/>
  <c r="F1655" i="1"/>
  <c r="H1655" i="1"/>
  <c r="E1656" i="1"/>
  <c r="F1656" i="1"/>
  <c r="H1656" i="1"/>
  <c r="E1657" i="1"/>
  <c r="F1657" i="1"/>
  <c r="H1657" i="1"/>
  <c r="E1658" i="1"/>
  <c r="F1658" i="1"/>
  <c r="H1658" i="1"/>
  <c r="E1659" i="1"/>
  <c r="F1659" i="1"/>
  <c r="H1659" i="1"/>
  <c r="E1660" i="1"/>
  <c r="F1660" i="1"/>
  <c r="H1660" i="1"/>
  <c r="E1661" i="1"/>
  <c r="F1661" i="1"/>
  <c r="H1661" i="1"/>
  <c r="E1662" i="1"/>
  <c r="F1662" i="1"/>
  <c r="H1662" i="1"/>
  <c r="E1663" i="1"/>
  <c r="F1663" i="1"/>
  <c r="H1663" i="1"/>
  <c r="E1664" i="1"/>
  <c r="F1664" i="1"/>
  <c r="H1664" i="1"/>
  <c r="E1665" i="1"/>
  <c r="F1665" i="1"/>
  <c r="H1665" i="1"/>
  <c r="E1666" i="1"/>
  <c r="F1666" i="1"/>
  <c r="H1666" i="1"/>
  <c r="E1667" i="1"/>
  <c r="F1667" i="1"/>
  <c r="H1667" i="1"/>
  <c r="E1668" i="1"/>
  <c r="F1668" i="1"/>
  <c r="H1668" i="1"/>
  <c r="E1669" i="1"/>
  <c r="F1669" i="1"/>
  <c r="H1669" i="1"/>
  <c r="E1670" i="1"/>
  <c r="F1670" i="1"/>
  <c r="H1670" i="1"/>
  <c r="E1671" i="1"/>
  <c r="F1671" i="1"/>
  <c r="H1671" i="1"/>
  <c r="E1672" i="1"/>
  <c r="F1672" i="1"/>
  <c r="H1672" i="1"/>
  <c r="E1673" i="1"/>
  <c r="F1673" i="1"/>
  <c r="H1673" i="1"/>
  <c r="E1674" i="1"/>
  <c r="F1674" i="1"/>
  <c r="H1674" i="1"/>
  <c r="E1675" i="1"/>
  <c r="F1675" i="1"/>
  <c r="H1675" i="1"/>
  <c r="E1676" i="1"/>
  <c r="F1676" i="1"/>
  <c r="H1676" i="1"/>
  <c r="E1677" i="1"/>
  <c r="F1677" i="1"/>
  <c r="H1677" i="1"/>
  <c r="E1678" i="1"/>
  <c r="F1678" i="1"/>
  <c r="H1678" i="1"/>
  <c r="E1679" i="1"/>
  <c r="F1679" i="1"/>
  <c r="H1679" i="1"/>
  <c r="E1680" i="1"/>
  <c r="F1680" i="1"/>
  <c r="H1680" i="1"/>
  <c r="E1681" i="1"/>
  <c r="F1681" i="1"/>
  <c r="H1681" i="1"/>
  <c r="E1682" i="1"/>
  <c r="F1682" i="1"/>
  <c r="H1682" i="1"/>
  <c r="E1683" i="1"/>
  <c r="F1683" i="1"/>
  <c r="H1683" i="1"/>
  <c r="E1684" i="1"/>
  <c r="F1684" i="1"/>
  <c r="H1684" i="1"/>
  <c r="E1685" i="1"/>
  <c r="F1685" i="1"/>
  <c r="H1685" i="1"/>
  <c r="E1686" i="1"/>
  <c r="F1686" i="1"/>
  <c r="H1686" i="1"/>
  <c r="E1687" i="1"/>
  <c r="F1687" i="1"/>
  <c r="H1687" i="1"/>
  <c r="E1688" i="1"/>
  <c r="F1688" i="1"/>
  <c r="H1688" i="1"/>
  <c r="E1689" i="1"/>
  <c r="F1689" i="1"/>
  <c r="H1689" i="1"/>
  <c r="E1690" i="1"/>
  <c r="F1690" i="1"/>
  <c r="H1690" i="1"/>
  <c r="E1691" i="1"/>
  <c r="F1691" i="1"/>
  <c r="H1691" i="1"/>
  <c r="E1692" i="1"/>
  <c r="F1692" i="1"/>
  <c r="H1692" i="1"/>
  <c r="E1693" i="1"/>
  <c r="F1693" i="1"/>
  <c r="H1693" i="1"/>
  <c r="E1694" i="1"/>
  <c r="F1694" i="1"/>
  <c r="H1694" i="1"/>
  <c r="E1695" i="1"/>
  <c r="F1695" i="1"/>
  <c r="H1695" i="1"/>
  <c r="E1696" i="1"/>
  <c r="F1696" i="1"/>
  <c r="H1696" i="1"/>
  <c r="E1697" i="1"/>
  <c r="F1697" i="1"/>
  <c r="H1697" i="1"/>
  <c r="E1698" i="1"/>
  <c r="F1698" i="1"/>
  <c r="H1698" i="1"/>
  <c r="E1699" i="1"/>
  <c r="F1699" i="1"/>
  <c r="H1699" i="1"/>
  <c r="E1700" i="1"/>
  <c r="F1700" i="1"/>
  <c r="H1700" i="1"/>
  <c r="E1701" i="1"/>
  <c r="F1701" i="1"/>
  <c r="H1701" i="1"/>
  <c r="E1702" i="1"/>
  <c r="F1702" i="1"/>
  <c r="H1702" i="1"/>
  <c r="E1703" i="1"/>
  <c r="F1703" i="1"/>
  <c r="H1703" i="1"/>
  <c r="E1704" i="1"/>
  <c r="F1704" i="1"/>
  <c r="H1704" i="1"/>
  <c r="E1705" i="1"/>
  <c r="F1705" i="1"/>
  <c r="H1705" i="1"/>
  <c r="E1706" i="1"/>
  <c r="F1706" i="1"/>
  <c r="H1706" i="1"/>
  <c r="E1707" i="1"/>
  <c r="F1707" i="1"/>
  <c r="H1707" i="1"/>
  <c r="E1708" i="1"/>
  <c r="F1708" i="1"/>
  <c r="H1708" i="1"/>
  <c r="E1709" i="1"/>
  <c r="F1709" i="1"/>
  <c r="H1709" i="1"/>
  <c r="E1710" i="1"/>
  <c r="F1710" i="1"/>
  <c r="H1710" i="1"/>
  <c r="E1711" i="1"/>
  <c r="F1711" i="1"/>
  <c r="H1711" i="1"/>
  <c r="E1712" i="1"/>
  <c r="F1712" i="1"/>
  <c r="H1712" i="1"/>
  <c r="E1713" i="1"/>
  <c r="F1713" i="1"/>
  <c r="H1713" i="1"/>
  <c r="E1714" i="1"/>
  <c r="F1714" i="1"/>
  <c r="H1714" i="1"/>
  <c r="E1715" i="1"/>
  <c r="F1715" i="1"/>
  <c r="H1715" i="1"/>
  <c r="E1716" i="1"/>
  <c r="F1716" i="1"/>
  <c r="H1716" i="1"/>
  <c r="E1717" i="1"/>
  <c r="F1717" i="1"/>
  <c r="H1717" i="1"/>
  <c r="E1718" i="1"/>
  <c r="F1718" i="1"/>
  <c r="H1718" i="1"/>
  <c r="E1719" i="1"/>
  <c r="F1719" i="1"/>
  <c r="H1719" i="1"/>
  <c r="E1720" i="1"/>
  <c r="F1720" i="1"/>
  <c r="H1720" i="1"/>
  <c r="E1721" i="1"/>
  <c r="F1721" i="1"/>
  <c r="H1721" i="1"/>
  <c r="E1722" i="1"/>
  <c r="F1722" i="1"/>
  <c r="H1722" i="1"/>
  <c r="E1723" i="1"/>
  <c r="F1723" i="1"/>
  <c r="H1723" i="1"/>
  <c r="E1724" i="1"/>
  <c r="F1724" i="1"/>
  <c r="H1724" i="1"/>
  <c r="E1725" i="1"/>
  <c r="F1725" i="1"/>
  <c r="H1725" i="1"/>
  <c r="E1726" i="1"/>
  <c r="F1726" i="1"/>
  <c r="H1726" i="1"/>
  <c r="E1727" i="1"/>
  <c r="F1727" i="1"/>
  <c r="H1727" i="1"/>
  <c r="E1728" i="1"/>
  <c r="F1728" i="1"/>
  <c r="H1728" i="1"/>
  <c r="E1729" i="1"/>
  <c r="F1729" i="1"/>
  <c r="H1729" i="1"/>
  <c r="E1730" i="1"/>
  <c r="F1730" i="1"/>
  <c r="H1730" i="1"/>
  <c r="E1731" i="1"/>
  <c r="F1731" i="1"/>
  <c r="H1731" i="1"/>
  <c r="E1732" i="1"/>
  <c r="F1732" i="1"/>
  <c r="H1732" i="1"/>
  <c r="E1733" i="1"/>
  <c r="F1733" i="1"/>
  <c r="H1733" i="1"/>
  <c r="E1734" i="1"/>
  <c r="F1734" i="1"/>
  <c r="H1734" i="1"/>
  <c r="E1735" i="1"/>
  <c r="F1735" i="1"/>
  <c r="H1735" i="1"/>
  <c r="E1736" i="1"/>
  <c r="F1736" i="1"/>
  <c r="H1736" i="1"/>
  <c r="E1737" i="1"/>
  <c r="F1737" i="1"/>
  <c r="H1737" i="1"/>
  <c r="E1738" i="1"/>
  <c r="F1738" i="1"/>
  <c r="H1738" i="1"/>
  <c r="E1739" i="1"/>
  <c r="F1739" i="1"/>
  <c r="H1739" i="1"/>
  <c r="E1740" i="1"/>
  <c r="F1740" i="1"/>
  <c r="H1740" i="1"/>
  <c r="E1741" i="1"/>
  <c r="F1741" i="1"/>
  <c r="H1741" i="1"/>
  <c r="E1742" i="1"/>
  <c r="F1742" i="1"/>
  <c r="H1742" i="1"/>
  <c r="E1743" i="1"/>
  <c r="F1743" i="1"/>
  <c r="H1743" i="1"/>
  <c r="E1744" i="1"/>
  <c r="F1744" i="1"/>
  <c r="H1744" i="1"/>
  <c r="E1745" i="1"/>
  <c r="F1745" i="1"/>
  <c r="H1745" i="1"/>
  <c r="E1746" i="1"/>
  <c r="F1746" i="1"/>
  <c r="H1746" i="1"/>
  <c r="E1747" i="1"/>
  <c r="F1747" i="1"/>
  <c r="H1747" i="1"/>
  <c r="E1748" i="1"/>
  <c r="F1748" i="1"/>
  <c r="H1748" i="1"/>
  <c r="E1749" i="1"/>
  <c r="F1749" i="1"/>
  <c r="H1749" i="1"/>
  <c r="E1750" i="1"/>
  <c r="F1750" i="1"/>
  <c r="H1750" i="1"/>
  <c r="E1751" i="1"/>
  <c r="F1751" i="1"/>
  <c r="H1751" i="1"/>
  <c r="E1752" i="1"/>
  <c r="F1752" i="1"/>
  <c r="H1752" i="1"/>
  <c r="E1753" i="1"/>
  <c r="F1753" i="1"/>
  <c r="H1753" i="1"/>
  <c r="E1754" i="1"/>
  <c r="F1754" i="1"/>
  <c r="H1754" i="1"/>
  <c r="E1755" i="1"/>
  <c r="F1755" i="1"/>
  <c r="H1755" i="1"/>
  <c r="E1756" i="1"/>
  <c r="F1756" i="1"/>
  <c r="H1756" i="1"/>
  <c r="E1757" i="1"/>
  <c r="F1757" i="1"/>
  <c r="H1757" i="1"/>
  <c r="E1758" i="1"/>
  <c r="F1758" i="1"/>
  <c r="H1758" i="1"/>
  <c r="E1759" i="1"/>
  <c r="F1759" i="1"/>
  <c r="H1759" i="1"/>
  <c r="E1760" i="1"/>
  <c r="F1760" i="1"/>
  <c r="H1760" i="1"/>
  <c r="E1761" i="1"/>
  <c r="F1761" i="1"/>
  <c r="H1761" i="1"/>
  <c r="E1762" i="1"/>
  <c r="F1762" i="1"/>
  <c r="H1762" i="1"/>
  <c r="E1763" i="1"/>
  <c r="F1763" i="1"/>
  <c r="H1763" i="1"/>
  <c r="E1764" i="1"/>
  <c r="F1764" i="1"/>
  <c r="H1764" i="1"/>
  <c r="E1765" i="1"/>
  <c r="F1765" i="1"/>
  <c r="H1765" i="1"/>
  <c r="E1766" i="1"/>
  <c r="F1766" i="1"/>
  <c r="H1766" i="1"/>
  <c r="E1767" i="1"/>
  <c r="F1767" i="1"/>
  <c r="H1767" i="1"/>
  <c r="E1768" i="1"/>
  <c r="F1768" i="1"/>
  <c r="H1768" i="1"/>
  <c r="E1769" i="1"/>
  <c r="F1769" i="1"/>
  <c r="H1769" i="1"/>
  <c r="E1770" i="1"/>
  <c r="F1770" i="1"/>
  <c r="H1770" i="1"/>
  <c r="E1771" i="1"/>
  <c r="F1771" i="1"/>
  <c r="H1771" i="1"/>
  <c r="E1772" i="1"/>
  <c r="F1772" i="1"/>
  <c r="H1772" i="1"/>
  <c r="E1773" i="1"/>
  <c r="F1773" i="1"/>
  <c r="H1773" i="1"/>
  <c r="E1774" i="1"/>
  <c r="F1774" i="1"/>
  <c r="H1774" i="1"/>
  <c r="E1775" i="1"/>
  <c r="F1775" i="1"/>
  <c r="H1775" i="1"/>
  <c r="E1776" i="1"/>
  <c r="F1776" i="1"/>
  <c r="H1776" i="1"/>
  <c r="E1777" i="1"/>
  <c r="F1777" i="1"/>
  <c r="H1777" i="1"/>
  <c r="E1778" i="1"/>
  <c r="F1778" i="1"/>
  <c r="H1778" i="1"/>
  <c r="E1779" i="1"/>
  <c r="F1779" i="1"/>
  <c r="H1779" i="1"/>
  <c r="E1780" i="1"/>
  <c r="F1780" i="1"/>
  <c r="H1780" i="1"/>
  <c r="E1781" i="1"/>
  <c r="F1781" i="1"/>
  <c r="H1781" i="1"/>
  <c r="E1782" i="1"/>
  <c r="F1782" i="1"/>
  <c r="H1782" i="1"/>
  <c r="E1783" i="1"/>
  <c r="F1783" i="1"/>
  <c r="H1783" i="1"/>
  <c r="E1784" i="1"/>
  <c r="F1784" i="1"/>
  <c r="H1784" i="1"/>
  <c r="E1785" i="1"/>
  <c r="F1785" i="1"/>
  <c r="H1785" i="1"/>
  <c r="E1786" i="1"/>
  <c r="F1786" i="1"/>
  <c r="H1786" i="1"/>
  <c r="E1787" i="1"/>
  <c r="F1787" i="1"/>
  <c r="H1787" i="1"/>
  <c r="E1788" i="1"/>
  <c r="F1788" i="1"/>
  <c r="H1788" i="1"/>
  <c r="E1789" i="1"/>
  <c r="F1789" i="1"/>
  <c r="H1789" i="1"/>
  <c r="E1790" i="1"/>
  <c r="F1790" i="1"/>
  <c r="H1790" i="1"/>
  <c r="E1791" i="1"/>
  <c r="F1791" i="1"/>
  <c r="H1791" i="1"/>
  <c r="E1792" i="1"/>
  <c r="F1792" i="1"/>
  <c r="H1792" i="1"/>
  <c r="E1793" i="1"/>
  <c r="F1793" i="1"/>
  <c r="H1793" i="1"/>
  <c r="E1794" i="1"/>
  <c r="F1794" i="1"/>
  <c r="H1794" i="1"/>
  <c r="E1795" i="1"/>
  <c r="F1795" i="1"/>
  <c r="H1795" i="1"/>
  <c r="E1796" i="1"/>
  <c r="F1796" i="1"/>
  <c r="H1796" i="1"/>
  <c r="E1797" i="1"/>
  <c r="F1797" i="1"/>
  <c r="H1797" i="1"/>
  <c r="E1798" i="1"/>
  <c r="F1798" i="1"/>
  <c r="H1798" i="1"/>
  <c r="E1799" i="1"/>
  <c r="F1799" i="1"/>
  <c r="H1799" i="1"/>
  <c r="E1800" i="1"/>
  <c r="F1800" i="1"/>
  <c r="H1800" i="1"/>
  <c r="E1801" i="1"/>
  <c r="F1801" i="1"/>
  <c r="H1801" i="1"/>
  <c r="E1802" i="1"/>
  <c r="F1802" i="1"/>
  <c r="H1802" i="1"/>
  <c r="E1803" i="1"/>
  <c r="F1803" i="1"/>
  <c r="H1803" i="1"/>
  <c r="E1804" i="1"/>
  <c r="F1804" i="1"/>
  <c r="H1804" i="1"/>
  <c r="E1805" i="1"/>
  <c r="F1805" i="1"/>
  <c r="H1805" i="1"/>
  <c r="E1806" i="1"/>
  <c r="F1806" i="1"/>
  <c r="H1806" i="1"/>
  <c r="E1807" i="1"/>
  <c r="F1807" i="1"/>
  <c r="H1807" i="1"/>
  <c r="E1808" i="1"/>
  <c r="F1808" i="1"/>
  <c r="H1808" i="1"/>
  <c r="E1809" i="1"/>
  <c r="F1809" i="1"/>
  <c r="H1809" i="1"/>
  <c r="E1810" i="1"/>
  <c r="F1810" i="1"/>
  <c r="H1810" i="1"/>
  <c r="E1811" i="1"/>
  <c r="F1811" i="1"/>
  <c r="H1811" i="1"/>
  <c r="E1812" i="1"/>
  <c r="F1812" i="1"/>
  <c r="H1812" i="1"/>
  <c r="E1813" i="1"/>
  <c r="F1813" i="1"/>
  <c r="H1813" i="1"/>
  <c r="E1814" i="1"/>
  <c r="F1814" i="1"/>
  <c r="H1814" i="1"/>
  <c r="E1815" i="1"/>
  <c r="F1815" i="1"/>
  <c r="H1815" i="1"/>
  <c r="E1816" i="1"/>
  <c r="F1816" i="1"/>
  <c r="H1816" i="1"/>
  <c r="E1817" i="1"/>
  <c r="F1817" i="1"/>
  <c r="H1817" i="1"/>
  <c r="E1818" i="1"/>
  <c r="F1818" i="1"/>
  <c r="H1818" i="1"/>
  <c r="E1819" i="1"/>
  <c r="F1819" i="1"/>
  <c r="H1819" i="1"/>
  <c r="E1820" i="1"/>
  <c r="F1820" i="1"/>
  <c r="H1820" i="1"/>
  <c r="E1821" i="1"/>
  <c r="F1821" i="1"/>
  <c r="H1821" i="1"/>
  <c r="E1822" i="1"/>
  <c r="F1822" i="1"/>
  <c r="H1822" i="1"/>
  <c r="E1823" i="1"/>
  <c r="F1823" i="1"/>
  <c r="H1823" i="1"/>
  <c r="E1824" i="1"/>
  <c r="F1824" i="1"/>
  <c r="H1824" i="1"/>
  <c r="E1825" i="1"/>
  <c r="F1825" i="1"/>
  <c r="H1825" i="1"/>
  <c r="E1826" i="1"/>
  <c r="F1826" i="1"/>
  <c r="H1826" i="1"/>
  <c r="E1827" i="1"/>
  <c r="F1827" i="1"/>
  <c r="H1827" i="1"/>
  <c r="E1828" i="1"/>
  <c r="F1828" i="1"/>
  <c r="H1828" i="1"/>
  <c r="E1829" i="1"/>
  <c r="F1829" i="1"/>
  <c r="H1829" i="1"/>
  <c r="E1830" i="1"/>
  <c r="F1830" i="1"/>
  <c r="H1830" i="1"/>
  <c r="E1831" i="1"/>
  <c r="F1831" i="1"/>
  <c r="H1831" i="1"/>
  <c r="E1832" i="1"/>
  <c r="F1832" i="1"/>
  <c r="H1832" i="1"/>
  <c r="E1833" i="1"/>
  <c r="F1833" i="1"/>
  <c r="H1833" i="1"/>
  <c r="E1834" i="1"/>
  <c r="F1834" i="1"/>
  <c r="H1834" i="1"/>
  <c r="E1835" i="1"/>
  <c r="F1835" i="1"/>
  <c r="H1835" i="1"/>
  <c r="E1836" i="1"/>
  <c r="F1836" i="1"/>
  <c r="H1836" i="1"/>
  <c r="E1837" i="1"/>
  <c r="F1837" i="1"/>
  <c r="H1837" i="1"/>
  <c r="E1838" i="1"/>
  <c r="F1838" i="1"/>
  <c r="H1838" i="1"/>
  <c r="E1839" i="1"/>
  <c r="F1839" i="1"/>
  <c r="H1839" i="1"/>
  <c r="E1840" i="1"/>
  <c r="F1840" i="1"/>
  <c r="H1840" i="1"/>
  <c r="E1841" i="1"/>
  <c r="F1841" i="1"/>
  <c r="H1841" i="1"/>
  <c r="E1842" i="1"/>
  <c r="F1842" i="1"/>
  <c r="H1842" i="1"/>
  <c r="E1843" i="1"/>
  <c r="F1843" i="1"/>
  <c r="H1843" i="1"/>
  <c r="E1844" i="1"/>
  <c r="F1844" i="1"/>
  <c r="H1844" i="1"/>
  <c r="E1845" i="1"/>
  <c r="F1845" i="1"/>
  <c r="H1845" i="1"/>
  <c r="E1846" i="1"/>
  <c r="F1846" i="1"/>
  <c r="H1846" i="1"/>
  <c r="E1847" i="1"/>
  <c r="F1847" i="1"/>
  <c r="H1847" i="1"/>
  <c r="E1848" i="1"/>
  <c r="F1848" i="1"/>
  <c r="H1848" i="1"/>
  <c r="E1849" i="1"/>
  <c r="F1849" i="1"/>
  <c r="H1849" i="1"/>
  <c r="E1850" i="1"/>
  <c r="F1850" i="1"/>
  <c r="H1850" i="1"/>
  <c r="E1851" i="1"/>
  <c r="F1851" i="1"/>
  <c r="H1851" i="1"/>
  <c r="E1852" i="1"/>
  <c r="F1852" i="1"/>
  <c r="H1852" i="1"/>
  <c r="E1853" i="1"/>
  <c r="F1853" i="1"/>
  <c r="H1853" i="1"/>
  <c r="E1854" i="1"/>
  <c r="F1854" i="1"/>
  <c r="H1854" i="1"/>
  <c r="E1855" i="1"/>
  <c r="F1855" i="1"/>
  <c r="H1855" i="1"/>
  <c r="E1856" i="1"/>
  <c r="F1856" i="1"/>
  <c r="H1856" i="1"/>
  <c r="E1857" i="1"/>
  <c r="F1857" i="1"/>
  <c r="H1857" i="1"/>
  <c r="E1858" i="1"/>
  <c r="F1858" i="1"/>
  <c r="H1858" i="1"/>
  <c r="E1859" i="1"/>
  <c r="F1859" i="1"/>
  <c r="H1859" i="1"/>
  <c r="E1860" i="1"/>
  <c r="F1860" i="1"/>
  <c r="H1860" i="1"/>
  <c r="E1861" i="1"/>
  <c r="F1861" i="1"/>
  <c r="H1861" i="1"/>
  <c r="E1862" i="1"/>
  <c r="F1862" i="1"/>
  <c r="H1862" i="1"/>
  <c r="E1863" i="1"/>
  <c r="F1863" i="1"/>
  <c r="H1863" i="1"/>
  <c r="E1864" i="1"/>
  <c r="F1864" i="1"/>
  <c r="H1864" i="1"/>
  <c r="E1865" i="1"/>
  <c r="F1865" i="1"/>
  <c r="H1865" i="1"/>
  <c r="E1866" i="1"/>
  <c r="F1866" i="1"/>
  <c r="H1866" i="1"/>
  <c r="E1867" i="1"/>
  <c r="F1867" i="1"/>
  <c r="H1867" i="1"/>
  <c r="E1868" i="1"/>
  <c r="F1868" i="1"/>
  <c r="H1868" i="1"/>
  <c r="E1869" i="1"/>
  <c r="F1869" i="1"/>
  <c r="H1869" i="1"/>
  <c r="E1870" i="1"/>
  <c r="F1870" i="1"/>
  <c r="H1870" i="1"/>
  <c r="E1871" i="1"/>
  <c r="F1871" i="1"/>
  <c r="H1871" i="1"/>
  <c r="E1872" i="1"/>
  <c r="F1872" i="1"/>
  <c r="H1872" i="1"/>
  <c r="E1873" i="1"/>
  <c r="F1873" i="1"/>
  <c r="H1873" i="1"/>
  <c r="E1874" i="1"/>
  <c r="F1874" i="1"/>
  <c r="H1874" i="1"/>
  <c r="E1875" i="1"/>
  <c r="F1875" i="1"/>
  <c r="H1875" i="1"/>
  <c r="E1876" i="1"/>
  <c r="F1876" i="1"/>
  <c r="H1876" i="1"/>
  <c r="E1877" i="1"/>
  <c r="F1877" i="1"/>
  <c r="H1877" i="1"/>
  <c r="E1878" i="1"/>
  <c r="F1878" i="1"/>
  <c r="H1878" i="1"/>
  <c r="E1879" i="1"/>
  <c r="F1879" i="1"/>
  <c r="H1879" i="1"/>
  <c r="E1880" i="1"/>
  <c r="F1880" i="1"/>
  <c r="H1880" i="1"/>
  <c r="E1881" i="1"/>
  <c r="F1881" i="1"/>
  <c r="H1881" i="1"/>
  <c r="E1882" i="1"/>
  <c r="F1882" i="1"/>
  <c r="H1882" i="1"/>
  <c r="E1883" i="1"/>
  <c r="F1883" i="1"/>
  <c r="H1883" i="1"/>
  <c r="E1884" i="1"/>
  <c r="F1884" i="1"/>
  <c r="H1884" i="1"/>
  <c r="E1885" i="1"/>
  <c r="F1885" i="1"/>
  <c r="H1885" i="1"/>
  <c r="E1886" i="1"/>
  <c r="F1886" i="1"/>
  <c r="H1886" i="1"/>
  <c r="E1887" i="1"/>
  <c r="F1887" i="1"/>
  <c r="H1887" i="1"/>
  <c r="E1888" i="1"/>
  <c r="F1888" i="1"/>
  <c r="H1888" i="1"/>
  <c r="E1889" i="1"/>
  <c r="F1889" i="1"/>
  <c r="H1889" i="1"/>
  <c r="E1890" i="1"/>
  <c r="F1890" i="1"/>
  <c r="H1890" i="1"/>
  <c r="E1891" i="1"/>
  <c r="F1891" i="1"/>
  <c r="H1891" i="1"/>
  <c r="E1892" i="1"/>
  <c r="F1892" i="1"/>
  <c r="H1892" i="1"/>
  <c r="E1893" i="1"/>
  <c r="F1893" i="1"/>
  <c r="H1893" i="1"/>
  <c r="E1894" i="1"/>
  <c r="F1894" i="1"/>
  <c r="H1894" i="1"/>
  <c r="E1895" i="1"/>
  <c r="F1895" i="1"/>
  <c r="H1895" i="1"/>
  <c r="E1896" i="1"/>
  <c r="F1896" i="1"/>
  <c r="H1896" i="1"/>
  <c r="E1897" i="1"/>
  <c r="F1897" i="1"/>
  <c r="H1897" i="1"/>
  <c r="E1898" i="1"/>
  <c r="F1898" i="1"/>
  <c r="H1898" i="1"/>
  <c r="E1899" i="1"/>
  <c r="F1899" i="1"/>
  <c r="H1899" i="1"/>
  <c r="E1900" i="1"/>
  <c r="F1900" i="1"/>
  <c r="H1900" i="1"/>
  <c r="E1901" i="1"/>
  <c r="F1901" i="1"/>
  <c r="H1901" i="1"/>
  <c r="E1902" i="1"/>
  <c r="F1902" i="1"/>
  <c r="H1902" i="1"/>
  <c r="E1903" i="1"/>
  <c r="F1903" i="1"/>
  <c r="H1903" i="1"/>
  <c r="E1904" i="1"/>
  <c r="F1904" i="1"/>
  <c r="H1904" i="1"/>
  <c r="E1905" i="1"/>
  <c r="F1905" i="1"/>
  <c r="H1905" i="1"/>
  <c r="E1906" i="1"/>
  <c r="F1906" i="1"/>
  <c r="H1906" i="1"/>
  <c r="E1907" i="1"/>
  <c r="F1907" i="1"/>
  <c r="H1907" i="1"/>
  <c r="E1908" i="1"/>
  <c r="F1908" i="1"/>
  <c r="H1908" i="1"/>
  <c r="E1909" i="1"/>
  <c r="F1909" i="1"/>
  <c r="H1909" i="1"/>
  <c r="E1910" i="1"/>
  <c r="F1910" i="1"/>
  <c r="H1910" i="1"/>
  <c r="E1911" i="1"/>
  <c r="F1911" i="1"/>
  <c r="H1911" i="1"/>
  <c r="E1912" i="1"/>
  <c r="F1912" i="1"/>
  <c r="H1912" i="1"/>
  <c r="E1913" i="1"/>
  <c r="F1913" i="1"/>
  <c r="H1913" i="1"/>
  <c r="E1914" i="1"/>
  <c r="F1914" i="1"/>
  <c r="H1914" i="1"/>
  <c r="E1915" i="1"/>
  <c r="F1915" i="1"/>
  <c r="H1915" i="1"/>
  <c r="E1916" i="1"/>
  <c r="F1916" i="1"/>
  <c r="H1916" i="1"/>
  <c r="E1917" i="1"/>
  <c r="F1917" i="1"/>
  <c r="H1917" i="1"/>
  <c r="E1918" i="1"/>
  <c r="F1918" i="1"/>
  <c r="H1918" i="1"/>
  <c r="E1919" i="1"/>
  <c r="F1919" i="1"/>
  <c r="H1919" i="1"/>
  <c r="E1920" i="1"/>
  <c r="F1920" i="1"/>
  <c r="H1920" i="1"/>
  <c r="E1921" i="1"/>
  <c r="F1921" i="1"/>
  <c r="H1921" i="1"/>
  <c r="E1922" i="1"/>
  <c r="F1922" i="1"/>
  <c r="H1922" i="1"/>
  <c r="E1923" i="1"/>
  <c r="F1923" i="1"/>
  <c r="H1923" i="1"/>
  <c r="E1924" i="1"/>
  <c r="F1924" i="1"/>
  <c r="H1924" i="1"/>
  <c r="E1925" i="1"/>
  <c r="F1925" i="1"/>
  <c r="H1925" i="1"/>
  <c r="E1926" i="1"/>
  <c r="F1926" i="1"/>
  <c r="H1926" i="1"/>
  <c r="E1927" i="1"/>
  <c r="F1927" i="1"/>
  <c r="H1927" i="1"/>
  <c r="E1928" i="1"/>
  <c r="F1928" i="1"/>
  <c r="H1928" i="1"/>
  <c r="E1929" i="1"/>
  <c r="F1929" i="1"/>
  <c r="H1929" i="1"/>
  <c r="E1930" i="1"/>
  <c r="F1930" i="1"/>
  <c r="H1930" i="1"/>
  <c r="E1931" i="1"/>
  <c r="F1931" i="1"/>
  <c r="H1931" i="1"/>
  <c r="E1932" i="1"/>
  <c r="F1932" i="1"/>
  <c r="H1932" i="1"/>
  <c r="E1933" i="1"/>
  <c r="F1933" i="1"/>
  <c r="H1933" i="1"/>
  <c r="E1934" i="1"/>
  <c r="F1934" i="1"/>
  <c r="H1934" i="1"/>
  <c r="E1935" i="1"/>
  <c r="F1935" i="1"/>
  <c r="H1935" i="1"/>
  <c r="E1936" i="1"/>
  <c r="F1936" i="1"/>
  <c r="H1936" i="1"/>
  <c r="E1937" i="1"/>
  <c r="F1937" i="1"/>
  <c r="H1937" i="1"/>
  <c r="E1938" i="1"/>
  <c r="F1938" i="1"/>
  <c r="H1938" i="1"/>
  <c r="E1939" i="1"/>
  <c r="F1939" i="1"/>
  <c r="H1939" i="1"/>
  <c r="E1940" i="1"/>
  <c r="F1940" i="1"/>
  <c r="H1940" i="1"/>
  <c r="E1941" i="1"/>
  <c r="F1941" i="1"/>
  <c r="H1941" i="1"/>
  <c r="E1942" i="1"/>
  <c r="F1942" i="1"/>
  <c r="H1942" i="1"/>
  <c r="E1943" i="1"/>
  <c r="F1943" i="1"/>
  <c r="H1943" i="1"/>
  <c r="E1944" i="1"/>
  <c r="F1944" i="1"/>
  <c r="H1944" i="1"/>
  <c r="E1945" i="1"/>
  <c r="F1945" i="1"/>
  <c r="H1945" i="1"/>
  <c r="E1946" i="1"/>
  <c r="F1946" i="1"/>
  <c r="H1946" i="1"/>
  <c r="E1947" i="1"/>
  <c r="F1947" i="1"/>
  <c r="H1947" i="1"/>
  <c r="E1948" i="1"/>
  <c r="F1948" i="1"/>
  <c r="H1948" i="1"/>
  <c r="E1949" i="1"/>
  <c r="F1949" i="1"/>
  <c r="H1949" i="1"/>
  <c r="E1950" i="1"/>
  <c r="F1950" i="1"/>
  <c r="H1950" i="1"/>
  <c r="E1951" i="1"/>
  <c r="F1951" i="1"/>
  <c r="H1951" i="1"/>
  <c r="E1952" i="1"/>
  <c r="F1952" i="1"/>
  <c r="H1952" i="1"/>
  <c r="E1953" i="1"/>
  <c r="F1953" i="1"/>
  <c r="H1953" i="1"/>
  <c r="E1954" i="1"/>
  <c r="F1954" i="1"/>
  <c r="H1954" i="1"/>
  <c r="E1955" i="1"/>
  <c r="F1955" i="1"/>
  <c r="H1955" i="1"/>
  <c r="E1956" i="1"/>
  <c r="F1956" i="1"/>
  <c r="H1956" i="1"/>
  <c r="E1957" i="1"/>
  <c r="F1957" i="1"/>
  <c r="H1957" i="1"/>
  <c r="E1958" i="1"/>
  <c r="F1958" i="1"/>
  <c r="H1958" i="1"/>
  <c r="E1959" i="1"/>
  <c r="F1959" i="1"/>
  <c r="H1959" i="1"/>
  <c r="E1960" i="1"/>
  <c r="F1960" i="1"/>
  <c r="H1960" i="1"/>
  <c r="E1961" i="1"/>
  <c r="F1961" i="1"/>
  <c r="H1961" i="1"/>
  <c r="E1962" i="1"/>
  <c r="F1962" i="1"/>
  <c r="H1962" i="1"/>
  <c r="E1963" i="1"/>
  <c r="F1963" i="1"/>
  <c r="H1963" i="1"/>
  <c r="E1964" i="1"/>
  <c r="F1964" i="1"/>
  <c r="H1964" i="1"/>
  <c r="E1965" i="1"/>
  <c r="F1965" i="1"/>
  <c r="H1965" i="1"/>
  <c r="E1966" i="1"/>
  <c r="F1966" i="1"/>
  <c r="H1966" i="1"/>
  <c r="E1967" i="1"/>
  <c r="F1967" i="1"/>
  <c r="H1967" i="1"/>
  <c r="E1968" i="1"/>
  <c r="F1968" i="1"/>
  <c r="H1968" i="1"/>
  <c r="E1969" i="1"/>
  <c r="F1969" i="1"/>
  <c r="H1969" i="1"/>
  <c r="E1970" i="1"/>
  <c r="F1970" i="1"/>
  <c r="H1970" i="1"/>
  <c r="E1971" i="1"/>
  <c r="F1971" i="1"/>
  <c r="H1971" i="1"/>
  <c r="E1972" i="1"/>
  <c r="F1972" i="1"/>
  <c r="H1972" i="1"/>
  <c r="E1973" i="1"/>
  <c r="F1973" i="1"/>
  <c r="H1973" i="1"/>
  <c r="E1974" i="1"/>
  <c r="F1974" i="1"/>
  <c r="H1974" i="1"/>
  <c r="E1975" i="1"/>
  <c r="F1975" i="1"/>
  <c r="H1975" i="1"/>
  <c r="E1976" i="1"/>
  <c r="F1976" i="1"/>
  <c r="H1976" i="1"/>
  <c r="E1977" i="1"/>
  <c r="F1977" i="1"/>
  <c r="H1977" i="1"/>
  <c r="E1978" i="1"/>
  <c r="F1978" i="1"/>
  <c r="H1978" i="1"/>
  <c r="E1979" i="1"/>
  <c r="F1979" i="1"/>
  <c r="H1979" i="1"/>
  <c r="E1980" i="1"/>
  <c r="F1980" i="1"/>
  <c r="H1980" i="1"/>
  <c r="E1981" i="1"/>
  <c r="F1981" i="1"/>
  <c r="H1981" i="1"/>
  <c r="E1982" i="1"/>
  <c r="F1982" i="1"/>
  <c r="H1982" i="1"/>
  <c r="E1983" i="1"/>
  <c r="F1983" i="1"/>
  <c r="H1983" i="1"/>
  <c r="E1984" i="1"/>
  <c r="F1984" i="1"/>
  <c r="H1984" i="1"/>
  <c r="E1985" i="1"/>
  <c r="F1985" i="1"/>
  <c r="H1985" i="1"/>
  <c r="E1986" i="1"/>
  <c r="F1986" i="1"/>
  <c r="H1986" i="1"/>
  <c r="E1987" i="1"/>
  <c r="F1987" i="1"/>
  <c r="H1987" i="1"/>
  <c r="E1988" i="1"/>
  <c r="F1988" i="1"/>
  <c r="H1988" i="1"/>
  <c r="E1989" i="1"/>
  <c r="F1989" i="1"/>
  <c r="H1989" i="1"/>
  <c r="E1990" i="1"/>
  <c r="F1990" i="1"/>
  <c r="H1990" i="1"/>
  <c r="E1991" i="1"/>
  <c r="F1991" i="1"/>
  <c r="H1991" i="1"/>
  <c r="E1992" i="1"/>
  <c r="F1992" i="1"/>
  <c r="H1992" i="1"/>
  <c r="E1993" i="1"/>
  <c r="F1993" i="1"/>
  <c r="H1993" i="1"/>
  <c r="E1994" i="1"/>
  <c r="F1994" i="1"/>
  <c r="H1994" i="1"/>
  <c r="E1995" i="1"/>
  <c r="F1995" i="1"/>
  <c r="H1995" i="1"/>
  <c r="E1996" i="1"/>
  <c r="F1996" i="1"/>
  <c r="H1996" i="1"/>
  <c r="E1997" i="1"/>
  <c r="F1997" i="1"/>
  <c r="H1997" i="1"/>
  <c r="E1998" i="1"/>
  <c r="F1998" i="1"/>
  <c r="H1998" i="1"/>
  <c r="E1999" i="1"/>
  <c r="F1999" i="1"/>
  <c r="H1999" i="1"/>
  <c r="E2000" i="1"/>
  <c r="F2000" i="1"/>
  <c r="H2000" i="1"/>
  <c r="E2001" i="1"/>
  <c r="F2001" i="1"/>
  <c r="H2001" i="1"/>
  <c r="E2002" i="1"/>
  <c r="F2002" i="1"/>
  <c r="H2002" i="1"/>
  <c r="E2003" i="1"/>
  <c r="F2003" i="1"/>
  <c r="H2003" i="1"/>
  <c r="E2004" i="1"/>
  <c r="F2004" i="1"/>
  <c r="H2004" i="1"/>
  <c r="E2005" i="1"/>
  <c r="F2005" i="1"/>
  <c r="H2005" i="1"/>
  <c r="E2006" i="1"/>
  <c r="F2006" i="1"/>
  <c r="H2006" i="1"/>
  <c r="E2007" i="1"/>
  <c r="F2007" i="1"/>
  <c r="H2007" i="1"/>
  <c r="E2008" i="1"/>
  <c r="F2008" i="1"/>
  <c r="H2008" i="1"/>
  <c r="E2009" i="1"/>
  <c r="F2009" i="1"/>
  <c r="H2009" i="1"/>
  <c r="E2010" i="1"/>
  <c r="F2010" i="1"/>
  <c r="H2010" i="1"/>
  <c r="E2011" i="1"/>
  <c r="F2011" i="1"/>
  <c r="H2011" i="1"/>
  <c r="E2012" i="1"/>
  <c r="F2012" i="1"/>
  <c r="H2012" i="1"/>
  <c r="E2013" i="1"/>
  <c r="F2013" i="1"/>
  <c r="H2013" i="1"/>
  <c r="E2014" i="1"/>
  <c r="F2014" i="1"/>
  <c r="H2014" i="1"/>
  <c r="E2015" i="1"/>
  <c r="F2015" i="1"/>
  <c r="H2015" i="1"/>
  <c r="E2016" i="1"/>
  <c r="F2016" i="1"/>
  <c r="H2016" i="1"/>
  <c r="E2017" i="1"/>
  <c r="F2017" i="1"/>
  <c r="H2017" i="1"/>
  <c r="E2018" i="1"/>
  <c r="F2018" i="1"/>
  <c r="H2018" i="1"/>
  <c r="E2019" i="1"/>
  <c r="F2019" i="1"/>
  <c r="H2019" i="1"/>
  <c r="E2020" i="1"/>
  <c r="F2020" i="1"/>
  <c r="H2020" i="1"/>
  <c r="E2021" i="1"/>
  <c r="F2021" i="1"/>
  <c r="H2021" i="1"/>
  <c r="E2022" i="1"/>
  <c r="F2022" i="1"/>
  <c r="H2022" i="1"/>
  <c r="E2023" i="1"/>
  <c r="F2023" i="1"/>
  <c r="H2023" i="1"/>
  <c r="E2024" i="1"/>
  <c r="F2024" i="1"/>
  <c r="H2024" i="1"/>
  <c r="E2025" i="1"/>
  <c r="F2025" i="1"/>
  <c r="H2025" i="1"/>
  <c r="E2026" i="1"/>
  <c r="F2026" i="1"/>
  <c r="H2026" i="1"/>
  <c r="E2027" i="1"/>
  <c r="F2027" i="1"/>
  <c r="H2027" i="1"/>
  <c r="E2028" i="1"/>
  <c r="F2028" i="1"/>
  <c r="H2028" i="1"/>
  <c r="E2029" i="1"/>
  <c r="F2029" i="1"/>
  <c r="H2029" i="1"/>
  <c r="E2030" i="1"/>
  <c r="F2030" i="1"/>
  <c r="H2030" i="1"/>
  <c r="E2031" i="1"/>
  <c r="F2031" i="1"/>
  <c r="H2031" i="1"/>
  <c r="E2032" i="1"/>
  <c r="F2032" i="1"/>
  <c r="H2032" i="1"/>
  <c r="E2033" i="1"/>
  <c r="F2033" i="1"/>
  <c r="H2033" i="1"/>
  <c r="E2034" i="1"/>
  <c r="F2034" i="1"/>
  <c r="H2034" i="1"/>
  <c r="E2035" i="1"/>
  <c r="F2035" i="1"/>
  <c r="H2035" i="1"/>
  <c r="E2036" i="1"/>
  <c r="F2036" i="1"/>
  <c r="H2036" i="1"/>
  <c r="E2037" i="1"/>
  <c r="F2037" i="1"/>
  <c r="H2037" i="1"/>
  <c r="E2038" i="1"/>
  <c r="F2038" i="1"/>
  <c r="H2038" i="1"/>
  <c r="E2039" i="1"/>
  <c r="F2039" i="1"/>
  <c r="H2039" i="1"/>
  <c r="E2040" i="1"/>
  <c r="F2040" i="1"/>
  <c r="H2040" i="1"/>
  <c r="E2041" i="1"/>
  <c r="F2041" i="1"/>
  <c r="H2041" i="1"/>
  <c r="E2042" i="1"/>
  <c r="F2042" i="1"/>
  <c r="H2042" i="1"/>
  <c r="E2043" i="1"/>
  <c r="F2043" i="1"/>
  <c r="H2043" i="1"/>
  <c r="E2044" i="1"/>
  <c r="F2044" i="1"/>
  <c r="H2044" i="1"/>
  <c r="E2045" i="1"/>
  <c r="F2045" i="1"/>
  <c r="H2045" i="1"/>
  <c r="E2046" i="1"/>
  <c r="F2046" i="1"/>
  <c r="H2046" i="1"/>
  <c r="E2047" i="1"/>
  <c r="F2047" i="1"/>
  <c r="H2047" i="1"/>
  <c r="E2048" i="1"/>
  <c r="F2048" i="1"/>
  <c r="H2048" i="1"/>
  <c r="E2049" i="1"/>
  <c r="F2049" i="1"/>
  <c r="H2049" i="1"/>
  <c r="E2050" i="1"/>
  <c r="F2050" i="1"/>
  <c r="H2050" i="1"/>
  <c r="E2051" i="1"/>
  <c r="F2051" i="1"/>
  <c r="H2051" i="1"/>
  <c r="E2052" i="1"/>
  <c r="F2052" i="1"/>
  <c r="H2052" i="1"/>
  <c r="E2053" i="1"/>
  <c r="F2053" i="1"/>
  <c r="H2053" i="1"/>
  <c r="E2054" i="1"/>
  <c r="F2054" i="1"/>
  <c r="H2054" i="1"/>
  <c r="E2055" i="1"/>
  <c r="F2055" i="1"/>
  <c r="H2055" i="1"/>
  <c r="E2056" i="1"/>
  <c r="F2056" i="1"/>
  <c r="H2056" i="1"/>
  <c r="E2057" i="1"/>
  <c r="F2057" i="1"/>
  <c r="H2057" i="1"/>
  <c r="E2058" i="1"/>
  <c r="F2058" i="1"/>
  <c r="H2058" i="1"/>
  <c r="E2059" i="1"/>
  <c r="F2059" i="1"/>
  <c r="H2059" i="1"/>
  <c r="E2060" i="1"/>
  <c r="F2060" i="1"/>
  <c r="H2060" i="1"/>
  <c r="E2061" i="1"/>
  <c r="F2061" i="1"/>
  <c r="H2061" i="1"/>
  <c r="E2062" i="1"/>
  <c r="F2062" i="1"/>
  <c r="H2062" i="1"/>
  <c r="E2063" i="1"/>
  <c r="F2063" i="1"/>
  <c r="H2063" i="1"/>
  <c r="E2064" i="1"/>
  <c r="F2064" i="1"/>
  <c r="H2064" i="1"/>
  <c r="E2065" i="1"/>
  <c r="F2065" i="1"/>
  <c r="H2065" i="1"/>
  <c r="E2066" i="1"/>
  <c r="F2066" i="1"/>
  <c r="H2066" i="1"/>
  <c r="E2067" i="1"/>
  <c r="F2067" i="1"/>
  <c r="H2067" i="1"/>
  <c r="E2068" i="1"/>
  <c r="F2068" i="1"/>
  <c r="H2068" i="1"/>
  <c r="E2069" i="1"/>
  <c r="F2069" i="1"/>
  <c r="H2069" i="1"/>
  <c r="E2070" i="1"/>
  <c r="F2070" i="1"/>
  <c r="H2070" i="1"/>
  <c r="E2071" i="1"/>
  <c r="F2071" i="1"/>
  <c r="H2071" i="1"/>
  <c r="E2072" i="1"/>
  <c r="F2072" i="1"/>
  <c r="H2072" i="1"/>
  <c r="E2073" i="1"/>
  <c r="F2073" i="1"/>
  <c r="H2073" i="1"/>
  <c r="E2074" i="1"/>
  <c r="F2074" i="1"/>
  <c r="H2074" i="1"/>
  <c r="E2075" i="1"/>
  <c r="F2075" i="1"/>
  <c r="H2075" i="1"/>
  <c r="E2076" i="1"/>
  <c r="F2076" i="1"/>
  <c r="H2076" i="1"/>
  <c r="E2077" i="1"/>
  <c r="F2077" i="1"/>
  <c r="H2077" i="1"/>
  <c r="E2078" i="1"/>
  <c r="F2078" i="1"/>
  <c r="H2078" i="1"/>
  <c r="E2079" i="1"/>
  <c r="F2079" i="1"/>
  <c r="H2079" i="1"/>
  <c r="E2080" i="1"/>
  <c r="F2080" i="1"/>
  <c r="H2080" i="1"/>
  <c r="E2081" i="1"/>
  <c r="F2081" i="1"/>
  <c r="H2081" i="1"/>
  <c r="E2082" i="1"/>
  <c r="F2082" i="1"/>
  <c r="H2082" i="1"/>
  <c r="E2083" i="1"/>
  <c r="F2083" i="1"/>
  <c r="H2083" i="1"/>
  <c r="E2084" i="1"/>
  <c r="F2084" i="1"/>
  <c r="H2084" i="1"/>
  <c r="E2085" i="1"/>
  <c r="F2085" i="1"/>
  <c r="H2085" i="1"/>
  <c r="E2086" i="1"/>
  <c r="F2086" i="1"/>
  <c r="H2086" i="1"/>
  <c r="E2087" i="1"/>
  <c r="F2087" i="1"/>
  <c r="H2087" i="1"/>
  <c r="E2088" i="1"/>
  <c r="F2088" i="1"/>
  <c r="H2088" i="1"/>
  <c r="E2089" i="1"/>
  <c r="F2089" i="1"/>
  <c r="H2089" i="1"/>
  <c r="E2090" i="1"/>
  <c r="F2090" i="1"/>
  <c r="H2090" i="1"/>
  <c r="E2091" i="1"/>
  <c r="F2091" i="1"/>
  <c r="H2091" i="1"/>
  <c r="E2092" i="1"/>
  <c r="F2092" i="1"/>
  <c r="H2092" i="1"/>
  <c r="E2093" i="1"/>
  <c r="F2093" i="1"/>
  <c r="H2093" i="1"/>
  <c r="E2094" i="1"/>
  <c r="F2094" i="1"/>
  <c r="H2094" i="1"/>
  <c r="E2095" i="1"/>
  <c r="F2095" i="1"/>
  <c r="H2095" i="1"/>
  <c r="E2096" i="1"/>
  <c r="F2096" i="1"/>
  <c r="H2096" i="1"/>
  <c r="E2097" i="1"/>
  <c r="F2097" i="1"/>
  <c r="H2097" i="1"/>
  <c r="E2098" i="1"/>
  <c r="F2098" i="1"/>
  <c r="H2098" i="1"/>
  <c r="E2099" i="1"/>
  <c r="F2099" i="1"/>
  <c r="H2099" i="1"/>
  <c r="E2100" i="1"/>
  <c r="F2100" i="1"/>
  <c r="H2100" i="1"/>
  <c r="E2101" i="1"/>
  <c r="F2101" i="1"/>
  <c r="H2101" i="1"/>
  <c r="E2102" i="1"/>
  <c r="F2102" i="1"/>
  <c r="H2102" i="1"/>
  <c r="E2103" i="1"/>
  <c r="F2103" i="1"/>
  <c r="H2103" i="1"/>
  <c r="E2104" i="1"/>
  <c r="F2104" i="1"/>
  <c r="H2104" i="1"/>
  <c r="E2105" i="1"/>
  <c r="F2105" i="1"/>
  <c r="H2105" i="1"/>
  <c r="E2106" i="1"/>
  <c r="F2106" i="1"/>
  <c r="H2106" i="1"/>
  <c r="E2107" i="1"/>
  <c r="F2107" i="1"/>
  <c r="H2107" i="1"/>
  <c r="E2108" i="1"/>
  <c r="F2108" i="1"/>
  <c r="H2108" i="1"/>
  <c r="E2109" i="1"/>
  <c r="F2109" i="1"/>
  <c r="H2109" i="1"/>
  <c r="E2110" i="1"/>
  <c r="F2110" i="1"/>
  <c r="H2110" i="1"/>
  <c r="E2111" i="1"/>
  <c r="F2111" i="1"/>
  <c r="H2111" i="1"/>
  <c r="E2112" i="1"/>
  <c r="F2112" i="1"/>
  <c r="H2112" i="1"/>
  <c r="E2113" i="1"/>
  <c r="F2113" i="1"/>
  <c r="H2113" i="1"/>
  <c r="E2114" i="1"/>
  <c r="F2114" i="1"/>
  <c r="H2114" i="1"/>
  <c r="E2115" i="1"/>
  <c r="F2115" i="1"/>
  <c r="H2115" i="1"/>
  <c r="E2116" i="1"/>
  <c r="F2116" i="1"/>
  <c r="H2116" i="1"/>
  <c r="E2117" i="1"/>
  <c r="F2117" i="1"/>
  <c r="H2117" i="1"/>
  <c r="E2118" i="1"/>
  <c r="F2118" i="1"/>
  <c r="H2118" i="1"/>
  <c r="E2119" i="1"/>
  <c r="F2119" i="1"/>
  <c r="H2119" i="1"/>
  <c r="E2120" i="1"/>
  <c r="F2120" i="1"/>
  <c r="H2120" i="1"/>
  <c r="E2121" i="1"/>
  <c r="F2121" i="1"/>
  <c r="H2121" i="1"/>
  <c r="E2122" i="1"/>
  <c r="F2122" i="1"/>
  <c r="H2122" i="1"/>
  <c r="E2123" i="1"/>
  <c r="F2123" i="1"/>
  <c r="H2123" i="1"/>
  <c r="E2124" i="1"/>
  <c r="F2124" i="1"/>
  <c r="H2124" i="1"/>
  <c r="E2125" i="1"/>
  <c r="F2125" i="1"/>
  <c r="H2125" i="1"/>
  <c r="E2126" i="1"/>
  <c r="F2126" i="1"/>
  <c r="H2126" i="1"/>
  <c r="E2127" i="1"/>
  <c r="F2127" i="1"/>
  <c r="H2127" i="1"/>
  <c r="E2128" i="1"/>
  <c r="F2128" i="1"/>
  <c r="H2128" i="1"/>
  <c r="E2129" i="1"/>
  <c r="F2129" i="1"/>
  <c r="H2129" i="1"/>
  <c r="E2130" i="1"/>
  <c r="F2130" i="1"/>
  <c r="H2130" i="1"/>
  <c r="E2131" i="1"/>
  <c r="F2131" i="1"/>
  <c r="H2131" i="1"/>
  <c r="E2132" i="1"/>
  <c r="F2132" i="1"/>
  <c r="H2132" i="1"/>
  <c r="E2133" i="1"/>
  <c r="F2133" i="1"/>
  <c r="H2133" i="1"/>
  <c r="E2134" i="1"/>
  <c r="F2134" i="1"/>
  <c r="H2134" i="1"/>
  <c r="E2135" i="1"/>
  <c r="F2135" i="1"/>
  <c r="H2135" i="1"/>
  <c r="E2136" i="1"/>
  <c r="F2136" i="1"/>
  <c r="H2136" i="1"/>
  <c r="E2137" i="1"/>
  <c r="F2137" i="1"/>
  <c r="H2137" i="1"/>
  <c r="E2138" i="1"/>
  <c r="F2138" i="1"/>
  <c r="H2138" i="1"/>
  <c r="E2139" i="1"/>
  <c r="F2139" i="1"/>
  <c r="H2139" i="1"/>
  <c r="E2140" i="1"/>
  <c r="F2140" i="1"/>
  <c r="H2140" i="1"/>
  <c r="E2141" i="1"/>
  <c r="F2141" i="1"/>
  <c r="H2141" i="1"/>
  <c r="E2142" i="1"/>
  <c r="F2142" i="1"/>
  <c r="H2142" i="1"/>
  <c r="E2143" i="1"/>
  <c r="F2143" i="1"/>
  <c r="H2143" i="1"/>
  <c r="E2144" i="1"/>
  <c r="F2144" i="1"/>
  <c r="H2144" i="1"/>
  <c r="E2145" i="1"/>
  <c r="F2145" i="1"/>
  <c r="H2145" i="1"/>
  <c r="E2146" i="1"/>
  <c r="F2146" i="1"/>
  <c r="H2146" i="1"/>
  <c r="E2147" i="1"/>
  <c r="F2147" i="1"/>
  <c r="H2147" i="1"/>
  <c r="E2148" i="1"/>
  <c r="F2148" i="1"/>
  <c r="H2148" i="1"/>
  <c r="E2149" i="1"/>
  <c r="F2149" i="1"/>
  <c r="H2149" i="1"/>
  <c r="E2150" i="1"/>
  <c r="F2150" i="1"/>
  <c r="H2150" i="1"/>
  <c r="E2151" i="1"/>
  <c r="F2151" i="1"/>
  <c r="H2151" i="1"/>
  <c r="E2152" i="1"/>
  <c r="F2152" i="1"/>
  <c r="H2152" i="1"/>
  <c r="E2153" i="1"/>
  <c r="F2153" i="1"/>
  <c r="H2153" i="1"/>
  <c r="E2154" i="1"/>
  <c r="F2154" i="1"/>
  <c r="H2154" i="1"/>
  <c r="E2155" i="1"/>
  <c r="F2155" i="1"/>
  <c r="H2155" i="1"/>
  <c r="E2156" i="1"/>
  <c r="F2156" i="1"/>
  <c r="H2156" i="1"/>
  <c r="E2157" i="1"/>
  <c r="F2157" i="1"/>
  <c r="H2157" i="1"/>
  <c r="E2158" i="1"/>
  <c r="F2158" i="1"/>
  <c r="H2158" i="1"/>
  <c r="E2159" i="1"/>
  <c r="F2159" i="1"/>
  <c r="H2159" i="1"/>
  <c r="E2160" i="1"/>
  <c r="F2160" i="1"/>
  <c r="H2160" i="1"/>
  <c r="E2161" i="1"/>
  <c r="F2161" i="1"/>
  <c r="H2161" i="1"/>
  <c r="E2162" i="1"/>
  <c r="F2162" i="1"/>
  <c r="H2162" i="1"/>
  <c r="E2163" i="1"/>
  <c r="F2163" i="1"/>
  <c r="H2163" i="1"/>
  <c r="E2164" i="1"/>
  <c r="F2164" i="1"/>
  <c r="H2164" i="1"/>
  <c r="E2165" i="1"/>
  <c r="F2165" i="1"/>
  <c r="H2165" i="1"/>
  <c r="E2166" i="1"/>
  <c r="F2166" i="1"/>
  <c r="H2166" i="1"/>
  <c r="E2167" i="1"/>
  <c r="F2167" i="1"/>
  <c r="H2167" i="1"/>
  <c r="E2168" i="1"/>
  <c r="F2168" i="1"/>
  <c r="H2168" i="1"/>
  <c r="E2169" i="1"/>
  <c r="F2169" i="1"/>
  <c r="H2169" i="1"/>
  <c r="E2170" i="1"/>
  <c r="F2170" i="1"/>
  <c r="H2170" i="1"/>
  <c r="E2171" i="1"/>
  <c r="F2171" i="1"/>
  <c r="H2171" i="1"/>
  <c r="E2172" i="1"/>
  <c r="F2172" i="1"/>
  <c r="H2172" i="1"/>
  <c r="E2173" i="1"/>
  <c r="F2173" i="1"/>
  <c r="H2173" i="1"/>
  <c r="E2174" i="1"/>
  <c r="F2174" i="1"/>
  <c r="H2174" i="1"/>
  <c r="E2175" i="1"/>
  <c r="F2175" i="1"/>
  <c r="H2175" i="1"/>
  <c r="E2176" i="1"/>
  <c r="F2176" i="1"/>
  <c r="H2176" i="1"/>
  <c r="E2177" i="1"/>
  <c r="F2177" i="1"/>
  <c r="H2177" i="1"/>
  <c r="E2178" i="1"/>
  <c r="F2178" i="1"/>
  <c r="H2178" i="1"/>
  <c r="E2179" i="1"/>
  <c r="F2179" i="1"/>
  <c r="H2179" i="1"/>
  <c r="E2180" i="1"/>
  <c r="F2180" i="1"/>
  <c r="H2180" i="1"/>
  <c r="E2181" i="1"/>
  <c r="F2181" i="1"/>
  <c r="H2181" i="1"/>
  <c r="E2182" i="1"/>
  <c r="F2182" i="1"/>
  <c r="H2182" i="1"/>
  <c r="E2183" i="1"/>
  <c r="F2183" i="1"/>
  <c r="H2183" i="1"/>
  <c r="E2184" i="1"/>
  <c r="F2184" i="1"/>
  <c r="H2184" i="1"/>
  <c r="E2185" i="1"/>
  <c r="F2185" i="1"/>
  <c r="H2185" i="1"/>
  <c r="E2186" i="1"/>
  <c r="F2186" i="1"/>
  <c r="H2186" i="1"/>
  <c r="E2187" i="1"/>
  <c r="F2187" i="1"/>
  <c r="H2187" i="1"/>
  <c r="E2188" i="1"/>
  <c r="F2188" i="1"/>
  <c r="H2188" i="1"/>
  <c r="E2189" i="1"/>
  <c r="F2189" i="1"/>
  <c r="H2189" i="1"/>
  <c r="E2190" i="1"/>
  <c r="F2190" i="1"/>
  <c r="H2190" i="1"/>
  <c r="E2191" i="1"/>
  <c r="F2191" i="1"/>
  <c r="H2191" i="1"/>
  <c r="E2192" i="1"/>
  <c r="F2192" i="1"/>
  <c r="H2192" i="1"/>
  <c r="E2193" i="1"/>
  <c r="F2193" i="1"/>
  <c r="H2193" i="1"/>
  <c r="E2194" i="1"/>
  <c r="F2194" i="1"/>
  <c r="H2194" i="1"/>
  <c r="E2195" i="1"/>
  <c r="F2195" i="1"/>
  <c r="H2195" i="1"/>
  <c r="E2196" i="1"/>
  <c r="F2196" i="1"/>
  <c r="H2196" i="1"/>
  <c r="E2197" i="1"/>
  <c r="F2197" i="1"/>
  <c r="H2197" i="1"/>
  <c r="E2198" i="1"/>
  <c r="F2198" i="1"/>
  <c r="H2198" i="1"/>
  <c r="E2199" i="1"/>
  <c r="F2199" i="1"/>
  <c r="H2199" i="1"/>
  <c r="E2200" i="1"/>
  <c r="F2200" i="1"/>
  <c r="H2200" i="1"/>
  <c r="E2201" i="1"/>
  <c r="F2201" i="1"/>
  <c r="H2201" i="1"/>
  <c r="E2202" i="1"/>
  <c r="F2202" i="1"/>
  <c r="H2202" i="1"/>
  <c r="E2203" i="1"/>
  <c r="F2203" i="1"/>
  <c r="H2203" i="1"/>
  <c r="E2204" i="1"/>
  <c r="F2204" i="1"/>
  <c r="H2204" i="1"/>
  <c r="E2205" i="1"/>
  <c r="F2205" i="1"/>
  <c r="H2205" i="1"/>
  <c r="E2206" i="1"/>
  <c r="F2206" i="1"/>
  <c r="H2206" i="1"/>
  <c r="E2207" i="1"/>
  <c r="F2207" i="1"/>
  <c r="H2207" i="1"/>
  <c r="E2208" i="1"/>
  <c r="F2208" i="1"/>
  <c r="H2208" i="1"/>
  <c r="E2209" i="1"/>
  <c r="F2209" i="1"/>
  <c r="H2209" i="1"/>
  <c r="E2210" i="1"/>
  <c r="F2210" i="1"/>
  <c r="H2210" i="1"/>
  <c r="E2211" i="1"/>
  <c r="F2211" i="1"/>
  <c r="H2211" i="1"/>
  <c r="E2212" i="1"/>
  <c r="F2212" i="1"/>
  <c r="H2212" i="1"/>
  <c r="E2213" i="1"/>
  <c r="F2213" i="1"/>
  <c r="H2213" i="1"/>
  <c r="E2214" i="1"/>
  <c r="F2214" i="1"/>
  <c r="H2214" i="1"/>
  <c r="E2215" i="1"/>
  <c r="F2215" i="1"/>
  <c r="H2215" i="1"/>
  <c r="E2216" i="1"/>
  <c r="F2216" i="1"/>
  <c r="H2216" i="1"/>
  <c r="E2217" i="1"/>
  <c r="F2217" i="1"/>
  <c r="H2217" i="1"/>
  <c r="E2218" i="1"/>
  <c r="F2218" i="1"/>
  <c r="H2218" i="1"/>
  <c r="E2219" i="1"/>
  <c r="F2219" i="1"/>
  <c r="H2219" i="1"/>
  <c r="E2220" i="1"/>
  <c r="F2220" i="1"/>
  <c r="H2220" i="1"/>
  <c r="E2221" i="1"/>
  <c r="F2221" i="1"/>
  <c r="H2221" i="1"/>
  <c r="E2222" i="1"/>
  <c r="F2222" i="1"/>
  <c r="H2222" i="1"/>
  <c r="E2223" i="1"/>
  <c r="F2223" i="1"/>
  <c r="H2223" i="1"/>
  <c r="E2224" i="1"/>
  <c r="F2224" i="1"/>
  <c r="H2224" i="1"/>
  <c r="E2225" i="1"/>
  <c r="F2225" i="1"/>
  <c r="H2225" i="1"/>
  <c r="E2226" i="1"/>
  <c r="F2226" i="1"/>
  <c r="H2226" i="1"/>
  <c r="E2227" i="1"/>
  <c r="F2227" i="1"/>
  <c r="H2227" i="1"/>
  <c r="E2228" i="1"/>
  <c r="F2228" i="1"/>
  <c r="H2228" i="1"/>
  <c r="E2229" i="1"/>
  <c r="F2229" i="1"/>
  <c r="H2229" i="1"/>
  <c r="E2230" i="1"/>
  <c r="F2230" i="1"/>
  <c r="H2230" i="1"/>
  <c r="E2231" i="1"/>
  <c r="F2231" i="1"/>
  <c r="H2231" i="1"/>
  <c r="E2232" i="1"/>
  <c r="F2232" i="1"/>
  <c r="H2232" i="1"/>
  <c r="E2233" i="1"/>
  <c r="F2233" i="1"/>
  <c r="H2233" i="1"/>
  <c r="E2234" i="1"/>
  <c r="F2234" i="1"/>
  <c r="H2234" i="1"/>
  <c r="E2235" i="1"/>
  <c r="F2235" i="1"/>
  <c r="H2235" i="1"/>
  <c r="E2236" i="1"/>
  <c r="F2236" i="1"/>
  <c r="H2236" i="1"/>
  <c r="E2237" i="1"/>
  <c r="F2237" i="1"/>
  <c r="H2237" i="1"/>
  <c r="E2238" i="1"/>
  <c r="F2238" i="1"/>
  <c r="H2238" i="1"/>
  <c r="E2239" i="1"/>
  <c r="F2239" i="1"/>
  <c r="H2239" i="1"/>
  <c r="E2240" i="1"/>
  <c r="F2240" i="1"/>
  <c r="H2240" i="1"/>
  <c r="E2241" i="1"/>
  <c r="F2241" i="1"/>
  <c r="H2241" i="1"/>
  <c r="E2242" i="1"/>
  <c r="F2242" i="1"/>
  <c r="H2242" i="1"/>
  <c r="E2243" i="1"/>
  <c r="F2243" i="1"/>
  <c r="H2243" i="1"/>
  <c r="E2244" i="1"/>
  <c r="F2244" i="1"/>
  <c r="H2244" i="1"/>
  <c r="E2245" i="1"/>
  <c r="F2245" i="1"/>
  <c r="H2245" i="1"/>
  <c r="E2246" i="1"/>
  <c r="F2246" i="1"/>
  <c r="H2246" i="1"/>
  <c r="E2247" i="1"/>
  <c r="F2247" i="1"/>
  <c r="H2247" i="1"/>
  <c r="E2248" i="1"/>
  <c r="F2248" i="1"/>
  <c r="H2248" i="1"/>
  <c r="E2249" i="1"/>
  <c r="F2249" i="1"/>
  <c r="H2249" i="1"/>
  <c r="E2250" i="1"/>
  <c r="F2250" i="1"/>
  <c r="H2250" i="1"/>
  <c r="E2251" i="1"/>
  <c r="F2251" i="1"/>
  <c r="H2251" i="1"/>
  <c r="E2252" i="1"/>
  <c r="F2252" i="1"/>
  <c r="H2252" i="1"/>
  <c r="E2253" i="1"/>
  <c r="F2253" i="1"/>
  <c r="H2253" i="1"/>
  <c r="E2254" i="1"/>
  <c r="F2254" i="1"/>
  <c r="H2254" i="1"/>
  <c r="E2255" i="1"/>
  <c r="F2255" i="1"/>
  <c r="H2255" i="1"/>
  <c r="E2256" i="1"/>
  <c r="F2256" i="1"/>
  <c r="H2256" i="1"/>
  <c r="E2257" i="1"/>
  <c r="F2257" i="1"/>
  <c r="H2257" i="1"/>
  <c r="E2258" i="1"/>
  <c r="F2258" i="1"/>
  <c r="H2258" i="1"/>
  <c r="E2259" i="1"/>
  <c r="F2259" i="1"/>
  <c r="H2259" i="1"/>
  <c r="E2260" i="1"/>
  <c r="F2260" i="1"/>
  <c r="H2260" i="1"/>
  <c r="E2261" i="1"/>
  <c r="F2261" i="1"/>
  <c r="H2261" i="1"/>
  <c r="E2262" i="1"/>
  <c r="F2262" i="1"/>
  <c r="H2262" i="1"/>
  <c r="E2263" i="1"/>
  <c r="F2263" i="1"/>
  <c r="H2263" i="1"/>
  <c r="E2264" i="1"/>
  <c r="F2264" i="1"/>
  <c r="H2264" i="1"/>
  <c r="E2265" i="1"/>
  <c r="F2265" i="1"/>
  <c r="H2265" i="1"/>
  <c r="E2266" i="1"/>
  <c r="F2266" i="1"/>
  <c r="H2266" i="1"/>
  <c r="E2267" i="1"/>
  <c r="F2267" i="1"/>
  <c r="H2267" i="1"/>
  <c r="E2268" i="1"/>
  <c r="F2268" i="1"/>
  <c r="H2268" i="1"/>
  <c r="E2269" i="1"/>
  <c r="F2269" i="1"/>
  <c r="H2269" i="1"/>
  <c r="E2270" i="1"/>
  <c r="F2270" i="1"/>
  <c r="H2270" i="1"/>
  <c r="E2271" i="1"/>
  <c r="F2271" i="1"/>
  <c r="H2271" i="1"/>
  <c r="E2272" i="1"/>
  <c r="F2272" i="1"/>
  <c r="H2272" i="1"/>
  <c r="E2273" i="1"/>
  <c r="F2273" i="1"/>
  <c r="H2273" i="1"/>
  <c r="E2274" i="1"/>
  <c r="F2274" i="1"/>
  <c r="H2274" i="1"/>
  <c r="E2275" i="1"/>
  <c r="F2275" i="1"/>
  <c r="H2275" i="1"/>
  <c r="E2276" i="1"/>
  <c r="F2276" i="1"/>
  <c r="H2276" i="1"/>
  <c r="E2277" i="1"/>
  <c r="F2277" i="1"/>
  <c r="H2277" i="1"/>
  <c r="E2278" i="1"/>
  <c r="F2278" i="1"/>
  <c r="H2278" i="1"/>
  <c r="E2279" i="1"/>
  <c r="F2279" i="1"/>
  <c r="H2279" i="1"/>
  <c r="E2280" i="1"/>
  <c r="F2280" i="1"/>
  <c r="H2280" i="1"/>
  <c r="E2281" i="1"/>
  <c r="F2281" i="1"/>
  <c r="H2281" i="1"/>
  <c r="E2282" i="1"/>
  <c r="F2282" i="1"/>
  <c r="H2282" i="1"/>
  <c r="E2283" i="1"/>
  <c r="F2283" i="1"/>
  <c r="H2283" i="1"/>
  <c r="E2284" i="1"/>
  <c r="F2284" i="1"/>
  <c r="H2284" i="1"/>
  <c r="E2285" i="1"/>
  <c r="F2285" i="1"/>
  <c r="H2285" i="1"/>
  <c r="E2286" i="1"/>
  <c r="F2286" i="1"/>
  <c r="H2286" i="1"/>
  <c r="E2287" i="1"/>
  <c r="F2287" i="1"/>
  <c r="H2287" i="1"/>
  <c r="E2288" i="1"/>
  <c r="F2288" i="1"/>
  <c r="H2288" i="1"/>
  <c r="E2289" i="1"/>
  <c r="F2289" i="1"/>
  <c r="H2289" i="1"/>
  <c r="E2290" i="1"/>
  <c r="F2290" i="1"/>
  <c r="H2290" i="1"/>
  <c r="E2291" i="1"/>
  <c r="F2291" i="1"/>
  <c r="H2291" i="1"/>
  <c r="E2292" i="1"/>
  <c r="F2292" i="1"/>
  <c r="H2292" i="1"/>
  <c r="E2293" i="1"/>
  <c r="F2293" i="1"/>
  <c r="H2293" i="1"/>
  <c r="E2294" i="1"/>
  <c r="F2294" i="1"/>
  <c r="H2294" i="1"/>
  <c r="E2295" i="1"/>
  <c r="F2295" i="1"/>
  <c r="H2295" i="1"/>
  <c r="E2296" i="1"/>
  <c r="F2296" i="1"/>
  <c r="H2296" i="1"/>
  <c r="E2297" i="1"/>
  <c r="F2297" i="1"/>
  <c r="H2297" i="1"/>
  <c r="E2298" i="1"/>
  <c r="F2298" i="1"/>
  <c r="H2298" i="1"/>
  <c r="E2299" i="1"/>
  <c r="F2299" i="1"/>
  <c r="H2299" i="1"/>
  <c r="E2300" i="1"/>
  <c r="F2300" i="1"/>
  <c r="H2300" i="1"/>
  <c r="E2301" i="1"/>
  <c r="F2301" i="1"/>
  <c r="H2301" i="1"/>
  <c r="E2302" i="1"/>
  <c r="F2302" i="1"/>
  <c r="H2302" i="1"/>
  <c r="E2303" i="1"/>
  <c r="F2303" i="1"/>
  <c r="H2303" i="1"/>
  <c r="E2304" i="1"/>
  <c r="F2304" i="1"/>
  <c r="H2304" i="1"/>
  <c r="E2305" i="1"/>
  <c r="F2305" i="1"/>
  <c r="H2305" i="1"/>
  <c r="E2306" i="1"/>
  <c r="F2306" i="1"/>
  <c r="H2306" i="1"/>
  <c r="E2307" i="1"/>
  <c r="F2307" i="1"/>
  <c r="H2307" i="1"/>
  <c r="E2308" i="1"/>
  <c r="F2308" i="1"/>
  <c r="H2308" i="1"/>
  <c r="E2309" i="1"/>
  <c r="F2309" i="1"/>
  <c r="H2309" i="1"/>
  <c r="E2310" i="1"/>
  <c r="F2310" i="1"/>
  <c r="H2310" i="1"/>
  <c r="E2311" i="1"/>
  <c r="F2311" i="1"/>
  <c r="H2311" i="1"/>
  <c r="E2312" i="1"/>
  <c r="F2312" i="1"/>
  <c r="H2312" i="1"/>
  <c r="E2313" i="1"/>
  <c r="F2313" i="1"/>
  <c r="H2313" i="1"/>
  <c r="E2314" i="1"/>
  <c r="F2314" i="1"/>
  <c r="H2314" i="1"/>
  <c r="E2315" i="1"/>
  <c r="F2315" i="1"/>
  <c r="H2315" i="1"/>
  <c r="E2316" i="1"/>
  <c r="F2316" i="1"/>
  <c r="H2316" i="1"/>
  <c r="E2317" i="1"/>
  <c r="F2317" i="1"/>
  <c r="H2317" i="1"/>
  <c r="E2318" i="1"/>
  <c r="F2318" i="1"/>
  <c r="H2318" i="1"/>
  <c r="E2319" i="1"/>
  <c r="F2319" i="1"/>
  <c r="H2319" i="1"/>
  <c r="E2320" i="1"/>
  <c r="F2320" i="1"/>
  <c r="H2320" i="1"/>
  <c r="E2321" i="1"/>
  <c r="F2321" i="1"/>
  <c r="H2321" i="1"/>
  <c r="E2322" i="1"/>
  <c r="F2322" i="1"/>
  <c r="H2322" i="1"/>
  <c r="E2323" i="1"/>
  <c r="F2323" i="1"/>
  <c r="H2323" i="1"/>
  <c r="E2324" i="1"/>
  <c r="F2324" i="1"/>
  <c r="H2324" i="1"/>
  <c r="E2325" i="1"/>
  <c r="F2325" i="1"/>
  <c r="H2325" i="1"/>
  <c r="E2326" i="1"/>
  <c r="F2326" i="1"/>
  <c r="H2326" i="1"/>
  <c r="E2327" i="1"/>
  <c r="F2327" i="1"/>
  <c r="H2327" i="1"/>
  <c r="E2328" i="1"/>
  <c r="F2328" i="1"/>
  <c r="H2328" i="1"/>
  <c r="E2329" i="1"/>
  <c r="F2329" i="1"/>
  <c r="H2329" i="1"/>
  <c r="E2330" i="1"/>
  <c r="F2330" i="1"/>
  <c r="H2330" i="1"/>
  <c r="E2331" i="1"/>
  <c r="F2331" i="1"/>
  <c r="H2331" i="1"/>
  <c r="E2332" i="1"/>
  <c r="F2332" i="1"/>
  <c r="H2332" i="1"/>
  <c r="E2333" i="1"/>
  <c r="F2333" i="1"/>
  <c r="H2333" i="1"/>
  <c r="E2334" i="1"/>
  <c r="F2334" i="1"/>
  <c r="H2334" i="1"/>
  <c r="E2335" i="1"/>
  <c r="F2335" i="1"/>
  <c r="H2335" i="1"/>
  <c r="E2336" i="1"/>
  <c r="F2336" i="1"/>
  <c r="H2336" i="1"/>
  <c r="E2337" i="1"/>
  <c r="F2337" i="1"/>
  <c r="H2337" i="1"/>
  <c r="E2338" i="1"/>
  <c r="F2338" i="1"/>
  <c r="H2338" i="1"/>
  <c r="E2339" i="1"/>
  <c r="F2339" i="1"/>
  <c r="H2339" i="1"/>
  <c r="E2340" i="1"/>
  <c r="F2340" i="1"/>
  <c r="H2340" i="1"/>
  <c r="E2341" i="1"/>
  <c r="F2341" i="1"/>
  <c r="H2341" i="1"/>
  <c r="E2342" i="1"/>
  <c r="F2342" i="1"/>
  <c r="H2342" i="1"/>
  <c r="E2343" i="1"/>
  <c r="F2343" i="1"/>
  <c r="H2343" i="1"/>
  <c r="E2344" i="1"/>
  <c r="F2344" i="1"/>
  <c r="H2344" i="1"/>
  <c r="E2345" i="1"/>
  <c r="F2345" i="1"/>
  <c r="H2345" i="1"/>
  <c r="E2346" i="1"/>
  <c r="F2346" i="1"/>
  <c r="H2346" i="1"/>
  <c r="E2347" i="1"/>
  <c r="F2347" i="1"/>
  <c r="H2347" i="1"/>
  <c r="E2348" i="1"/>
  <c r="F2348" i="1"/>
  <c r="H2348" i="1"/>
  <c r="E2349" i="1"/>
  <c r="F2349" i="1"/>
  <c r="H2349" i="1"/>
  <c r="E2350" i="1"/>
  <c r="F2350" i="1"/>
  <c r="H2350" i="1"/>
  <c r="E2351" i="1"/>
  <c r="F2351" i="1"/>
  <c r="H2351" i="1"/>
  <c r="E2352" i="1"/>
  <c r="F2352" i="1"/>
  <c r="H2352" i="1"/>
  <c r="E2353" i="1"/>
  <c r="F2353" i="1"/>
  <c r="H2353" i="1"/>
  <c r="E2354" i="1"/>
  <c r="F2354" i="1"/>
  <c r="H2354" i="1"/>
  <c r="E2355" i="1"/>
  <c r="F2355" i="1"/>
  <c r="H2355" i="1"/>
  <c r="E2356" i="1"/>
  <c r="F2356" i="1"/>
  <c r="H2356" i="1"/>
  <c r="E2357" i="1"/>
  <c r="F2357" i="1"/>
  <c r="H2357" i="1"/>
  <c r="E2358" i="1"/>
  <c r="F2358" i="1"/>
  <c r="H2358" i="1"/>
  <c r="E2359" i="1"/>
  <c r="F2359" i="1"/>
  <c r="H2359" i="1"/>
  <c r="E2360" i="1"/>
  <c r="F2360" i="1"/>
  <c r="H2360" i="1"/>
  <c r="E2361" i="1"/>
  <c r="F2361" i="1"/>
  <c r="H2361" i="1"/>
  <c r="E2362" i="1"/>
  <c r="F2362" i="1"/>
  <c r="H2362" i="1"/>
  <c r="E2363" i="1"/>
  <c r="F2363" i="1"/>
  <c r="H2363" i="1"/>
  <c r="E2364" i="1"/>
  <c r="F2364" i="1"/>
  <c r="H2364" i="1"/>
  <c r="E2365" i="1"/>
  <c r="F2365" i="1"/>
  <c r="H2365" i="1"/>
  <c r="E2366" i="1"/>
  <c r="F2366" i="1"/>
  <c r="H2366" i="1"/>
  <c r="E2367" i="1"/>
  <c r="F2367" i="1"/>
  <c r="H2367" i="1"/>
  <c r="E2368" i="1"/>
  <c r="F2368" i="1"/>
  <c r="H2368" i="1"/>
  <c r="E2369" i="1"/>
  <c r="F2369" i="1"/>
  <c r="H2369" i="1"/>
  <c r="E2370" i="1"/>
  <c r="F2370" i="1"/>
  <c r="H2370" i="1"/>
  <c r="E2371" i="1"/>
  <c r="F2371" i="1"/>
  <c r="H2371" i="1"/>
  <c r="E2372" i="1"/>
  <c r="F2372" i="1"/>
  <c r="H2372" i="1"/>
  <c r="E2373" i="1"/>
  <c r="F2373" i="1"/>
  <c r="H2373" i="1"/>
  <c r="E2374" i="1"/>
  <c r="F2374" i="1"/>
  <c r="H2374" i="1"/>
  <c r="E2375" i="1"/>
  <c r="F2375" i="1"/>
  <c r="H2375" i="1"/>
  <c r="E2376" i="1"/>
  <c r="F2376" i="1"/>
  <c r="H2376" i="1"/>
  <c r="E2377" i="1"/>
  <c r="F2377" i="1"/>
  <c r="H2377" i="1"/>
  <c r="E2378" i="1"/>
  <c r="F2378" i="1"/>
  <c r="H2378" i="1"/>
  <c r="E2379" i="1"/>
  <c r="F2379" i="1"/>
  <c r="H2379" i="1"/>
  <c r="E2380" i="1"/>
  <c r="F2380" i="1"/>
  <c r="H2380" i="1"/>
  <c r="E2381" i="1"/>
  <c r="F2381" i="1"/>
  <c r="H2381" i="1"/>
  <c r="E2382" i="1"/>
  <c r="F2382" i="1"/>
  <c r="H2382" i="1"/>
  <c r="E2383" i="1"/>
  <c r="F2383" i="1"/>
  <c r="H2383" i="1"/>
  <c r="E2384" i="1"/>
  <c r="F2384" i="1"/>
  <c r="H2384" i="1"/>
  <c r="E2385" i="1"/>
  <c r="F2385" i="1"/>
  <c r="H2385" i="1"/>
  <c r="E2386" i="1"/>
  <c r="F2386" i="1"/>
  <c r="H2386" i="1"/>
  <c r="E2387" i="1"/>
  <c r="F2387" i="1"/>
  <c r="H2387" i="1"/>
  <c r="E2388" i="1"/>
  <c r="F2388" i="1"/>
  <c r="H2388" i="1"/>
  <c r="E2389" i="1"/>
  <c r="F2389" i="1"/>
  <c r="H2389" i="1"/>
  <c r="E2390" i="1"/>
  <c r="F2390" i="1"/>
  <c r="H2390" i="1"/>
  <c r="E2391" i="1"/>
  <c r="F2391" i="1"/>
  <c r="H2391" i="1"/>
  <c r="E2392" i="1"/>
  <c r="F2392" i="1"/>
  <c r="H2392" i="1"/>
  <c r="E2393" i="1"/>
  <c r="F2393" i="1"/>
  <c r="H2393" i="1"/>
  <c r="E2394" i="1"/>
  <c r="F2394" i="1"/>
  <c r="H2394" i="1"/>
  <c r="E2395" i="1"/>
  <c r="F2395" i="1"/>
  <c r="H2395" i="1"/>
  <c r="E2396" i="1"/>
  <c r="F2396" i="1"/>
  <c r="H2396" i="1"/>
  <c r="E2397" i="1"/>
  <c r="F2397" i="1"/>
  <c r="H2397" i="1"/>
  <c r="E2398" i="1"/>
  <c r="F2398" i="1"/>
  <c r="H2398" i="1"/>
  <c r="E2399" i="1"/>
  <c r="F2399" i="1"/>
  <c r="H2399" i="1"/>
  <c r="E2400" i="1"/>
  <c r="F2400" i="1"/>
  <c r="H2400" i="1"/>
  <c r="E2401" i="1"/>
  <c r="F2401" i="1"/>
  <c r="H2401" i="1"/>
  <c r="E2402" i="1"/>
  <c r="F2402" i="1"/>
  <c r="H2402" i="1"/>
  <c r="E2403" i="1"/>
  <c r="F2403" i="1"/>
  <c r="H2403" i="1"/>
  <c r="E2404" i="1"/>
  <c r="F2404" i="1"/>
  <c r="H2404" i="1"/>
  <c r="E2405" i="1"/>
  <c r="F2405" i="1"/>
  <c r="H2405" i="1"/>
  <c r="E2406" i="1"/>
  <c r="F2406" i="1"/>
  <c r="H2406" i="1"/>
  <c r="E2407" i="1"/>
  <c r="F2407" i="1"/>
  <c r="H2407" i="1"/>
  <c r="E2408" i="1"/>
  <c r="F2408" i="1"/>
  <c r="H2408" i="1"/>
  <c r="E2409" i="1"/>
  <c r="F2409" i="1"/>
  <c r="H2409" i="1"/>
  <c r="E2410" i="1"/>
  <c r="F2410" i="1"/>
  <c r="H2410" i="1"/>
  <c r="E2411" i="1"/>
  <c r="F2411" i="1"/>
  <c r="H2411" i="1"/>
  <c r="E2412" i="1"/>
  <c r="F2412" i="1"/>
  <c r="H2412" i="1"/>
  <c r="E2413" i="1"/>
  <c r="F2413" i="1"/>
  <c r="H2413" i="1"/>
  <c r="E2414" i="1"/>
  <c r="F2414" i="1"/>
  <c r="H2414" i="1"/>
  <c r="E2415" i="1"/>
  <c r="F2415" i="1"/>
  <c r="H2415" i="1"/>
  <c r="E2416" i="1"/>
  <c r="F2416" i="1"/>
  <c r="H2416" i="1"/>
  <c r="E2417" i="1"/>
  <c r="F2417" i="1"/>
  <c r="H2417" i="1"/>
  <c r="E2418" i="1"/>
  <c r="F2418" i="1"/>
  <c r="H2418" i="1"/>
  <c r="E2419" i="1"/>
  <c r="F2419" i="1"/>
  <c r="H2419" i="1"/>
  <c r="E2420" i="1"/>
  <c r="F2420" i="1"/>
  <c r="H2420" i="1"/>
  <c r="E2421" i="1"/>
  <c r="F2421" i="1"/>
  <c r="H2421" i="1"/>
  <c r="E2422" i="1"/>
  <c r="F2422" i="1"/>
  <c r="H2422" i="1"/>
  <c r="E2423" i="1"/>
  <c r="F2423" i="1"/>
  <c r="H2423" i="1"/>
  <c r="E2424" i="1"/>
  <c r="F2424" i="1"/>
  <c r="H2424" i="1"/>
  <c r="E2425" i="1"/>
  <c r="F2425" i="1"/>
  <c r="H2425" i="1"/>
  <c r="E2426" i="1"/>
  <c r="F2426" i="1"/>
  <c r="H2426" i="1"/>
  <c r="E2427" i="1"/>
  <c r="F2427" i="1"/>
  <c r="H2427" i="1"/>
  <c r="E2428" i="1"/>
  <c r="F2428" i="1"/>
  <c r="H2428" i="1"/>
  <c r="E2429" i="1"/>
  <c r="F2429" i="1"/>
  <c r="H2429" i="1"/>
  <c r="E2430" i="1"/>
  <c r="F2430" i="1"/>
  <c r="H2430" i="1"/>
  <c r="E2431" i="1"/>
  <c r="F2431" i="1"/>
  <c r="H2431" i="1"/>
  <c r="E2432" i="1"/>
  <c r="F2432" i="1"/>
  <c r="H2432" i="1"/>
  <c r="E2433" i="1"/>
  <c r="F2433" i="1"/>
  <c r="H2433" i="1"/>
  <c r="E2434" i="1"/>
  <c r="F2434" i="1"/>
  <c r="H2434" i="1"/>
  <c r="E2435" i="1"/>
  <c r="F2435" i="1"/>
  <c r="H2435" i="1"/>
  <c r="E2436" i="1"/>
  <c r="F2436" i="1"/>
  <c r="H2436" i="1"/>
  <c r="E2437" i="1"/>
  <c r="F2437" i="1"/>
  <c r="H2437" i="1"/>
  <c r="E2438" i="1"/>
  <c r="F2438" i="1"/>
  <c r="H2438" i="1"/>
  <c r="E2439" i="1"/>
  <c r="F2439" i="1"/>
  <c r="H2439" i="1"/>
  <c r="E2440" i="1"/>
  <c r="F2440" i="1"/>
  <c r="H2440" i="1"/>
  <c r="E2441" i="1"/>
  <c r="F2441" i="1"/>
  <c r="H2441" i="1"/>
  <c r="E2442" i="1"/>
  <c r="F2442" i="1"/>
  <c r="H2442" i="1"/>
  <c r="E2443" i="1"/>
  <c r="F2443" i="1"/>
  <c r="H2443" i="1"/>
  <c r="E2444" i="1"/>
  <c r="F2444" i="1"/>
  <c r="H2444" i="1"/>
  <c r="E2445" i="1"/>
  <c r="F2445" i="1"/>
  <c r="H2445" i="1"/>
  <c r="E2446" i="1"/>
  <c r="F2446" i="1"/>
  <c r="H2446" i="1"/>
  <c r="E2447" i="1"/>
  <c r="F2447" i="1"/>
  <c r="H2447" i="1"/>
  <c r="E2448" i="1"/>
  <c r="F2448" i="1"/>
  <c r="H2448" i="1"/>
  <c r="E2449" i="1"/>
  <c r="F2449" i="1"/>
  <c r="H2449" i="1"/>
  <c r="E2450" i="1"/>
  <c r="F2450" i="1"/>
  <c r="H2450" i="1"/>
  <c r="E2451" i="1"/>
  <c r="F2451" i="1"/>
  <c r="H2451" i="1"/>
  <c r="E2452" i="1"/>
  <c r="F2452" i="1"/>
  <c r="H2452" i="1"/>
  <c r="E2453" i="1"/>
  <c r="F2453" i="1"/>
  <c r="H2453" i="1"/>
  <c r="E2454" i="1"/>
  <c r="F2454" i="1"/>
  <c r="H2454" i="1"/>
  <c r="E2455" i="1"/>
  <c r="F2455" i="1"/>
  <c r="H2455" i="1"/>
  <c r="E2456" i="1"/>
  <c r="F2456" i="1"/>
  <c r="H2456" i="1"/>
  <c r="E2457" i="1"/>
  <c r="F2457" i="1"/>
  <c r="H2457" i="1"/>
  <c r="E2458" i="1"/>
  <c r="F2458" i="1"/>
  <c r="H2458" i="1"/>
  <c r="E2459" i="1"/>
  <c r="F2459" i="1"/>
  <c r="H2459" i="1"/>
  <c r="E2460" i="1"/>
  <c r="F2460" i="1"/>
  <c r="H2460" i="1"/>
  <c r="E2461" i="1"/>
  <c r="F2461" i="1"/>
  <c r="H2461" i="1"/>
  <c r="E2462" i="1"/>
  <c r="F2462" i="1"/>
  <c r="H2462" i="1"/>
  <c r="E2463" i="1"/>
  <c r="F2463" i="1"/>
  <c r="H2463" i="1"/>
  <c r="E2464" i="1"/>
  <c r="F2464" i="1"/>
  <c r="H2464" i="1"/>
  <c r="E2465" i="1"/>
  <c r="F2465" i="1"/>
  <c r="H2465" i="1"/>
  <c r="E2466" i="1"/>
  <c r="F2466" i="1"/>
  <c r="H2466" i="1"/>
  <c r="E2467" i="1"/>
  <c r="F2467" i="1"/>
  <c r="H2467" i="1"/>
  <c r="E2468" i="1"/>
  <c r="F2468" i="1"/>
  <c r="H2468" i="1"/>
  <c r="E2469" i="1"/>
  <c r="F2469" i="1"/>
  <c r="H2469" i="1"/>
  <c r="E2470" i="1"/>
  <c r="F2470" i="1"/>
  <c r="H2470" i="1"/>
  <c r="E2471" i="1"/>
  <c r="F2471" i="1"/>
  <c r="H2471" i="1"/>
  <c r="E2472" i="1"/>
  <c r="F2472" i="1"/>
  <c r="H2472" i="1"/>
  <c r="E2473" i="1"/>
  <c r="F2473" i="1"/>
  <c r="H2473" i="1"/>
  <c r="E2474" i="1"/>
  <c r="F2474" i="1"/>
  <c r="H2474" i="1"/>
  <c r="E2475" i="1"/>
  <c r="F2475" i="1"/>
  <c r="H2475" i="1"/>
  <c r="E2476" i="1"/>
  <c r="F2476" i="1"/>
  <c r="H2476" i="1"/>
  <c r="E2477" i="1"/>
  <c r="F2477" i="1"/>
  <c r="H2477" i="1"/>
  <c r="E2478" i="1"/>
  <c r="F2478" i="1"/>
  <c r="H2478" i="1"/>
  <c r="E2479" i="1"/>
  <c r="F2479" i="1"/>
  <c r="H2479" i="1"/>
  <c r="E2480" i="1"/>
  <c r="F2480" i="1"/>
  <c r="H2480" i="1"/>
  <c r="E2481" i="1"/>
  <c r="F2481" i="1"/>
  <c r="H2481" i="1"/>
  <c r="E2482" i="1"/>
  <c r="F2482" i="1"/>
  <c r="H2482" i="1"/>
  <c r="E2483" i="1"/>
  <c r="F2483" i="1"/>
  <c r="H2483" i="1"/>
  <c r="E2484" i="1"/>
  <c r="F2484" i="1"/>
  <c r="H2484" i="1"/>
  <c r="E2485" i="1"/>
  <c r="F2485" i="1"/>
  <c r="H2485" i="1"/>
  <c r="E2486" i="1"/>
  <c r="F2486" i="1"/>
  <c r="H2486" i="1"/>
  <c r="E2487" i="1"/>
  <c r="F2487" i="1"/>
  <c r="H2487" i="1"/>
  <c r="E2488" i="1"/>
  <c r="F2488" i="1"/>
  <c r="H2488" i="1"/>
  <c r="E2489" i="1"/>
  <c r="F2489" i="1"/>
  <c r="H2489" i="1"/>
  <c r="E2490" i="1"/>
  <c r="F2490" i="1"/>
  <c r="H2490" i="1"/>
  <c r="E2491" i="1"/>
  <c r="F2491" i="1"/>
  <c r="H2491" i="1"/>
  <c r="E2492" i="1"/>
  <c r="F2492" i="1"/>
  <c r="H2492" i="1"/>
  <c r="E2493" i="1"/>
  <c r="F2493" i="1"/>
  <c r="H2493" i="1"/>
  <c r="E2494" i="1"/>
  <c r="F2494" i="1"/>
  <c r="H2494" i="1"/>
  <c r="E2495" i="1"/>
  <c r="F2495" i="1"/>
  <c r="H2495" i="1"/>
  <c r="E2496" i="1"/>
  <c r="F2496" i="1"/>
  <c r="H2496" i="1"/>
  <c r="E2497" i="1"/>
  <c r="F2497" i="1"/>
  <c r="H2497" i="1"/>
  <c r="E2498" i="1"/>
  <c r="F2498" i="1"/>
  <c r="H2498" i="1"/>
  <c r="E2499" i="1"/>
  <c r="F2499" i="1"/>
  <c r="H2499" i="1"/>
  <c r="E2500" i="1"/>
  <c r="F2500" i="1"/>
  <c r="H2500" i="1"/>
  <c r="E2501" i="1"/>
  <c r="F2501" i="1"/>
  <c r="H2501" i="1"/>
  <c r="E2502" i="1"/>
  <c r="F2502" i="1"/>
  <c r="H2502" i="1"/>
  <c r="E2503" i="1"/>
  <c r="F2503" i="1"/>
  <c r="H2503" i="1"/>
  <c r="E2504" i="1"/>
  <c r="F2504" i="1"/>
  <c r="H2504" i="1"/>
  <c r="E2505" i="1"/>
  <c r="F2505" i="1"/>
  <c r="H2505" i="1"/>
  <c r="E2506" i="1"/>
  <c r="F2506" i="1"/>
  <c r="H2506" i="1"/>
  <c r="E2507" i="1"/>
  <c r="F2507" i="1"/>
  <c r="H2507" i="1"/>
  <c r="E2508" i="1"/>
  <c r="F2508" i="1"/>
  <c r="H2508" i="1"/>
  <c r="E2509" i="1"/>
  <c r="F2509" i="1"/>
  <c r="H2509" i="1"/>
  <c r="E2510" i="1"/>
  <c r="F2510" i="1"/>
  <c r="H2510" i="1"/>
  <c r="E2511" i="1"/>
  <c r="F2511" i="1"/>
  <c r="H2511" i="1"/>
  <c r="E2512" i="1"/>
  <c r="F2512" i="1"/>
  <c r="H2512" i="1"/>
  <c r="E2513" i="1"/>
  <c r="F2513" i="1"/>
  <c r="H2513" i="1"/>
  <c r="E2514" i="1"/>
  <c r="F2514" i="1"/>
  <c r="H2514" i="1"/>
  <c r="E2515" i="1"/>
  <c r="F2515" i="1"/>
  <c r="H2515" i="1"/>
  <c r="E2516" i="1"/>
  <c r="F2516" i="1"/>
  <c r="H2516" i="1"/>
  <c r="E2517" i="1"/>
  <c r="F2517" i="1"/>
  <c r="H2517" i="1"/>
  <c r="E2518" i="1"/>
  <c r="F2518" i="1"/>
  <c r="H2518" i="1"/>
  <c r="E2519" i="1"/>
  <c r="F2519" i="1"/>
  <c r="H2519" i="1"/>
  <c r="E2520" i="1"/>
  <c r="F2520" i="1"/>
  <c r="H2520" i="1"/>
  <c r="E2521" i="1"/>
  <c r="F2521" i="1"/>
  <c r="H2521" i="1"/>
  <c r="E2522" i="1"/>
  <c r="F2522" i="1"/>
  <c r="H2522" i="1"/>
  <c r="E2523" i="1"/>
  <c r="F2523" i="1"/>
  <c r="H2523" i="1"/>
  <c r="E2524" i="1"/>
  <c r="F2524" i="1"/>
  <c r="H2524" i="1"/>
  <c r="E2525" i="1"/>
  <c r="F2525" i="1"/>
  <c r="H2525" i="1"/>
  <c r="E2526" i="1"/>
  <c r="F2526" i="1"/>
  <c r="H2526" i="1"/>
  <c r="E2527" i="1"/>
  <c r="F2527" i="1"/>
  <c r="H2527" i="1"/>
  <c r="E2528" i="1"/>
  <c r="F2528" i="1"/>
  <c r="H2528" i="1"/>
  <c r="E2529" i="1"/>
  <c r="F2529" i="1"/>
  <c r="H2529" i="1"/>
  <c r="E2530" i="1"/>
  <c r="F2530" i="1"/>
  <c r="H2530" i="1"/>
  <c r="E2531" i="1"/>
  <c r="F2531" i="1"/>
  <c r="H2531" i="1"/>
  <c r="E2532" i="1"/>
  <c r="F2532" i="1"/>
  <c r="H2532" i="1"/>
  <c r="E2533" i="1"/>
  <c r="F2533" i="1"/>
  <c r="H2533" i="1"/>
  <c r="E2534" i="1"/>
  <c r="F2534" i="1"/>
  <c r="H2534" i="1"/>
  <c r="E2535" i="1"/>
  <c r="F2535" i="1"/>
  <c r="H2535" i="1"/>
  <c r="E2536" i="1"/>
  <c r="F2536" i="1"/>
  <c r="H2536" i="1"/>
  <c r="E2537" i="1"/>
  <c r="F2537" i="1"/>
  <c r="H2537" i="1"/>
  <c r="E2538" i="1"/>
  <c r="F2538" i="1"/>
  <c r="H2538" i="1"/>
  <c r="E2539" i="1"/>
  <c r="F2539" i="1"/>
  <c r="H2539" i="1"/>
  <c r="E2540" i="1"/>
  <c r="F2540" i="1"/>
  <c r="H2540" i="1"/>
  <c r="E2541" i="1"/>
  <c r="F2541" i="1"/>
  <c r="H2541" i="1"/>
  <c r="E2542" i="1"/>
  <c r="F2542" i="1"/>
  <c r="H2542" i="1"/>
  <c r="E2543" i="1"/>
  <c r="F2543" i="1"/>
  <c r="H2543" i="1"/>
  <c r="E2544" i="1"/>
  <c r="F2544" i="1"/>
  <c r="H2544" i="1"/>
  <c r="E2545" i="1"/>
  <c r="F2545" i="1"/>
  <c r="H2545" i="1"/>
  <c r="E2546" i="1"/>
  <c r="F2546" i="1"/>
  <c r="H2546" i="1"/>
  <c r="E2547" i="1"/>
  <c r="F2547" i="1"/>
  <c r="H2547" i="1"/>
  <c r="E2548" i="1"/>
  <c r="F2548" i="1"/>
  <c r="H2548" i="1"/>
  <c r="E2549" i="1"/>
  <c r="F2549" i="1"/>
  <c r="H2549" i="1"/>
  <c r="E2550" i="1"/>
  <c r="F2550" i="1"/>
  <c r="H2550" i="1"/>
  <c r="E2551" i="1"/>
  <c r="F2551" i="1"/>
  <c r="H2551" i="1"/>
  <c r="E2552" i="1"/>
  <c r="F2552" i="1"/>
  <c r="H2552" i="1"/>
  <c r="E2553" i="1"/>
  <c r="F2553" i="1"/>
  <c r="H2553" i="1"/>
  <c r="E2554" i="1"/>
  <c r="F2554" i="1"/>
  <c r="H2554" i="1"/>
  <c r="E2555" i="1"/>
  <c r="F2555" i="1"/>
  <c r="H2555" i="1"/>
  <c r="E2556" i="1"/>
  <c r="F2556" i="1"/>
  <c r="H2556" i="1"/>
  <c r="E2557" i="1"/>
  <c r="F2557" i="1"/>
  <c r="H2557" i="1"/>
  <c r="E2558" i="1"/>
  <c r="F2558" i="1"/>
  <c r="H2558" i="1"/>
  <c r="E2559" i="1"/>
  <c r="F2559" i="1"/>
  <c r="H2559" i="1"/>
  <c r="E2560" i="1"/>
  <c r="F2560" i="1"/>
  <c r="H2560" i="1"/>
  <c r="E2561" i="1"/>
  <c r="F2561" i="1"/>
  <c r="H2561" i="1"/>
  <c r="E2562" i="1"/>
  <c r="F2562" i="1"/>
  <c r="H2562" i="1"/>
  <c r="E2563" i="1"/>
  <c r="F2563" i="1"/>
  <c r="H2563" i="1"/>
  <c r="E2564" i="1"/>
  <c r="F2564" i="1"/>
  <c r="H2564" i="1"/>
  <c r="E2565" i="1"/>
  <c r="F2565" i="1"/>
  <c r="H2565" i="1"/>
  <c r="E2566" i="1"/>
  <c r="F2566" i="1"/>
  <c r="H2566" i="1"/>
  <c r="E2567" i="1"/>
  <c r="F2567" i="1"/>
  <c r="H2567" i="1"/>
  <c r="E2568" i="1"/>
  <c r="F2568" i="1"/>
  <c r="H2568" i="1"/>
  <c r="E2569" i="1"/>
  <c r="F2569" i="1"/>
  <c r="H2569" i="1"/>
  <c r="E2570" i="1"/>
  <c r="F2570" i="1"/>
  <c r="H2570" i="1"/>
  <c r="E2571" i="1"/>
  <c r="F2571" i="1"/>
  <c r="H2571" i="1"/>
  <c r="E2572" i="1"/>
  <c r="F2572" i="1"/>
  <c r="H2572" i="1"/>
  <c r="E2573" i="1"/>
  <c r="F2573" i="1"/>
  <c r="H2573" i="1"/>
  <c r="E2574" i="1"/>
  <c r="F2574" i="1"/>
  <c r="H2574" i="1"/>
  <c r="E2575" i="1"/>
  <c r="F2575" i="1"/>
  <c r="H2575" i="1"/>
  <c r="E2576" i="1"/>
  <c r="F2576" i="1"/>
  <c r="H2576" i="1"/>
  <c r="E2577" i="1"/>
  <c r="F2577" i="1"/>
  <c r="H2577" i="1"/>
  <c r="E2578" i="1"/>
  <c r="F2578" i="1"/>
  <c r="H2578" i="1"/>
  <c r="E2579" i="1"/>
  <c r="F2579" i="1"/>
  <c r="H2579" i="1"/>
  <c r="E2580" i="1"/>
  <c r="F2580" i="1"/>
  <c r="H2580" i="1"/>
  <c r="E2581" i="1"/>
  <c r="F2581" i="1"/>
  <c r="H2581" i="1"/>
  <c r="E2582" i="1"/>
  <c r="F2582" i="1"/>
  <c r="H2582" i="1"/>
  <c r="E2583" i="1"/>
  <c r="F2583" i="1"/>
  <c r="H2583" i="1"/>
  <c r="E2584" i="1"/>
  <c r="F2584" i="1"/>
  <c r="H2584" i="1"/>
  <c r="E2585" i="1"/>
  <c r="F2585" i="1"/>
  <c r="H2585" i="1"/>
  <c r="E2586" i="1"/>
  <c r="F2586" i="1"/>
  <c r="H2586" i="1"/>
  <c r="E2587" i="1"/>
  <c r="F2587" i="1"/>
  <c r="H2587" i="1"/>
  <c r="E2588" i="1"/>
  <c r="F2588" i="1"/>
  <c r="H2588" i="1"/>
  <c r="E2589" i="1"/>
  <c r="F2589" i="1"/>
  <c r="H2589" i="1"/>
  <c r="E2590" i="1"/>
  <c r="F2590" i="1"/>
  <c r="H2590" i="1"/>
  <c r="E2591" i="1"/>
  <c r="F2591" i="1"/>
  <c r="H2591" i="1"/>
  <c r="E2592" i="1"/>
  <c r="F2592" i="1"/>
  <c r="H2592" i="1"/>
  <c r="E2593" i="1"/>
  <c r="F2593" i="1"/>
  <c r="H2593" i="1"/>
  <c r="E2594" i="1"/>
  <c r="F2594" i="1"/>
  <c r="H2594" i="1"/>
  <c r="E2595" i="1"/>
  <c r="F2595" i="1"/>
  <c r="H2595" i="1"/>
  <c r="E2596" i="1"/>
  <c r="F2596" i="1"/>
  <c r="H2596" i="1"/>
  <c r="E2597" i="1"/>
  <c r="F2597" i="1"/>
  <c r="H2597" i="1"/>
  <c r="E2598" i="1"/>
  <c r="F2598" i="1"/>
  <c r="H2598" i="1"/>
  <c r="E2599" i="1"/>
  <c r="F2599" i="1"/>
  <c r="H2599" i="1"/>
  <c r="E2600" i="1"/>
  <c r="F2600" i="1"/>
  <c r="H2600" i="1"/>
  <c r="E2601" i="1"/>
  <c r="F2601" i="1"/>
  <c r="H2601" i="1"/>
  <c r="E2602" i="1"/>
  <c r="F2602" i="1"/>
  <c r="H2602" i="1"/>
  <c r="E2603" i="1"/>
  <c r="F2603" i="1"/>
  <c r="H2603" i="1"/>
  <c r="E2604" i="1"/>
  <c r="F2604" i="1"/>
  <c r="H2604" i="1"/>
  <c r="E2605" i="1"/>
  <c r="F2605" i="1"/>
  <c r="H2605" i="1"/>
  <c r="E2606" i="1"/>
  <c r="F2606" i="1"/>
  <c r="H2606" i="1"/>
  <c r="E2607" i="1"/>
  <c r="F2607" i="1"/>
  <c r="H2607" i="1"/>
  <c r="E2608" i="1"/>
  <c r="F2608" i="1"/>
  <c r="H2608" i="1"/>
  <c r="E2609" i="1"/>
  <c r="F2609" i="1"/>
  <c r="H2609" i="1"/>
  <c r="E2610" i="1"/>
  <c r="F2610" i="1"/>
  <c r="H2610" i="1"/>
  <c r="E2611" i="1"/>
  <c r="F2611" i="1"/>
  <c r="H2611" i="1"/>
  <c r="E2612" i="1"/>
  <c r="F2612" i="1"/>
  <c r="H2612" i="1"/>
  <c r="E2613" i="1"/>
  <c r="F2613" i="1"/>
  <c r="H2613" i="1"/>
  <c r="E2614" i="1"/>
  <c r="F2614" i="1"/>
  <c r="H2614" i="1"/>
  <c r="E2615" i="1"/>
  <c r="F2615" i="1"/>
  <c r="H2615" i="1"/>
  <c r="E2616" i="1"/>
  <c r="F2616" i="1"/>
  <c r="H2616" i="1"/>
  <c r="E2617" i="1"/>
  <c r="F2617" i="1"/>
  <c r="H2617" i="1"/>
  <c r="E2618" i="1"/>
  <c r="F2618" i="1"/>
  <c r="H2618" i="1"/>
  <c r="E2619" i="1"/>
  <c r="F2619" i="1"/>
  <c r="H2619" i="1"/>
  <c r="E2620" i="1"/>
  <c r="F2620" i="1"/>
  <c r="H2620" i="1"/>
  <c r="E2621" i="1"/>
  <c r="F2621" i="1"/>
  <c r="H2621" i="1"/>
  <c r="E2622" i="1"/>
  <c r="F2622" i="1"/>
  <c r="H2622" i="1"/>
  <c r="E2623" i="1"/>
  <c r="F2623" i="1"/>
  <c r="H2623" i="1"/>
  <c r="E2624" i="1"/>
  <c r="F2624" i="1"/>
  <c r="H2624" i="1"/>
  <c r="E2625" i="1"/>
  <c r="F2625" i="1"/>
  <c r="H2625" i="1"/>
  <c r="E2626" i="1"/>
  <c r="F2626" i="1"/>
  <c r="H2626" i="1"/>
  <c r="E2627" i="1"/>
  <c r="F2627" i="1"/>
  <c r="H2627" i="1"/>
  <c r="E2628" i="1"/>
  <c r="F2628" i="1"/>
  <c r="H2628" i="1"/>
  <c r="E2629" i="1"/>
  <c r="F2629" i="1"/>
  <c r="H2629" i="1"/>
  <c r="E2630" i="1"/>
  <c r="F2630" i="1"/>
  <c r="H2630" i="1"/>
  <c r="E2631" i="1"/>
  <c r="F2631" i="1"/>
  <c r="H2631" i="1"/>
  <c r="E2632" i="1"/>
  <c r="F2632" i="1"/>
  <c r="H2632" i="1"/>
  <c r="E2633" i="1"/>
  <c r="F2633" i="1"/>
  <c r="H2633" i="1"/>
  <c r="E2634" i="1"/>
  <c r="F2634" i="1"/>
  <c r="H2634" i="1"/>
  <c r="E2635" i="1"/>
  <c r="F2635" i="1"/>
  <c r="H2635" i="1"/>
  <c r="E2636" i="1"/>
  <c r="F2636" i="1"/>
  <c r="H2636" i="1"/>
  <c r="E2637" i="1"/>
  <c r="F2637" i="1"/>
  <c r="H2637" i="1"/>
  <c r="E2638" i="1"/>
  <c r="F2638" i="1"/>
  <c r="H2638" i="1"/>
  <c r="E2639" i="1"/>
  <c r="F2639" i="1"/>
  <c r="H2639" i="1"/>
  <c r="E2640" i="1"/>
  <c r="F2640" i="1"/>
  <c r="H2640" i="1"/>
  <c r="E2641" i="1"/>
  <c r="F2641" i="1"/>
  <c r="H2641" i="1"/>
  <c r="E2642" i="1"/>
  <c r="F2642" i="1"/>
  <c r="H2642" i="1"/>
  <c r="E2643" i="1"/>
  <c r="F2643" i="1"/>
  <c r="H2643" i="1"/>
  <c r="E2644" i="1"/>
  <c r="F2644" i="1"/>
  <c r="H2644" i="1"/>
  <c r="E2645" i="1"/>
  <c r="F2645" i="1"/>
  <c r="H2645" i="1"/>
  <c r="E2646" i="1"/>
  <c r="F2646" i="1"/>
  <c r="H2646" i="1"/>
  <c r="E2647" i="1"/>
  <c r="F2647" i="1"/>
  <c r="H2647" i="1"/>
  <c r="E2648" i="1"/>
  <c r="F2648" i="1"/>
  <c r="H2648" i="1"/>
  <c r="E2649" i="1"/>
  <c r="F2649" i="1"/>
  <c r="H2649" i="1"/>
  <c r="E2650" i="1"/>
  <c r="F2650" i="1"/>
  <c r="H2650" i="1"/>
  <c r="E2651" i="1"/>
  <c r="F2651" i="1"/>
  <c r="H2651" i="1"/>
  <c r="E2652" i="1"/>
  <c r="F2652" i="1"/>
  <c r="H2652" i="1"/>
  <c r="E2653" i="1"/>
  <c r="F2653" i="1"/>
  <c r="H2653" i="1"/>
  <c r="E2654" i="1"/>
  <c r="F2654" i="1"/>
  <c r="H2654" i="1"/>
  <c r="E2655" i="1"/>
  <c r="F2655" i="1"/>
  <c r="H2655" i="1"/>
  <c r="E2656" i="1"/>
  <c r="F2656" i="1"/>
  <c r="H2656" i="1"/>
  <c r="E2657" i="1"/>
  <c r="F2657" i="1"/>
  <c r="H2657" i="1"/>
  <c r="E2658" i="1"/>
  <c r="F2658" i="1"/>
  <c r="H2658" i="1"/>
  <c r="E2659" i="1"/>
  <c r="F2659" i="1"/>
  <c r="H2659" i="1"/>
  <c r="E2660" i="1"/>
  <c r="F2660" i="1"/>
  <c r="H2660" i="1"/>
  <c r="E2661" i="1"/>
  <c r="F2661" i="1"/>
  <c r="H2661" i="1"/>
  <c r="E2662" i="1"/>
  <c r="F2662" i="1"/>
  <c r="H2662" i="1"/>
  <c r="E2663" i="1"/>
  <c r="F2663" i="1"/>
  <c r="H2663" i="1"/>
  <c r="E2664" i="1"/>
  <c r="F2664" i="1"/>
  <c r="H2664" i="1"/>
  <c r="E2665" i="1"/>
  <c r="F2665" i="1"/>
  <c r="H2665" i="1"/>
  <c r="E2666" i="1"/>
  <c r="F2666" i="1"/>
  <c r="H2666" i="1"/>
  <c r="E2667" i="1"/>
  <c r="F2667" i="1"/>
  <c r="H2667" i="1"/>
  <c r="E2668" i="1"/>
  <c r="F2668" i="1"/>
  <c r="H2668" i="1"/>
  <c r="E2669" i="1"/>
  <c r="F2669" i="1"/>
  <c r="H2669" i="1"/>
  <c r="E2670" i="1"/>
  <c r="F2670" i="1"/>
  <c r="H2670" i="1"/>
  <c r="E2671" i="1"/>
  <c r="F2671" i="1"/>
  <c r="H2671" i="1"/>
  <c r="E2672" i="1"/>
  <c r="F2672" i="1"/>
  <c r="H2672" i="1"/>
  <c r="E2673" i="1"/>
  <c r="F2673" i="1"/>
  <c r="H2673" i="1"/>
  <c r="E2674" i="1"/>
  <c r="F2674" i="1"/>
  <c r="H2674" i="1"/>
  <c r="E2675" i="1"/>
  <c r="F2675" i="1"/>
  <c r="H2675" i="1"/>
  <c r="E2676" i="1"/>
  <c r="F2676" i="1"/>
  <c r="H2676" i="1"/>
  <c r="E2677" i="1"/>
  <c r="F2677" i="1"/>
  <c r="H2677" i="1"/>
  <c r="E2678" i="1"/>
  <c r="F2678" i="1"/>
  <c r="H2678" i="1"/>
  <c r="E2679" i="1"/>
  <c r="F2679" i="1"/>
  <c r="H2679" i="1"/>
  <c r="E2680" i="1"/>
  <c r="F2680" i="1"/>
  <c r="H2680" i="1"/>
  <c r="E2681" i="1"/>
  <c r="F2681" i="1"/>
  <c r="H2681" i="1"/>
  <c r="E2682" i="1"/>
  <c r="F2682" i="1"/>
  <c r="H2682" i="1"/>
  <c r="E2683" i="1"/>
  <c r="F2683" i="1"/>
  <c r="H2683" i="1"/>
  <c r="E2684" i="1"/>
  <c r="F2684" i="1"/>
  <c r="H2684" i="1"/>
  <c r="E2685" i="1"/>
  <c r="F2685" i="1"/>
  <c r="H2685" i="1"/>
  <c r="E2686" i="1"/>
  <c r="F2686" i="1"/>
  <c r="H2686" i="1"/>
  <c r="E2687" i="1"/>
  <c r="F2687" i="1"/>
  <c r="H2687" i="1"/>
  <c r="E2688" i="1"/>
  <c r="F2688" i="1"/>
  <c r="H2688" i="1"/>
  <c r="E2689" i="1"/>
  <c r="F2689" i="1"/>
  <c r="H2689" i="1"/>
  <c r="E2690" i="1"/>
  <c r="F2690" i="1"/>
  <c r="H2690" i="1"/>
  <c r="E2691" i="1"/>
  <c r="F2691" i="1"/>
  <c r="H2691" i="1"/>
  <c r="E2692" i="1"/>
  <c r="F2692" i="1"/>
  <c r="H2692" i="1"/>
  <c r="E2693" i="1"/>
  <c r="F2693" i="1"/>
  <c r="H2693" i="1"/>
  <c r="E2694" i="1"/>
  <c r="F2694" i="1"/>
  <c r="H2694" i="1"/>
  <c r="E2695" i="1"/>
  <c r="F2695" i="1"/>
  <c r="H2695" i="1"/>
  <c r="E2696" i="1"/>
  <c r="F2696" i="1"/>
  <c r="H2696" i="1"/>
  <c r="E2697" i="1"/>
  <c r="F2697" i="1"/>
  <c r="H2697" i="1"/>
  <c r="E2698" i="1"/>
  <c r="F2698" i="1"/>
  <c r="H2698" i="1"/>
  <c r="E2699" i="1"/>
  <c r="F2699" i="1"/>
  <c r="H2699" i="1"/>
  <c r="E2700" i="1"/>
  <c r="F2700" i="1"/>
  <c r="H2700" i="1"/>
  <c r="E2701" i="1"/>
  <c r="F2701" i="1"/>
  <c r="H2701" i="1"/>
  <c r="E2702" i="1"/>
  <c r="F2702" i="1"/>
  <c r="H2702" i="1"/>
  <c r="E2703" i="1"/>
  <c r="F2703" i="1"/>
  <c r="H2703" i="1"/>
  <c r="E2704" i="1"/>
  <c r="F2704" i="1"/>
  <c r="H2704" i="1"/>
  <c r="E2705" i="1"/>
  <c r="F2705" i="1"/>
  <c r="H2705" i="1"/>
  <c r="E2706" i="1"/>
  <c r="F2706" i="1"/>
  <c r="H2706" i="1"/>
  <c r="E2707" i="1"/>
  <c r="F2707" i="1"/>
  <c r="H2707" i="1"/>
  <c r="E2708" i="1"/>
  <c r="F2708" i="1"/>
  <c r="H2708" i="1"/>
  <c r="E2709" i="1"/>
  <c r="F2709" i="1"/>
  <c r="H2709" i="1"/>
  <c r="E2710" i="1"/>
  <c r="F2710" i="1"/>
  <c r="H2710" i="1"/>
  <c r="E2711" i="1"/>
  <c r="F2711" i="1"/>
  <c r="H2711" i="1"/>
  <c r="E2712" i="1"/>
  <c r="F2712" i="1"/>
  <c r="H2712" i="1"/>
  <c r="E2713" i="1"/>
  <c r="F2713" i="1"/>
  <c r="H2713" i="1"/>
  <c r="E2714" i="1"/>
  <c r="F2714" i="1"/>
  <c r="H2714" i="1"/>
  <c r="E2715" i="1"/>
  <c r="F2715" i="1"/>
  <c r="H2715" i="1"/>
  <c r="E2716" i="1"/>
  <c r="F2716" i="1"/>
  <c r="H2716" i="1"/>
  <c r="E2717" i="1"/>
  <c r="F2717" i="1"/>
  <c r="H2717" i="1"/>
  <c r="E2718" i="1"/>
  <c r="F2718" i="1"/>
  <c r="H2718" i="1"/>
  <c r="E2719" i="1"/>
  <c r="F2719" i="1"/>
  <c r="H2719" i="1"/>
  <c r="E2720" i="1"/>
  <c r="F2720" i="1"/>
  <c r="H2720" i="1"/>
  <c r="E2721" i="1"/>
  <c r="F2721" i="1"/>
  <c r="H2721" i="1"/>
  <c r="E2722" i="1"/>
  <c r="F2722" i="1"/>
  <c r="H2722" i="1"/>
  <c r="E2723" i="1"/>
  <c r="F2723" i="1"/>
  <c r="H2723" i="1"/>
  <c r="E2724" i="1"/>
  <c r="F2724" i="1"/>
  <c r="H2724" i="1"/>
  <c r="E2725" i="1"/>
  <c r="F2725" i="1"/>
  <c r="H2725" i="1"/>
  <c r="E2726" i="1"/>
  <c r="F2726" i="1"/>
  <c r="H2726" i="1"/>
  <c r="E2727" i="1"/>
  <c r="F2727" i="1"/>
  <c r="H2727" i="1"/>
  <c r="E2728" i="1"/>
  <c r="F2728" i="1"/>
  <c r="H2728" i="1"/>
  <c r="E2729" i="1"/>
  <c r="F2729" i="1"/>
  <c r="H2729" i="1"/>
  <c r="E2730" i="1"/>
  <c r="F2730" i="1"/>
  <c r="H2730" i="1"/>
  <c r="E2731" i="1"/>
  <c r="F2731" i="1"/>
  <c r="H2731" i="1"/>
  <c r="E2732" i="1"/>
  <c r="F2732" i="1"/>
  <c r="H2732" i="1"/>
  <c r="E2733" i="1"/>
  <c r="F2733" i="1"/>
  <c r="H2733" i="1"/>
  <c r="E2734" i="1"/>
  <c r="F2734" i="1"/>
  <c r="H2734" i="1"/>
  <c r="E2735" i="1"/>
  <c r="F2735" i="1"/>
  <c r="H2735" i="1"/>
  <c r="E2736" i="1"/>
  <c r="F2736" i="1"/>
  <c r="H2736" i="1"/>
  <c r="E2737" i="1"/>
  <c r="F2737" i="1"/>
  <c r="H2737" i="1"/>
  <c r="E2738" i="1"/>
  <c r="F2738" i="1"/>
  <c r="H2738" i="1"/>
  <c r="E2739" i="1"/>
  <c r="F2739" i="1"/>
  <c r="H2739" i="1"/>
  <c r="E2740" i="1"/>
  <c r="F2740" i="1"/>
  <c r="H2740" i="1"/>
  <c r="E2741" i="1"/>
  <c r="F2741" i="1"/>
  <c r="H2741" i="1"/>
  <c r="E2742" i="1"/>
  <c r="F2742" i="1"/>
  <c r="H2742" i="1"/>
  <c r="E2743" i="1"/>
  <c r="F2743" i="1"/>
  <c r="H2743" i="1"/>
  <c r="E2744" i="1"/>
  <c r="F2744" i="1"/>
  <c r="H2744" i="1"/>
  <c r="E2745" i="1"/>
  <c r="F2745" i="1"/>
  <c r="H2745" i="1"/>
  <c r="E2746" i="1"/>
  <c r="F2746" i="1"/>
  <c r="H2746" i="1"/>
  <c r="E2747" i="1"/>
  <c r="F2747" i="1"/>
  <c r="H2747" i="1"/>
  <c r="E2748" i="1"/>
  <c r="F2748" i="1"/>
  <c r="H2748" i="1"/>
  <c r="E2749" i="1"/>
  <c r="F2749" i="1"/>
  <c r="H2749" i="1"/>
  <c r="E2750" i="1"/>
  <c r="F2750" i="1"/>
  <c r="H2750" i="1"/>
  <c r="E2751" i="1"/>
  <c r="F2751" i="1"/>
  <c r="H2751" i="1"/>
  <c r="E2752" i="1"/>
  <c r="F2752" i="1"/>
  <c r="H2752" i="1"/>
  <c r="E2753" i="1"/>
  <c r="F2753" i="1"/>
  <c r="H2753" i="1"/>
  <c r="E2754" i="1"/>
  <c r="F2754" i="1"/>
  <c r="H2754" i="1"/>
  <c r="E2755" i="1"/>
  <c r="F2755" i="1"/>
  <c r="H2755" i="1"/>
  <c r="E2756" i="1"/>
  <c r="F2756" i="1"/>
  <c r="H2756" i="1"/>
  <c r="E2757" i="1"/>
  <c r="F2757" i="1"/>
  <c r="H2757" i="1"/>
  <c r="E2758" i="1"/>
  <c r="F2758" i="1"/>
  <c r="H2758" i="1"/>
  <c r="E2759" i="1"/>
  <c r="F2759" i="1"/>
  <c r="H2759" i="1"/>
  <c r="E2760" i="1"/>
  <c r="F2760" i="1"/>
  <c r="H2760" i="1"/>
  <c r="E2761" i="1"/>
  <c r="F2761" i="1"/>
  <c r="H2761" i="1"/>
  <c r="E2762" i="1"/>
  <c r="F2762" i="1"/>
  <c r="H2762" i="1"/>
  <c r="E2763" i="1"/>
  <c r="F2763" i="1"/>
  <c r="H2763" i="1"/>
</calcChain>
</file>

<file path=xl/sharedStrings.xml><?xml version="1.0" encoding="utf-8"?>
<sst xmlns="http://schemas.openxmlformats.org/spreadsheetml/2006/main" count="603" uniqueCount="473">
  <si>
    <t>Name</t>
  </si>
  <si>
    <t>Check #</t>
  </si>
  <si>
    <t>Check Amount</t>
  </si>
  <si>
    <t>Check Date</t>
  </si>
  <si>
    <t>Invoice ID</t>
  </si>
  <si>
    <t>Invoice Desc</t>
  </si>
  <si>
    <t>Invoice Payment</t>
  </si>
  <si>
    <t>GL Description</t>
  </si>
  <si>
    <t>304 CONSTRUCTION LLC</t>
  </si>
  <si>
    <t>973 MATERIALS  LLC</t>
  </si>
  <si>
    <t>ARNOLD OIL COMPANY OF AUSTIN LP</t>
  </si>
  <si>
    <t>TIMOTHY HALL</t>
  </si>
  <si>
    <t>AAA FIRE &amp; SAFETY EQUIP CO.  INC.</t>
  </si>
  <si>
    <t>ACCESS TRUCK PARTS  LLC</t>
  </si>
  <si>
    <t>ADAM DAKOTA ROWINS</t>
  </si>
  <si>
    <t>ADENA LEWIS</t>
  </si>
  <si>
    <t>ADVANCED GRAPHIX INC</t>
  </si>
  <si>
    <t>ALLIED 100  LLC</t>
  </si>
  <si>
    <t>ALBERT NEAL PFEIFFER</t>
  </si>
  <si>
    <t>ALEJANDRO RODRIGUEZ</t>
  </si>
  <si>
    <t>AMAZON CAPITAL SERVICES INC</t>
  </si>
  <si>
    <t>AMERICAN FASTENERS  INC.</t>
  </si>
  <si>
    <t>AMERISOURCEBERGEN</t>
  </si>
  <si>
    <t>ANDERSON &amp; ANDERSON LAW FIRM PC</t>
  </si>
  <si>
    <t>ANIXTER INC</t>
  </si>
  <si>
    <t>ASSOCIATION OF PUBLIC SAFETY COMM OFFICIALS</t>
  </si>
  <si>
    <t>C APPLEMAN ENT INC</t>
  </si>
  <si>
    <t>AQUA BEVERAGE COMPANY/OZARKA</t>
  </si>
  <si>
    <t>AQUA WATER SUPPLY CORPORATION</t>
  </si>
  <si>
    <t>ARCHITEXAS - ARCHITECTURE  PLANNING &amp; HISTORIC PRE</t>
  </si>
  <si>
    <t>ARSENAL ADVERTISING LLC</t>
  </si>
  <si>
    <t>AT&amp;T</t>
  </si>
  <si>
    <t>AT&amp;T MOBILITY</t>
  </si>
  <si>
    <t>AT&amp;T MOBILITY-W&amp;M</t>
  </si>
  <si>
    <t>THE AUBAINE SUPPLY COMPANY  INC</t>
  </si>
  <si>
    <t>AUGUST G MEDUNA  JR</t>
  </si>
  <si>
    <t>AUSMR HOLIDAY EXPRESS LLC</t>
  </si>
  <si>
    <t>GATEHOUSE MEDIA TEXAS HOLDINGS II  INC.</t>
  </si>
  <si>
    <t>AUSTIN ANESTHESIOLOGY GROUP</t>
  </si>
  <si>
    <t>BUTLER &amp; BURNS EAR NOSE &amp; THROAT ASSO</t>
  </si>
  <si>
    <t>RALPH E BONNELL CIH</t>
  </si>
  <si>
    <t>AUSTIN KIDNEY ASSOCIATES  PA</t>
  </si>
  <si>
    <t>PTL LAWN &amp; CLEANING SERVICE  INC</t>
  </si>
  <si>
    <t>AUSTIN RADIOLOGICAL ASSOC</t>
  </si>
  <si>
    <t>AUTUMN J SMITH</t>
  </si>
  <si>
    <t>MICHAEL OLDHAM TIRE INC</t>
  </si>
  <si>
    <t>BASTROP BAIL BONDS</t>
  </si>
  <si>
    <t>BASTROP COUNTY SHERIFF'S DEPT</t>
  </si>
  <si>
    <t>DANIEL L HEPKER</t>
  </si>
  <si>
    <t>BASTROP COUNTY CARES</t>
  </si>
  <si>
    <t>BASTROP COUNTY DISTRICT CLERK</t>
  </si>
  <si>
    <t>BASTROP PROVIDENCE  LLC</t>
  </si>
  <si>
    <t>BAYER CORPORATION</t>
  </si>
  <si>
    <t>DAVID H OUTON</t>
  </si>
  <si>
    <t>KEVIN MECHURA</t>
  </si>
  <si>
    <t>BELL COUNTY CONSTABLE 4</t>
  </si>
  <si>
    <t>BELL COUNTY SHERIFF</t>
  </si>
  <si>
    <t>BEN E KEITH CO.</t>
  </si>
  <si>
    <t>B C FOOD GROUP  LLC</t>
  </si>
  <si>
    <t>MAURINE MC LEAN</t>
  </si>
  <si>
    <t>BILL'S TRUCK &amp; TRAILER INC</t>
  </si>
  <si>
    <t>BIMBO FOODS INC</t>
  </si>
  <si>
    <t>BLAS J. COY  JR.</t>
  </si>
  <si>
    <t>BLUEBONNET AREA CRIME STOPPERS PROGRAM</t>
  </si>
  <si>
    <t>BLUEBONNET ELECTRIC COOPERATIVE  INC.</t>
  </si>
  <si>
    <t>BLUEBONNET TRAILS MHMR</t>
  </si>
  <si>
    <t>BRAUNTEX MATERIALS INC</t>
  </si>
  <si>
    <t>BRIAN GARVEL</t>
  </si>
  <si>
    <t>LAW OFFICE OF BRYAN W. MCDANIEL  P.C.</t>
  </si>
  <si>
    <t>BUREAU OF VITAL STATISTICS</t>
  </si>
  <si>
    <t>BURNET COUNTY SHERIFF</t>
  </si>
  <si>
    <t>CALDWELL COUNTY SHERIFF</t>
  </si>
  <si>
    <t>CALLYO 2009 CORP</t>
  </si>
  <si>
    <t>CAPITAL AREA COUNCIL OF GOVERNMENTS</t>
  </si>
  <si>
    <t>CAPITOL BEARING SERVICE OF AUSTIN  INC.</t>
  </si>
  <si>
    <t>TIB-THE INDEPENDENT BANKERS BANK</t>
  </si>
  <si>
    <t>COUNTY &amp; DISTRICT CLERKS ASSOCIATION OF TEXAS</t>
  </si>
  <si>
    <t>CDW GOVERNMENT INC</t>
  </si>
  <si>
    <t>CENTERPOINT ENERGY</t>
  </si>
  <si>
    <t>CENTEX IMAGE DESIGNS  LLC</t>
  </si>
  <si>
    <t>CENTEX MECHANICAL INC</t>
  </si>
  <si>
    <t>CENTRAL TEXAS AUTOPSY</t>
  </si>
  <si>
    <t>CHARLES W CARVER</t>
  </si>
  <si>
    <t>CHARM-TEX</t>
  </si>
  <si>
    <t>CHRIS MATT DILLON</t>
  </si>
  <si>
    <t>CINTAS</t>
  </si>
  <si>
    <t>CINTAS CORPORATION</t>
  </si>
  <si>
    <t>CINTAS CORPORATION #86</t>
  </si>
  <si>
    <t>CITY OF BASTROP</t>
  </si>
  <si>
    <t>CITY OF SMITHVILLE</t>
  </si>
  <si>
    <t>CLIFFORD POWER SYSTEMS INC</t>
  </si>
  <si>
    <t>CLINICAL PATHOLOGY LABORATORIES INC</t>
  </si>
  <si>
    <t>CLINICAL PATHOLOGY ASSOC. OF AUSTIN</t>
  </si>
  <si>
    <t>COLORADO MATERIALS CO.</t>
  </si>
  <si>
    <t>COMMUNITY COFFEE COMPANY LLC</t>
  </si>
  <si>
    <t>COMMUNITY HEALTH CENTERS</t>
  </si>
  <si>
    <t>CONNIE CAMERON RABEL</t>
  </si>
  <si>
    <t>CONVERGENCE CABLING  INC.</t>
  </si>
  <si>
    <t>COOPER EQUIPMENT CO.</t>
  </si>
  <si>
    <t>COUNTY OF BEXAR - SHERIFF</t>
  </si>
  <si>
    <t>COVERTTRACK GROUP INC</t>
  </si>
  <si>
    <t>BUTLER ANIMAL HEALTH HOLDING COMPANY  LLC</t>
  </si>
  <si>
    <t>CRESSIDA EVELYN KWOLEK  Ph.D.</t>
  </si>
  <si>
    <t>PAUL R. HOWE</t>
  </si>
  <si>
    <t>CUSTOM PRODUCTS CORPORATION</t>
  </si>
  <si>
    <t>DALLAS COUNTY CONSTABLE PCT 1</t>
  </si>
  <si>
    <t>DALTON STEVEN DAWSON</t>
  </si>
  <si>
    <t>DAVID B BROOKS</t>
  </si>
  <si>
    <t>DAVID C. FOLKERS  M.D.</t>
  </si>
  <si>
    <t>DAVID FREEMAN</t>
  </si>
  <si>
    <t>DAVID M COLLINS</t>
  </si>
  <si>
    <t>DELL</t>
  </si>
  <si>
    <t>DENTRUST DENTAL TX PC</t>
  </si>
  <si>
    <t>DICKENS LOCKSMITH INC</t>
  </si>
  <si>
    <t>DEPARTMENT OF INFORMATION RESOURCES</t>
  </si>
  <si>
    <t>DISCOUNT DOOR &amp; METAL  LLC</t>
  </si>
  <si>
    <t>DISCOUNT FEEDS &amp; SUPPLIES</t>
  </si>
  <si>
    <t>DOBIE SUPPLY LLC</t>
  </si>
  <si>
    <t>DORENA MARTINEZ</t>
  </si>
  <si>
    <t>DOUBLE D INTERNATIONAL FOOD CO.  INC.</t>
  </si>
  <si>
    <t>DUNNE &amp; JUAREZ L.L.C.</t>
  </si>
  <si>
    <t>BOB FAMILY ENTERPRISES  INC.</t>
  </si>
  <si>
    <t>ECOLAB INC</t>
  </si>
  <si>
    <t>ELECTION SYSTEMS &amp; SOFTWARE INC</t>
  </si>
  <si>
    <t>BLACKLANDS PUBLICATIONS INC</t>
  </si>
  <si>
    <t>RALPH DAVID GLASS</t>
  </si>
  <si>
    <t>CITY OF ELGIN UTILITIES</t>
  </si>
  <si>
    <t>ELLIOTT ELECTRIC SUPPLY INC</t>
  </si>
  <si>
    <t>ERGON ASPHALT &amp; EMULSIONS INC</t>
  </si>
  <si>
    <t>BASTROP COUNTY WOMEN'S SHELTER</t>
  </si>
  <si>
    <t>FAMILY HEALTH CENTER OF BASTROP PLLC</t>
  </si>
  <si>
    <t>FISHER SAND &amp; GRAVEL CO.</t>
  </si>
  <si>
    <t>FLASHBACK DATA  LLC</t>
  </si>
  <si>
    <t>FLEETPRIDE</t>
  </si>
  <si>
    <t>FLORENCE BEHAVIN</t>
  </si>
  <si>
    <t>FORREST L. SANDERSON</t>
  </si>
  <si>
    <t>FRANCES HUNTER</t>
  </si>
  <si>
    <t>AUSTIN TRUCK AND EQUIPMENT  LTD</t>
  </si>
  <si>
    <t>EUGENE W BRIGGS JR</t>
  </si>
  <si>
    <t>GALLS PARENT HOLDINGS LLC</t>
  </si>
  <si>
    <t>GILLIAN JACOB</t>
  </si>
  <si>
    <t>GONZALES COUNTY SHERIFF</t>
  </si>
  <si>
    <t>GOVERNMENT FORMS AND SUPPLIES LLC</t>
  </si>
  <si>
    <t>GRAINGER INC</t>
  </si>
  <si>
    <t>GRETCHEN SIMS SWEEN</t>
  </si>
  <si>
    <t>GT DISTRIBUTORS  INC.</t>
  </si>
  <si>
    <t>GULF COAST PAPER CO. INC.</t>
  </si>
  <si>
    <t>HALFF ASSOCIATES</t>
  </si>
  <si>
    <t>HAMILTON ELECTRIC WORKS  INC.</t>
  </si>
  <si>
    <t>HANNAH QUACKENBUSH</t>
  </si>
  <si>
    <t>HARRIS COUNTY CONSTABLE PCT 1</t>
  </si>
  <si>
    <t>HAWK ANALYTICS INC</t>
  </si>
  <si>
    <t>HAYLEY STITELER</t>
  </si>
  <si>
    <t>ITR AMERICA LLC</t>
  </si>
  <si>
    <t>HENGST PRINTING &amp; SUPPLIES</t>
  </si>
  <si>
    <t>HERTZ CORPORATION</t>
  </si>
  <si>
    <t>HI-LINE</t>
  </si>
  <si>
    <t>BASCOM L HODGES JR</t>
  </si>
  <si>
    <t>HODGSON G ECKEL</t>
  </si>
  <si>
    <t>HOLLY SCHULZ  CSR  RPR</t>
  </si>
  <si>
    <t>HOLLY TUCKER</t>
  </si>
  <si>
    <t>BD HOLT CO</t>
  </si>
  <si>
    <t>NORTHWEST CASCADE INC</t>
  </si>
  <si>
    <t>AMERICAS EQUINE WAREHOUSE  INC.</t>
  </si>
  <si>
    <t>GREGORY LUCAS</t>
  </si>
  <si>
    <t>HVAC</t>
  </si>
  <si>
    <t>IDEXX DISTRIBUTION INC</t>
  </si>
  <si>
    <t>INDIGENT HEALTHCARE SOLUTIONS</t>
  </si>
  <si>
    <t>IRON MOUNTAIN RECORDS MGMT INC</t>
  </si>
  <si>
    <t>JAMES DAVENPORT</t>
  </si>
  <si>
    <t>JAMES O. BURKE</t>
  </si>
  <si>
    <t>JAN LANGER  DVM</t>
  </si>
  <si>
    <t>JANET L. LYNN</t>
  </si>
  <si>
    <t>JENKINS &amp; JENKINS LLP</t>
  </si>
  <si>
    <t>JENNIFER TOMASZYCKI</t>
  </si>
  <si>
    <t>JAMES MORGAN</t>
  </si>
  <si>
    <t>JOHN DEERE FINANCIAL f.s.b.</t>
  </si>
  <si>
    <t>JORDAN BATTERSBY  MCDONALD</t>
  </si>
  <si>
    <t>BILLY JOSHUA GILL</t>
  </si>
  <si>
    <t>JULIA CLEARY</t>
  </si>
  <si>
    <t>JUSTIN MATTHEW FOHN</t>
  </si>
  <si>
    <t>KATHRYN HOLBERG</t>
  </si>
  <si>
    <t>KAYCI SCHULTZ WATSON</t>
  </si>
  <si>
    <t>KELLI BRIZENDINE</t>
  </si>
  <si>
    <t>KENNETH GLEN JOWERS</t>
  </si>
  <si>
    <t>KENNETH LIMUEL</t>
  </si>
  <si>
    <t>KENT BROUSSARD TOWER RENTAL INC</t>
  </si>
  <si>
    <t>KING'S PORTABLE THRONES</t>
  </si>
  <si>
    <t>KLEIBER FORD TRACTOR  INC.</t>
  </si>
  <si>
    <t>KNIGHT SECURITY SYSTEMS LLC</t>
  </si>
  <si>
    <t>KOETTER FIRE PROTECTION OF AUSTIN  LLC</t>
  </si>
  <si>
    <t>KOFILE TECHNOLOGIES  INC.</t>
  </si>
  <si>
    <t>KRISTIN BURNS</t>
  </si>
  <si>
    <t>LONGHORN INTERNATIONAL TRUCKS LTD</t>
  </si>
  <si>
    <t>LA GRANGE FORD</t>
  </si>
  <si>
    <t>THE LA GRANGE PARTS HOUSE INC</t>
  </si>
  <si>
    <t>LABATT INSTITUTIONAL SUPPLY CO</t>
  </si>
  <si>
    <t>LAURA ROBERTSON</t>
  </si>
  <si>
    <t>LUCIO LEAL</t>
  </si>
  <si>
    <t>LEE COUNTY WATER SUPPLY CORP</t>
  </si>
  <si>
    <t>LEO HICKS CREOSOTING CO INC</t>
  </si>
  <si>
    <t>LES FOEHR</t>
  </si>
  <si>
    <t>LEXISNEXIS RISK DATA MGMT INC</t>
  </si>
  <si>
    <t>LINDA HARMON - TAX-ASSESSOR</t>
  </si>
  <si>
    <t>LINDA HARMON-TAX ASSESSOR</t>
  </si>
  <si>
    <t>LINDSEY SIMMONS</t>
  </si>
  <si>
    <t>LS AWARDS  LLC</t>
  </si>
  <si>
    <t>LONE STAR CIRCLE OF CARE</t>
  </si>
  <si>
    <t>UNITED KWB COLLABORATIONS LLC</t>
  </si>
  <si>
    <t>LONNIE LAWRENCE DAVIS JR</t>
  </si>
  <si>
    <t>SCOTT BRYANT</t>
  </si>
  <si>
    <t>LOWE'S</t>
  </si>
  <si>
    <t>LOWER COLORADO RIVER AUTHORITY</t>
  </si>
  <si>
    <t>MARIO GINTELLA</t>
  </si>
  <si>
    <t>MARK DAUBE</t>
  </si>
  <si>
    <t>MARK McCAIG</t>
  </si>
  <si>
    <t>MARK T. MALONE  M.D. P.A</t>
  </si>
  <si>
    <t>SCI TEXAS FUNERAL SERVICES INC</t>
  </si>
  <si>
    <t>MARY BETH SCOTT</t>
  </si>
  <si>
    <t>MATHESON TRI-GAS INC</t>
  </si>
  <si>
    <t>MAURICE C. COOK</t>
  </si>
  <si>
    <t>MC LENNAN COUNTY CONSTABLE PCT 1</t>
  </si>
  <si>
    <t>McCOY'S BUILDING SUPPLY CENTER</t>
  </si>
  <si>
    <t>McCREARY  VESELKA  BRAGG &amp; ALLEN P</t>
  </si>
  <si>
    <t>McKESSON MEDICAL-SURGIVAL GOVERNMENT SOLUTIONS LLC</t>
  </si>
  <si>
    <t>MEAGHAN BARNES</t>
  </si>
  <si>
    <t>MEDIMPACT HEALTHCARE SYSTEMS INC</t>
  </si>
  <si>
    <t>MEGAN FAITH ANDERSON</t>
  </si>
  <si>
    <t>MELLANIE MICKELSON</t>
  </si>
  <si>
    <t>MICHELE FRITSCHE C.S.R.</t>
  </si>
  <si>
    <t>MILLENNIUM INTERESTS  LTD.</t>
  </si>
  <si>
    <t>MIMI ALEGRIA</t>
  </si>
  <si>
    <t>LONNY RAY BOSTIC</t>
  </si>
  <si>
    <t>JAMIE DEE FORD</t>
  </si>
  <si>
    <t>GERALDINE ANN MCCOY</t>
  </si>
  <si>
    <t>PAMELA PIPER CRABB</t>
  </si>
  <si>
    <t>SHERILYN KAATZ KISAMORE</t>
  </si>
  <si>
    <t>RUSSELL JAY ASH</t>
  </si>
  <si>
    <t>STACY ROY CARPENTER JR</t>
  </si>
  <si>
    <t>SCOTT JAY QUINTANILLA</t>
  </si>
  <si>
    <t>JON HAROLD KEENER</t>
  </si>
  <si>
    <t>DONNA JAYE MEZERA</t>
  </si>
  <si>
    <t>SCOTT TYLER TUCKER</t>
  </si>
  <si>
    <t>Child Protective Services</t>
  </si>
  <si>
    <t>COURT APPOINTED SPECIAL ADVOCA</t>
  </si>
  <si>
    <t>Family Crisis Center</t>
  </si>
  <si>
    <t>Children's Advocacy Center</t>
  </si>
  <si>
    <t>SUZANNE SLOAN PIKE</t>
  </si>
  <si>
    <t>LETICIA VAZQUEZ</t>
  </si>
  <si>
    <t>ZACHARY AUSTIN CLARDY</t>
  </si>
  <si>
    <t>KATHERINE KUTTRUFF ALBERS</t>
  </si>
  <si>
    <t>RANDY ALAN HAGLER</t>
  </si>
  <si>
    <t>KENNETH PAUL FIEBRICH</t>
  </si>
  <si>
    <t>THOMAS LAMBIE FORD</t>
  </si>
  <si>
    <t>LARRY LEE REYNOLDS</t>
  </si>
  <si>
    <t>MACKENZIE AUTUMN MARTINEZ</t>
  </si>
  <si>
    <t>STEPHANIE DIANE RODRIGUEZ</t>
  </si>
  <si>
    <t>EDGAR JAMES RICHTER</t>
  </si>
  <si>
    <t>SONJA JANE KING</t>
  </si>
  <si>
    <t>MARK THOMAS FJELSTED</t>
  </si>
  <si>
    <t>SONIA FREELAND</t>
  </si>
  <si>
    <t>DEBRA EMILY-MUNOZ ALVAREZ</t>
  </si>
  <si>
    <t>JOEL ROY REED</t>
  </si>
  <si>
    <t>CATHARINE WILSON</t>
  </si>
  <si>
    <t>LAUREN SUZETTE DE LA CRUZ</t>
  </si>
  <si>
    <t>SHERRY JEAN HENKELL</t>
  </si>
  <si>
    <t>JOHN ARTHUR ASHBAUGH III</t>
  </si>
  <si>
    <t>JENNIFER LYNN SEGRAVES</t>
  </si>
  <si>
    <t>KAREN LOUISE JONES</t>
  </si>
  <si>
    <t>LAURA KATHLEEN BAKER</t>
  </si>
  <si>
    <t>FERMIN MOLINA JR</t>
  </si>
  <si>
    <t>JESSE MACHADO JR</t>
  </si>
  <si>
    <t>RAYMOND GUILLERMO DE LA CRUZ I</t>
  </si>
  <si>
    <t>JESSE LAMAR CROWELL III</t>
  </si>
  <si>
    <t>KENNETH W WOOD</t>
  </si>
  <si>
    <t>BRYAN WILLIAM NOVAK</t>
  </si>
  <si>
    <t>MATTHEW WAYNE POHORELSKY</t>
  </si>
  <si>
    <t>ABRIL A NEGRETE</t>
  </si>
  <si>
    <t>EMANUEL URIEL GODINA</t>
  </si>
  <si>
    <t>KENNY MAX FRED</t>
  </si>
  <si>
    <t>CHARLIE RAY MARLATT</t>
  </si>
  <si>
    <t>PHILLIP A PATTERSON</t>
  </si>
  <si>
    <t>SUZANNE MARIE GUZIK</t>
  </si>
  <si>
    <t>LINDA LEE SPENCER</t>
  </si>
  <si>
    <t>KENNETH WAYNE FARMER</t>
  </si>
  <si>
    <t>DAVID LESLIE CAMPBELL</t>
  </si>
  <si>
    <t>TYLER ANTHONY STARNES</t>
  </si>
  <si>
    <t>ROBERT WADE HEARD</t>
  </si>
  <si>
    <t>SHERRI LYNN SILVA</t>
  </si>
  <si>
    <t>JESUS DANIEL ALMARAZ</t>
  </si>
  <si>
    <t>JEREMY RICHARD FAVER</t>
  </si>
  <si>
    <t>MICHELLE ANN FIELDS</t>
  </si>
  <si>
    <t>PATTI ANN GELARDI-GAST</t>
  </si>
  <si>
    <t>DIANE ELANE HILL</t>
  </si>
  <si>
    <t>NATHAN WARD HINDS</t>
  </si>
  <si>
    <t>SUMAI BARBARA LOKUMBE</t>
  </si>
  <si>
    <t>DAVID DWANE MCNABB</t>
  </si>
  <si>
    <t>MARTHA ANGELA MORALES</t>
  </si>
  <si>
    <t>JORDAN JOSEPH VANN</t>
  </si>
  <si>
    <t>MONARCH DISPOSAL  LLC</t>
  </si>
  <si>
    <t>MONICA DEPAOLI</t>
  </si>
  <si>
    <t>MONTGOMERY COUNTY CONSTABLE PCT 2</t>
  </si>
  <si>
    <t>MORRIS &amp; MCCLIMON ATTORNEYS AT LAW  PLLC</t>
  </si>
  <si>
    <t>MORSCO SUPPLY  LLC</t>
  </si>
  <si>
    <t>MOTOROLA SOLUTIONS  IN.C</t>
  </si>
  <si>
    <t>NALCO COMPANY LLC</t>
  </si>
  <si>
    <t>NALLEY HVAC MECHANICAL LLC</t>
  </si>
  <si>
    <t>NATIONAL FOOD GROUP INC</t>
  </si>
  <si>
    <t>NOTEPAGE INC</t>
  </si>
  <si>
    <t>O'REILLY AUTOMOTIVE  INC.</t>
  </si>
  <si>
    <t>SOUTHERN FOODS GROUP LP</t>
  </si>
  <si>
    <t>OFFICE DEPOT</t>
  </si>
  <si>
    <t>TRT HOLDINGS INC.</t>
  </si>
  <si>
    <t>ON SITE SERVICES</t>
  </si>
  <si>
    <t>ROGER C. OSBORN</t>
  </si>
  <si>
    <t>OSBURN ASSOCIATES INC.</t>
  </si>
  <si>
    <t>OPERATIONAL SUPPORT SERVICES INC</t>
  </si>
  <si>
    <t>TACSERV LLC</t>
  </si>
  <si>
    <t>P SQUARED EMULSION PLANTS  LLC</t>
  </si>
  <si>
    <t>SL PARKER PARTNERSHIP LLC</t>
  </si>
  <si>
    <t>PATHMARK TRAFFIC EQUIPMENT  LLC</t>
  </si>
  <si>
    <t>PATSY JOHNSON</t>
  </si>
  <si>
    <t>PATTERSON  VETERINARY SUPPLY INC</t>
  </si>
  <si>
    <t>PHILIP L HALL</t>
  </si>
  <si>
    <t>PHILIP R DUCLOUX</t>
  </si>
  <si>
    <t>PB PROFESSIONAL SERVICES INC</t>
  </si>
  <si>
    <t>AMERICAN PIZZA PARTNERS LP</t>
  </si>
  <si>
    <t>PM WILSON &amp; ASSOCIATES PLLC</t>
  </si>
  <si>
    <t>POST OAK HARDWARE  INC.</t>
  </si>
  <si>
    <t>POSTMASTER</t>
  </si>
  <si>
    <t>PRAXAIR DISTRIBUTION  INC.</t>
  </si>
  <si>
    <t>PRODUCTIVITY CENTER INC</t>
  </si>
  <si>
    <t>PTS OF AMERICA  LLC</t>
  </si>
  <si>
    <t>PAUL EDWARD WILKENS</t>
  </si>
  <si>
    <t>RACHEL A BAUER</t>
  </si>
  <si>
    <t>RANDY MC MILLAN</t>
  </si>
  <si>
    <t>RAYMOND AND MARY SWEAT</t>
  </si>
  <si>
    <t>RAYMOND BACA</t>
  </si>
  <si>
    <t>NESTLE WATERS N AMERICA INC</t>
  </si>
  <si>
    <t>RED WING BUSINESS ADVANTAGE ACCOUNT</t>
  </si>
  <si>
    <t>NRG ENERGY INC</t>
  </si>
  <si>
    <t>REYNOLDS &amp; KEINARTH</t>
  </si>
  <si>
    <t>RICOH USA INC</t>
  </si>
  <si>
    <t>ROADRUNNER RADIOLOGY EQUIP LLC</t>
  </si>
  <si>
    <t>ROBERT MADDEN INDUSTRIES LTD</t>
  </si>
  <si>
    <t>ROCKY ROAD PRINTING</t>
  </si>
  <si>
    <t>ROSE PIETSCH COUNTY CLERK</t>
  </si>
  <si>
    <t>ROUND ROCK SURGERY CENTER LLC</t>
  </si>
  <si>
    <t>RUSH CHEVROLET LLC</t>
  </si>
  <si>
    <t>SAFELITE FULFILLMENT INC</t>
  </si>
  <si>
    <t>SAMES BASTROP FORD INC</t>
  </si>
  <si>
    <t>SAMMY LERMA III MD</t>
  </si>
  <si>
    <t>SARAH LOUCKS</t>
  </si>
  <si>
    <t>SECOND ADMINISTRATIVE JUDICIAL REGION</t>
  </si>
  <si>
    <t>SECURETECH SYSTEMS  INC.</t>
  </si>
  <si>
    <t>SETON HEALTHCARE SPONSORED PROJECTS</t>
  </si>
  <si>
    <t>SHAWN HARRIS</t>
  </si>
  <si>
    <t>SHI GOVERNMENT SOLUTIONS INC.</t>
  </si>
  <si>
    <t>SHRED-IT US HOLDCO  INC</t>
  </si>
  <si>
    <t>RONALD JOHN CALDWELL JR</t>
  </si>
  <si>
    <t>SILSBEE FORD</t>
  </si>
  <si>
    <t>SMITH STORES  INC.</t>
  </si>
  <si>
    <t>SMITHVILLE AUTO PARTS  INC</t>
  </si>
  <si>
    <t>SOUTHERN TIRE MART LLC</t>
  </si>
  <si>
    <t>DS WATERS OF AMERICA INC</t>
  </si>
  <si>
    <t>SPARKLETTS &amp; SIERRA SPRINGS</t>
  </si>
  <si>
    <t>SPECIALTY VETERINARY PHARMACY INC</t>
  </si>
  <si>
    <t>ST DAVID'S HEALTHCARE PARTNERSHIP</t>
  </si>
  <si>
    <t>ST. DAVIDS HEART &amp; VASCULAR  PLLC</t>
  </si>
  <si>
    <t>ST.DAVID'S HEALTHCARE PARTNERSHIP</t>
  </si>
  <si>
    <t>STAPLES ADVANTAGE</t>
  </si>
  <si>
    <t>STATE BAR OF TEXAS</t>
  </si>
  <si>
    <t>STATE OF TEXAS</t>
  </si>
  <si>
    <t>STERICYCLE  INC.</t>
  </si>
  <si>
    <t>STEVE GRANADO</t>
  </si>
  <si>
    <t>STEVEN A LONG</t>
  </si>
  <si>
    <t>STEVEY SUGARS</t>
  </si>
  <si>
    <t>MATTHEW LEE SULLINS</t>
  </si>
  <si>
    <t>SUN COAST RESOURCES</t>
  </si>
  <si>
    <t>SUNSHIELD WINDOW TINTING</t>
  </si>
  <si>
    <t>SXSW LLC</t>
  </si>
  <si>
    <t>TACERA</t>
  </si>
  <si>
    <t>TAMARA BATOT</t>
  </si>
  <si>
    <t>TEXAS ASSN OF PROPERTY &amp; EVIDENCE TECHNICIANS</t>
  </si>
  <si>
    <t>TAVCO SERVICES INC</t>
  </si>
  <si>
    <t>TEXAS COMMISSION ON LAW ENFORCEMENT</t>
  </si>
  <si>
    <t>TEXAS DISTRICT &amp; COUNTY ATTORNEYS ASSOCIATION</t>
  </si>
  <si>
    <t>TEJAS ELEVATOR COMPANY</t>
  </si>
  <si>
    <t>JOHN J FIETSAM INC</t>
  </si>
  <si>
    <t>TEX-CON OIL CO</t>
  </si>
  <si>
    <t>TEXAS ASSOCIATES INSURORS AGENCY</t>
  </si>
  <si>
    <t>TEXAS ASSOCIATION OF COUNTIES</t>
  </si>
  <si>
    <t>TEXAS ASSOCIATION OF VEHICLE THEFT INVESTIGATORS</t>
  </si>
  <si>
    <t>TEXAS BRAZOS TRAIL REGION</t>
  </si>
  <si>
    <t>TEXAS CONFERENCE OF URBAN COUNTIES</t>
  </si>
  <si>
    <t>TEXAS CORRECTIONAL FACILITY</t>
  </si>
  <si>
    <t>TEXAS INDEPENDENCE TRAIL</t>
  </si>
  <si>
    <t>TEXAS PARKS &amp; WILDLIFE DEPARTMENT</t>
  </si>
  <si>
    <t>TEXAS VISION CLINIC  PLLC</t>
  </si>
  <si>
    <t>BUG MASTER EXTERMINATING SERVICES  LTD</t>
  </si>
  <si>
    <t>JAMES ANDREW CASEY</t>
  </si>
  <si>
    <t>THE FIBAR GROUP LLC</t>
  </si>
  <si>
    <t>SANDRA FAYE ROBINSON</t>
  </si>
  <si>
    <t>THE JWLEHMAN GROUP  LLC</t>
  </si>
  <si>
    <t>RICHARD NELSON MOORE</t>
  </si>
  <si>
    <t>THE TRAVELERS INDEMNITY COMPANY</t>
  </si>
  <si>
    <t>THOMAS CONSENTINO</t>
  </si>
  <si>
    <t>WEST PUBLISHING CORPORATION</t>
  </si>
  <si>
    <t>TWE-ADVANCE/NEWHOUSE PARTNERSHIP</t>
  </si>
  <si>
    <t>TOMIKA NOWLIN</t>
  </si>
  <si>
    <t>TRACTOR SUPPLY CREDIT PLAN</t>
  </si>
  <si>
    <t>TRAVIS COUNTY CONSTABLE PCT 5</t>
  </si>
  <si>
    <t>TRAVIS COUNTY MEDICAL EXAMINER</t>
  </si>
  <si>
    <t>TRAVIS COUNTY SHERIFF</t>
  </si>
  <si>
    <t>KAUFFMAN TIRE</t>
  </si>
  <si>
    <t>SETON FAMILY OF DOCTORS</t>
  </si>
  <si>
    <t>TULL FARLEY</t>
  </si>
  <si>
    <t>TYLER TECHNOLOGIES INC</t>
  </si>
  <si>
    <t>UNITED REFRIGERATION INC</t>
  </si>
  <si>
    <t>UNITED PARCEL SERVICE</t>
  </si>
  <si>
    <t>VALERIE BULLOCK</t>
  </si>
  <si>
    <t>VERICOM LLC</t>
  </si>
  <si>
    <t>VIKING FENCE CO INC</t>
  </si>
  <si>
    <t>TEXAS DEPARTMENT OF STATE HEALTH SERVICES</t>
  </si>
  <si>
    <t>US BANK NA</t>
  </si>
  <si>
    <t>VULCAN  INC.</t>
  </si>
  <si>
    <t>WALLER COUNTY ASPHALT INC</t>
  </si>
  <si>
    <t>WASHING EQUIPMENT OF TEXAS</t>
  </si>
  <si>
    <t>WASTE CONNECTIONS LONE STAR. INC.</t>
  </si>
  <si>
    <t>WASTE MANAGEMENT OF TEXAS INC</t>
  </si>
  <si>
    <t>WAYNE WOOD</t>
  </si>
  <si>
    <t>WIND KNOT INCORPORATED</t>
  </si>
  <si>
    <t>WEI-ANN LIN (REIMBURSEMENTS ONLY)</t>
  </si>
  <si>
    <t>MAO PHARMACY INC</t>
  </si>
  <si>
    <t>WILLIAM C. EBERLE</t>
  </si>
  <si>
    <t>WILLIAMSON COUNTY CONSTABLE PCT 4</t>
  </si>
  <si>
    <t>WILSON CULVERTS  INC.</t>
  </si>
  <si>
    <t>XEROX CORPORATION</t>
  </si>
  <si>
    <t>YOLANDA WHEATON</t>
  </si>
  <si>
    <t>ZOETIS US LLC</t>
  </si>
  <si>
    <t>ZORO TOOLS INC</t>
  </si>
  <si>
    <t>BEFCO ENGINEERING INC</t>
  </si>
  <si>
    <t>CAPITOL AREA COUNCIL INC. BOY SCOUTS OF AMERICA</t>
  </si>
  <si>
    <t>S.S.P. INC.</t>
  </si>
  <si>
    <t>LANGFORD COMMUNITY MGMT INC</t>
  </si>
  <si>
    <t>SOUTHEAST SERVICE COMPANY</t>
  </si>
  <si>
    <t>HIGH COUNTRY AUTOMOTIVE  LLC</t>
  </si>
  <si>
    <t>U.S. BANK NATIONAL ASSOCIATION</t>
  </si>
  <si>
    <t>VERMEER EQUIPMENT OF TEXAS  INC.</t>
  </si>
  <si>
    <t>ALLSTATE-AMERICAN HERITAGE LIFE INS CO</t>
  </si>
  <si>
    <t>AmWINS Group Benefits  Inc.</t>
  </si>
  <si>
    <t>BASTROP COUNTY ADULT PROBATION</t>
  </si>
  <si>
    <t>COLONIAL LIFE &amp; ACCIDENT INS. CO.</t>
  </si>
  <si>
    <t>CPI QUALIFIED PLAN CONSULTANTS  INC.</t>
  </si>
  <si>
    <t>DEBORAH B LANGEHENNIG</t>
  </si>
  <si>
    <t>GAYLE WILHELM</t>
  </si>
  <si>
    <t>GUARDIAN</t>
  </si>
  <si>
    <t>IRS-PAYROLL TAXES</t>
  </si>
  <si>
    <t>MARY CASEY</t>
  </si>
  <si>
    <t>MARY COLLING</t>
  </si>
  <si>
    <t>MELVIN BELL</t>
  </si>
  <si>
    <t>MICHAEL DANIEL</t>
  </si>
  <si>
    <t>MICHIGAN STATE DISBURSEMENT UNIT(MiSDU)</t>
  </si>
  <si>
    <t>GERALD FLORES OLIVO</t>
  </si>
  <si>
    <t>ROSS D JOHNSON</t>
  </si>
  <si>
    <t>TAC HEALTH BENEFITS POOL</t>
  </si>
  <si>
    <t>TOTAL ADMINISTRATIVE SERVICES CORPORATION</t>
  </si>
  <si>
    <t>TEXAS ATTY.GENERAL'S OFFICE</t>
  </si>
  <si>
    <t>TEXAS CNTY &amp; DIST RETIREMENT SYS</t>
  </si>
  <si>
    <t>TEXAS LEGAL PROTECTION PLAN INC</t>
  </si>
  <si>
    <t>THOMAS GOODNIGHT</t>
  </si>
  <si>
    <t>U.S. DEPT OF EDUCATION - FINANCIAL  ASST</t>
  </si>
  <si>
    <t>Amount 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</si>
</sst>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64"/>
  <sheetViews>
    <sheetView tabSelected="1" workbookViewId="0">
      <selection activeCell="C2765" sqref="C2765"/>
    </sheetView>
  </sheetViews>
  <sheetFormatPr defaultRowHeight="15" x14ac:dyDescent="0.25"/>
  <cols>
    <col min="1" max="1" width="56.7109375" bestFit="1" customWidth="1"/>
    <col min="2" max="2" width="7.7109375" bestFit="1" customWidth="1"/>
    <col min="3" max="3" width="14" style="2" bestFit="1" customWidth="1"/>
    <col min="4" max="4" width="10.85546875" bestFit="1" customWidth="1"/>
    <col min="5" max="5" width="20.7109375" bestFit="1" customWidth="1"/>
    <col min="6" max="6" width="36" bestFit="1" customWidth="1"/>
    <col min="7" max="7" width="15.85546875" style="2" bestFit="1" customWidth="1"/>
    <col min="8" max="8" width="36" bestFit="1" customWidth="1"/>
  </cols>
  <sheetData>
    <row r="1" spans="1:8" x14ac:dyDescent="0.25">
      <c r="A1" t="s">
        <v>0</v>
      </c>
      <c r="B1" t="s">
        <v>1</v>
      </c>
      <c r="C1" s="2" t="s">
        <v>2</v>
      </c>
      <c r="D1" t="s">
        <v>3</v>
      </c>
      <c r="E1" t="s">
        <v>4</v>
      </c>
      <c r="F1" t="s">
        <v>5</v>
      </c>
      <c r="G1" s="2" t="s">
        <v>6</v>
      </c>
      <c r="H1" t="s">
        <v>7</v>
      </c>
    </row>
    <row r="2" spans="1:8" x14ac:dyDescent="0.25">
      <c r="A2" t="s">
        <v>8</v>
      </c>
      <c r="B2">
        <v>83759</v>
      </c>
      <c r="C2" s="2">
        <v>52500</v>
      </c>
      <c r="D2" s="1">
        <v>43717</v>
      </c>
      <c r="E2" t="str">
        <f>"104-19-2"</f>
        <v>104-19-2</v>
      </c>
      <c r="F2" t="str">
        <f>"Inv# 104-19-2"</f>
        <v>Inv# 104-19-2</v>
      </c>
      <c r="G2" s="2">
        <v>30000</v>
      </c>
      <c r="H2" t="str">
        <f>"Split INvoice"</f>
        <v>Split INvoice</v>
      </c>
    </row>
    <row r="3" spans="1:8" x14ac:dyDescent="0.25">
      <c r="E3" t="str">
        <f>""</f>
        <v/>
      </c>
      <c r="F3" t="str">
        <f>""</f>
        <v/>
      </c>
      <c r="H3" t="str">
        <f>"Split Invoice"</f>
        <v>Split Invoice</v>
      </c>
    </row>
    <row r="4" spans="1:8" x14ac:dyDescent="0.25">
      <c r="E4" t="str">
        <f>"1060-19"</f>
        <v>1060-19</v>
      </c>
      <c r="F4" t="str">
        <f>"inv# 1060-19"</f>
        <v>inv# 1060-19</v>
      </c>
      <c r="G4" s="2">
        <v>22500</v>
      </c>
      <c r="H4" t="str">
        <f>"inv# 1060-19"</f>
        <v>inv# 1060-19</v>
      </c>
    </row>
    <row r="5" spans="1:8" x14ac:dyDescent="0.25">
      <c r="A5" t="s">
        <v>9</v>
      </c>
      <c r="B5">
        <v>83760</v>
      </c>
      <c r="C5" s="2">
        <v>391.48</v>
      </c>
      <c r="D5" s="1">
        <v>43717</v>
      </c>
      <c r="E5" t="str">
        <f>"9725-007-110766"</f>
        <v>9725-007-110766</v>
      </c>
      <c r="F5" t="str">
        <f>"ACCT#9725-007/REC BASE/PCT#4"</f>
        <v>ACCT#9725-007/REC BASE/PCT#4</v>
      </c>
      <c r="G5" s="2">
        <v>391.48</v>
      </c>
      <c r="H5" t="str">
        <f>"ACCT#9725-007/REC BASE/PCT#4"</f>
        <v>ACCT#9725-007/REC BASE/PCT#4</v>
      </c>
    </row>
    <row r="6" spans="1:8" x14ac:dyDescent="0.25">
      <c r="A6" t="s">
        <v>9</v>
      </c>
      <c r="B6">
        <v>83969</v>
      </c>
      <c r="C6" s="2">
        <v>703.95</v>
      </c>
      <c r="D6" s="1">
        <v>43731</v>
      </c>
      <c r="E6" t="str">
        <f>"9725-007-110926"</f>
        <v>9725-007-110926</v>
      </c>
      <c r="F6" t="str">
        <f>"ACCT#9725-007/REC BASE/PCT#4"</f>
        <v>ACCT#9725-007/REC BASE/PCT#4</v>
      </c>
      <c r="G6" s="2">
        <v>703.95</v>
      </c>
      <c r="H6" t="str">
        <f>"ACCT#9725-007/REC BASE/PCT#4"</f>
        <v>ACCT#9725-007/REC BASE/PCT#4</v>
      </c>
    </row>
    <row r="7" spans="1:8" x14ac:dyDescent="0.25">
      <c r="A7" t="s">
        <v>10</v>
      </c>
      <c r="B7">
        <v>83761</v>
      </c>
      <c r="C7" s="2">
        <v>586.41999999999996</v>
      </c>
      <c r="D7" s="1">
        <v>43717</v>
      </c>
      <c r="E7" t="str">
        <f>"STATEMENT#360058"</f>
        <v>STATEMENT#360058</v>
      </c>
      <c r="F7" t="str">
        <f>"CUST ID:16500/PCT#4"</f>
        <v>CUST ID:16500/PCT#4</v>
      </c>
      <c r="G7" s="2">
        <v>586.41999999999996</v>
      </c>
      <c r="H7" t="str">
        <f>"CUST ID:16500/PCT#4"</f>
        <v>CUST ID:16500/PCT#4</v>
      </c>
    </row>
    <row r="8" spans="1:8" x14ac:dyDescent="0.25">
      <c r="A8" t="s">
        <v>11</v>
      </c>
      <c r="B8">
        <v>1371</v>
      </c>
      <c r="C8" s="2">
        <v>11129.62</v>
      </c>
      <c r="D8" s="1">
        <v>43732</v>
      </c>
      <c r="E8" t="str">
        <f>"201909161752"</f>
        <v>201909161752</v>
      </c>
      <c r="F8" t="str">
        <f>"HAULING EXPS 08/28-09/13/PCT#1"</f>
        <v>HAULING EXPS 08/28-09/13/PCT#1</v>
      </c>
      <c r="G8" s="2">
        <v>8110.69</v>
      </c>
      <c r="H8" t="str">
        <f>"HAULING EXPS 08/28-09/13/PCT#1"</f>
        <v>HAULING EXPS 08/28-09/13/PCT#1</v>
      </c>
    </row>
    <row r="9" spans="1:8" x14ac:dyDescent="0.25">
      <c r="E9" t="str">
        <f>"201909171776"</f>
        <v>201909171776</v>
      </c>
      <c r="F9" t="str">
        <f>"HAULING EXPS 08/26-9/13/PCT#4"</f>
        <v>HAULING EXPS 08/26-9/13/PCT#4</v>
      </c>
      <c r="G9" s="2">
        <v>3018.93</v>
      </c>
      <c r="H9" t="str">
        <f>"HAULING EXPS 08/26-9/13/PCT#4"</f>
        <v>HAULING EXPS 08/26-9/13/PCT#4</v>
      </c>
    </row>
    <row r="10" spans="1:8" x14ac:dyDescent="0.25">
      <c r="A10" t="s">
        <v>12</v>
      </c>
      <c r="B10">
        <v>83970</v>
      </c>
      <c r="C10" s="2">
        <v>1148</v>
      </c>
      <c r="D10" s="1">
        <v>43731</v>
      </c>
      <c r="E10" t="str">
        <f>"INV317427 INV31871"</f>
        <v>INV317427 INV31871</v>
      </c>
      <c r="F10" t="str">
        <f>"INV317427"</f>
        <v>INV317427</v>
      </c>
      <c r="G10" s="2">
        <v>1148</v>
      </c>
      <c r="H10" t="str">
        <f>"INV317427"</f>
        <v>INV317427</v>
      </c>
    </row>
    <row r="11" spans="1:8" x14ac:dyDescent="0.25">
      <c r="E11" t="str">
        <f>""</f>
        <v/>
      </c>
      <c r="F11" t="str">
        <f>""</f>
        <v/>
      </c>
      <c r="H11" t="str">
        <f>"INV318719"</f>
        <v>INV318719</v>
      </c>
    </row>
    <row r="12" spans="1:8" x14ac:dyDescent="0.25">
      <c r="A12" t="s">
        <v>13</v>
      </c>
      <c r="B12">
        <v>83971</v>
      </c>
      <c r="C12" s="2">
        <v>490</v>
      </c>
      <c r="D12" s="1">
        <v>43731</v>
      </c>
      <c r="E12" t="str">
        <f>"INV-34632"</f>
        <v>INV-34632</v>
      </c>
      <c r="F12" t="str">
        <f>"Part Order"</f>
        <v>Part Order</v>
      </c>
      <c r="G12" s="2">
        <v>490</v>
      </c>
      <c r="H12" t="str">
        <f>"191-71300"</f>
        <v>191-71300</v>
      </c>
    </row>
    <row r="13" spans="1:8" x14ac:dyDescent="0.25">
      <c r="E13" t="str">
        <f>""</f>
        <v/>
      </c>
      <c r="F13" t="str">
        <f>""</f>
        <v/>
      </c>
      <c r="H13" t="str">
        <f>"1911-71A-KIT"</f>
        <v>1911-71A-KIT</v>
      </c>
    </row>
    <row r="14" spans="1:8" x14ac:dyDescent="0.25">
      <c r="A14" t="s">
        <v>14</v>
      </c>
      <c r="B14">
        <v>83972</v>
      </c>
      <c r="C14" s="2">
        <v>1737.5</v>
      </c>
      <c r="D14" s="1">
        <v>43731</v>
      </c>
      <c r="E14" t="str">
        <f>"201909171828"</f>
        <v>201909171828</v>
      </c>
      <c r="F14" t="str">
        <f>"19-19713"</f>
        <v>19-19713</v>
      </c>
      <c r="G14" s="2">
        <v>215</v>
      </c>
      <c r="H14" t="str">
        <f>"19-19713"</f>
        <v>19-19713</v>
      </c>
    </row>
    <row r="15" spans="1:8" x14ac:dyDescent="0.25">
      <c r="E15" t="str">
        <f>"201909171829"</f>
        <v>201909171829</v>
      </c>
      <c r="F15" t="str">
        <f>"18-19321"</f>
        <v>18-19321</v>
      </c>
      <c r="G15" s="2">
        <v>100</v>
      </c>
      <c r="H15" t="str">
        <f>"18-19321"</f>
        <v>18-19321</v>
      </c>
    </row>
    <row r="16" spans="1:8" x14ac:dyDescent="0.25">
      <c r="E16" t="str">
        <f>"201909171830"</f>
        <v>201909171830</v>
      </c>
      <c r="F16" t="str">
        <f>"19-19786"</f>
        <v>19-19786</v>
      </c>
      <c r="G16" s="2">
        <v>250</v>
      </c>
      <c r="H16" t="str">
        <f>"19-19786"</f>
        <v>19-19786</v>
      </c>
    </row>
    <row r="17" spans="1:8" x14ac:dyDescent="0.25">
      <c r="E17" t="str">
        <f>"201909171831"</f>
        <v>201909171831</v>
      </c>
      <c r="F17" t="str">
        <f>"19-19768"</f>
        <v>19-19768</v>
      </c>
      <c r="G17" s="2">
        <v>227.5</v>
      </c>
      <c r="H17" t="str">
        <f>"19-19768"</f>
        <v>19-19768</v>
      </c>
    </row>
    <row r="18" spans="1:8" x14ac:dyDescent="0.25">
      <c r="E18" t="str">
        <f>"201909171840"</f>
        <v>201909171840</v>
      </c>
      <c r="F18" t="str">
        <f>"18-19094"</f>
        <v>18-19094</v>
      </c>
      <c r="G18" s="2">
        <v>137.5</v>
      </c>
      <c r="H18" t="str">
        <f>"18-19094"</f>
        <v>18-19094</v>
      </c>
    </row>
    <row r="19" spans="1:8" x14ac:dyDescent="0.25">
      <c r="E19" t="str">
        <f>"201909171841"</f>
        <v>201909171841</v>
      </c>
      <c r="F19" t="str">
        <f>"19-19811"</f>
        <v>19-19811</v>
      </c>
      <c r="G19" s="2">
        <v>220</v>
      </c>
      <c r="H19" t="str">
        <f>"19-19811"</f>
        <v>19-19811</v>
      </c>
    </row>
    <row r="20" spans="1:8" x14ac:dyDescent="0.25">
      <c r="E20" t="str">
        <f>"201909171873"</f>
        <v>201909171873</v>
      </c>
      <c r="F20" t="str">
        <f>"14-16404"</f>
        <v>14-16404</v>
      </c>
      <c r="G20" s="2">
        <v>587.5</v>
      </c>
      <c r="H20" t="str">
        <f>"14-16404"</f>
        <v>14-16404</v>
      </c>
    </row>
    <row r="21" spans="1:8" x14ac:dyDescent="0.25">
      <c r="A21" t="s">
        <v>15</v>
      </c>
      <c r="B21">
        <v>1301</v>
      </c>
      <c r="C21" s="2">
        <v>505.94</v>
      </c>
      <c r="D21" s="1">
        <v>43718</v>
      </c>
      <c r="E21" t="str">
        <f>"201908281304"</f>
        <v>201908281304</v>
      </c>
      <c r="F21" t="str">
        <f>"REIMBURSE MAIL CHIMP/PARKING"</f>
        <v>REIMBURSE MAIL CHIMP/PARKING</v>
      </c>
      <c r="G21" s="2">
        <v>120</v>
      </c>
      <c r="H21" t="str">
        <f>"REIMBURSE MAIL CHIMP/PARKING"</f>
        <v>REIMBURSE MAIL CHIMP/PARKING</v>
      </c>
    </row>
    <row r="22" spans="1:8" x14ac:dyDescent="0.25">
      <c r="E22" t="str">
        <f>"201908281320"</f>
        <v>201908281320</v>
      </c>
      <c r="F22" t="str">
        <f>"REIMBURSE ED SYMPOSIUM"</f>
        <v>REIMBURSE ED SYMPOSIUM</v>
      </c>
      <c r="G22" s="2">
        <v>25</v>
      </c>
      <c r="H22" t="str">
        <f>"REIMBURSE ED SYMPOSIUM"</f>
        <v>REIMBURSE ED SYMPOSIUM</v>
      </c>
    </row>
    <row r="23" spans="1:8" x14ac:dyDescent="0.25">
      <c r="E23" t="str">
        <f>"201908301368"</f>
        <v>201908301368</v>
      </c>
      <c r="F23" t="str">
        <f>"TRAVEL ADVANCE-PER DIEM"</f>
        <v>TRAVEL ADVANCE-PER DIEM</v>
      </c>
      <c r="G23" s="2">
        <v>45</v>
      </c>
      <c r="H23" t="str">
        <f>"TRAVEL ADVANCE-PER DIEM"</f>
        <v>TRAVEL ADVANCE-PER DIEM</v>
      </c>
    </row>
    <row r="24" spans="1:8" x14ac:dyDescent="0.25">
      <c r="E24" t="str">
        <f>"201909041445"</f>
        <v>201909041445</v>
      </c>
      <c r="F24" t="str">
        <f>"REIMBURSE-TML BOOTH/CHAMBER"</f>
        <v>REIMBURSE-TML BOOTH/CHAMBER</v>
      </c>
      <c r="G24" s="2">
        <v>315.94</v>
      </c>
      <c r="H24" t="str">
        <f>"REIMBURSE-TML BOOTH/CHAMBER"</f>
        <v>REIMBURSE-TML BOOTH/CHAMBER</v>
      </c>
    </row>
    <row r="25" spans="1:8" x14ac:dyDescent="0.25">
      <c r="A25" t="s">
        <v>15</v>
      </c>
      <c r="B25">
        <v>1376</v>
      </c>
      <c r="C25" s="2">
        <v>926.63</v>
      </c>
      <c r="D25" s="1">
        <v>43732</v>
      </c>
      <c r="E25" t="str">
        <f>"201909161754"</f>
        <v>201909161754</v>
      </c>
      <c r="F25" t="str">
        <f>"REIMBURSE BOOTH SUPPLIES"</f>
        <v>REIMBURSE BOOTH SUPPLIES</v>
      </c>
      <c r="G25" s="2">
        <v>303.89999999999998</v>
      </c>
      <c r="H25" t="str">
        <f>"REIMBURSE BOOTH SUPPLIES"</f>
        <v>REIMBURSE BOOTH SUPPLIES</v>
      </c>
    </row>
    <row r="26" spans="1:8" x14ac:dyDescent="0.25">
      <c r="E26" t="str">
        <f>"201909161755"</f>
        <v>201909161755</v>
      </c>
      <c r="F26" t="str">
        <f>"REIMBURSE DROP BOX MBRSHP FEE"</f>
        <v>REIMBURSE DROP BOX MBRSHP FEE</v>
      </c>
      <c r="G26" s="2">
        <v>198</v>
      </c>
      <c r="H26" t="str">
        <f>"REIMBURSE DROP BOX MBRSHP FEE"</f>
        <v>REIMBURSE DROP BOX MBRSHP FEE</v>
      </c>
    </row>
    <row r="27" spans="1:8" x14ac:dyDescent="0.25">
      <c r="E27" t="str">
        <f>"201909161756"</f>
        <v>201909161756</v>
      </c>
      <c r="F27" t="str">
        <f>"REIMBURSE BOOTH SUPPLIES"</f>
        <v>REIMBURSE BOOTH SUPPLIES</v>
      </c>
      <c r="G27" s="2">
        <v>243.32</v>
      </c>
      <c r="H27" t="str">
        <f>"REIMBURSE BOOTH SUPPLIES"</f>
        <v>REIMBURSE BOOTH SUPPLIES</v>
      </c>
    </row>
    <row r="28" spans="1:8" x14ac:dyDescent="0.25">
      <c r="E28" t="str">
        <f>"201909181929"</f>
        <v>201909181929</v>
      </c>
      <c r="F28" t="str">
        <f>"REIMBURSE IMPROVING MOBILITY"</f>
        <v>REIMBURSE IMPROVING MOBILITY</v>
      </c>
      <c r="G28" s="2">
        <v>106.41</v>
      </c>
      <c r="H28" t="str">
        <f>"REIMBURSE IMPROVING MOBILITY"</f>
        <v>REIMBURSE IMPROVING MOBILITY</v>
      </c>
    </row>
    <row r="29" spans="1:8" x14ac:dyDescent="0.25">
      <c r="E29" t="str">
        <f>"201909181930"</f>
        <v>201909181930</v>
      </c>
      <c r="F29" t="str">
        <f>"REIMBURSE MAIL CHIMP"</f>
        <v>REIMBURSE MAIL CHIMP</v>
      </c>
      <c r="G29" s="2">
        <v>75</v>
      </c>
      <c r="H29" t="str">
        <f>"REIMBURSE MAIL CHIMP"</f>
        <v>REIMBURSE MAIL CHIMP</v>
      </c>
    </row>
    <row r="30" spans="1:8" x14ac:dyDescent="0.25">
      <c r="A30" t="s">
        <v>16</v>
      </c>
      <c r="B30">
        <v>83762</v>
      </c>
      <c r="C30" s="2">
        <v>92</v>
      </c>
      <c r="D30" s="1">
        <v>43717</v>
      </c>
      <c r="E30" t="str">
        <f>"202497"</f>
        <v>202497</v>
      </c>
      <c r="F30" t="str">
        <f>"INV 202497"</f>
        <v>INV 202497</v>
      </c>
      <c r="G30" s="2">
        <v>92</v>
      </c>
      <c r="H30" t="str">
        <f>"INV 202497"</f>
        <v>INV 202497</v>
      </c>
    </row>
    <row r="31" spans="1:8" x14ac:dyDescent="0.25">
      <c r="A31" t="s">
        <v>17</v>
      </c>
      <c r="B31">
        <v>83973</v>
      </c>
      <c r="C31" s="2">
        <v>675</v>
      </c>
      <c r="D31" s="1">
        <v>43731</v>
      </c>
      <c r="E31" t="str">
        <f>"1475927"</f>
        <v>1475927</v>
      </c>
      <c r="F31" t="str">
        <f>"AED Supplies"</f>
        <v>AED Supplies</v>
      </c>
      <c r="G31" s="2">
        <v>675</v>
      </c>
      <c r="H31" t="str">
        <f>"FRx SMART Pads II"</f>
        <v>FRx SMART Pads II</v>
      </c>
    </row>
    <row r="32" spans="1:8" x14ac:dyDescent="0.25">
      <c r="E32" t="str">
        <f>""</f>
        <v/>
      </c>
      <c r="F32" t="str">
        <f>""</f>
        <v/>
      </c>
      <c r="H32" t="str">
        <f>"Replacemant Battery"</f>
        <v>Replacemant Battery</v>
      </c>
    </row>
    <row r="33" spans="1:8" x14ac:dyDescent="0.25">
      <c r="A33" t="s">
        <v>18</v>
      </c>
      <c r="B33">
        <v>1336</v>
      </c>
      <c r="C33" s="2">
        <v>550</v>
      </c>
      <c r="D33" s="1">
        <v>43718</v>
      </c>
      <c r="E33" t="str">
        <f>"201908281310"</f>
        <v>201908281310</v>
      </c>
      <c r="F33" t="str">
        <f>"423-6715"</f>
        <v>423-6715</v>
      </c>
      <c r="G33" s="2">
        <v>100</v>
      </c>
      <c r="H33" t="str">
        <f>"423-6715"</f>
        <v>423-6715</v>
      </c>
    </row>
    <row r="34" spans="1:8" x14ac:dyDescent="0.25">
      <c r="E34" t="str">
        <f>"201909031383"</f>
        <v>201909031383</v>
      </c>
      <c r="F34" t="str">
        <f>"308132019B 308832019C"</f>
        <v>308132019B 308832019C</v>
      </c>
      <c r="G34" s="2">
        <v>100</v>
      </c>
      <c r="H34" t="str">
        <f>"308132019B 308832019C"</f>
        <v>308132019B 308832019C</v>
      </c>
    </row>
    <row r="35" spans="1:8" x14ac:dyDescent="0.25">
      <c r="E35" t="str">
        <f>"201909031384"</f>
        <v>201909031384</v>
      </c>
      <c r="F35" t="str">
        <f>"02-0728-4"</f>
        <v>02-0728-4</v>
      </c>
      <c r="G35" s="2">
        <v>100</v>
      </c>
      <c r="H35" t="str">
        <f>"02-0728-4"</f>
        <v>02-0728-4</v>
      </c>
    </row>
    <row r="36" spans="1:8" x14ac:dyDescent="0.25">
      <c r="E36" t="str">
        <f>"201909041493"</f>
        <v>201909041493</v>
      </c>
      <c r="F36" t="str">
        <f>"57 038"</f>
        <v>57 038</v>
      </c>
      <c r="G36" s="2">
        <v>250</v>
      </c>
      <c r="H36" t="str">
        <f>"57 038"</f>
        <v>57 038</v>
      </c>
    </row>
    <row r="37" spans="1:8" x14ac:dyDescent="0.25">
      <c r="A37" t="s">
        <v>18</v>
      </c>
      <c r="B37">
        <v>1413</v>
      </c>
      <c r="C37" s="2">
        <v>1200</v>
      </c>
      <c r="D37" s="1">
        <v>43732</v>
      </c>
      <c r="E37" t="str">
        <f>"201909121742"</f>
        <v>201909121742</v>
      </c>
      <c r="F37" t="str">
        <f>"16 018"</f>
        <v>16 018</v>
      </c>
      <c r="G37" s="2">
        <v>400</v>
      </c>
      <c r="H37" t="str">
        <f>"16 018"</f>
        <v>16 018</v>
      </c>
    </row>
    <row r="38" spans="1:8" x14ac:dyDescent="0.25">
      <c r="E38" t="str">
        <f>"201909121743"</f>
        <v>201909121743</v>
      </c>
      <c r="F38" t="str">
        <f>"16 611"</f>
        <v>16 611</v>
      </c>
      <c r="G38" s="2">
        <v>400</v>
      </c>
      <c r="H38" t="str">
        <f>"16 611"</f>
        <v>16 611</v>
      </c>
    </row>
    <row r="39" spans="1:8" x14ac:dyDescent="0.25">
      <c r="E39" t="str">
        <f>"201909171767"</f>
        <v>201909171767</v>
      </c>
      <c r="F39" t="str">
        <f>"15114"</f>
        <v>15114</v>
      </c>
      <c r="G39" s="2">
        <v>400</v>
      </c>
      <c r="H39" t="str">
        <f>"15114"</f>
        <v>15114</v>
      </c>
    </row>
    <row r="40" spans="1:8" x14ac:dyDescent="0.25">
      <c r="A40" t="s">
        <v>19</v>
      </c>
      <c r="B40">
        <v>1307</v>
      </c>
      <c r="C40" s="2">
        <v>338.28</v>
      </c>
      <c r="D40" s="1">
        <v>43718</v>
      </c>
      <c r="E40" t="str">
        <f>"201908281315"</f>
        <v>201908281315</v>
      </c>
      <c r="F40" t="str">
        <f>"423 6594"</f>
        <v>423 6594</v>
      </c>
      <c r="G40" s="2">
        <v>338.28</v>
      </c>
      <c r="H40" t="str">
        <f>"423 6594"</f>
        <v>423 6594</v>
      </c>
    </row>
    <row r="41" spans="1:8" x14ac:dyDescent="0.25">
      <c r="A41" t="s">
        <v>19</v>
      </c>
      <c r="B41">
        <v>1382</v>
      </c>
      <c r="C41" s="2">
        <v>776.56</v>
      </c>
      <c r="D41" s="1">
        <v>43732</v>
      </c>
      <c r="E41" t="str">
        <f>"201909131745"</f>
        <v>201909131745</v>
      </c>
      <c r="F41" t="str">
        <f>"DCPC-19-039"</f>
        <v>DCPC-19-039</v>
      </c>
      <c r="G41" s="2">
        <v>338.28</v>
      </c>
      <c r="H41" t="str">
        <f>"DCPC-19-039"</f>
        <v>DCPC-19-039</v>
      </c>
    </row>
    <row r="42" spans="1:8" x14ac:dyDescent="0.25">
      <c r="E42" t="str">
        <f>"201909131746"</f>
        <v>201909131746</v>
      </c>
      <c r="F42" t="str">
        <f>"423-6341"</f>
        <v>423-6341</v>
      </c>
      <c r="G42" s="2">
        <v>438.28</v>
      </c>
      <c r="H42" t="str">
        <f>"423-6341"</f>
        <v>423-6341</v>
      </c>
    </row>
    <row r="43" spans="1:8" x14ac:dyDescent="0.25">
      <c r="A43" t="s">
        <v>20</v>
      </c>
      <c r="B43">
        <v>1315</v>
      </c>
      <c r="C43" s="2">
        <v>2439.77</v>
      </c>
      <c r="D43" s="1">
        <v>43718</v>
      </c>
      <c r="E43" t="str">
        <f>"13RC-W4CJ-7RCR"</f>
        <v>13RC-W4CJ-7RCR</v>
      </c>
      <c r="F43" t="str">
        <f>"Amazon Order"</f>
        <v>Amazon Order</v>
      </c>
      <c r="G43" s="2">
        <v>749</v>
      </c>
      <c r="H43" t="str">
        <f>"Sony FDR-AX33"</f>
        <v>Sony FDR-AX33</v>
      </c>
    </row>
    <row r="44" spans="1:8" x14ac:dyDescent="0.25">
      <c r="E44" t="str">
        <f>"1F7K-VTDW-HCG3 1PR"</f>
        <v>1F7K-VTDW-HCG3 1PR</v>
      </c>
      <c r="F44" t="str">
        <f>"Misc Items"</f>
        <v>Misc Items</v>
      </c>
      <c r="G44" s="2">
        <v>554.04</v>
      </c>
      <c r="H44" t="str">
        <f>"UGREEN SD Card Reade"</f>
        <v>UGREEN SD Card Reade</v>
      </c>
    </row>
    <row r="45" spans="1:8" x14ac:dyDescent="0.25">
      <c r="E45" t="str">
        <f>""</f>
        <v/>
      </c>
      <c r="F45" t="str">
        <f>""</f>
        <v/>
      </c>
      <c r="H45" t="str">
        <f>"Discount"</f>
        <v>Discount</v>
      </c>
    </row>
    <row r="46" spans="1:8" x14ac:dyDescent="0.25">
      <c r="E46" t="str">
        <f>""</f>
        <v/>
      </c>
      <c r="F46" t="str">
        <f>""</f>
        <v/>
      </c>
      <c r="H46" t="str">
        <f>"Elkay 51300C"</f>
        <v>Elkay 51300C</v>
      </c>
    </row>
    <row r="47" spans="1:8" x14ac:dyDescent="0.25">
      <c r="E47" t="str">
        <f>""</f>
        <v/>
      </c>
      <c r="F47" t="str">
        <f>""</f>
        <v/>
      </c>
      <c r="H47" t="str">
        <f>"Brookside Design MRW"</f>
        <v>Brookside Design MRW</v>
      </c>
    </row>
    <row r="48" spans="1:8" x14ac:dyDescent="0.25">
      <c r="E48" t="str">
        <f>""</f>
        <v/>
      </c>
      <c r="F48" t="str">
        <f>""</f>
        <v/>
      </c>
      <c r="H48" t="str">
        <f>"Discount"</f>
        <v>Discount</v>
      </c>
    </row>
    <row r="49" spans="1:8" x14ac:dyDescent="0.25">
      <c r="E49" t="str">
        <f>"1KDJ-1L9G-QKTL"</f>
        <v>1KDJ-1L9G-QKTL</v>
      </c>
      <c r="F49" t="str">
        <f>"Speaker for Bid Computer"</f>
        <v>Speaker for Bid Computer</v>
      </c>
      <c r="G49" s="2">
        <v>214.97</v>
      </c>
      <c r="H49" t="str">
        <f>"Soundbar Mount"</f>
        <v>Soundbar Mount</v>
      </c>
    </row>
    <row r="50" spans="1:8" x14ac:dyDescent="0.25">
      <c r="E50" t="str">
        <f>""</f>
        <v/>
      </c>
      <c r="F50" t="str">
        <f>""</f>
        <v/>
      </c>
      <c r="H50" t="str">
        <f>"Soundbar"</f>
        <v>Soundbar</v>
      </c>
    </row>
    <row r="51" spans="1:8" x14ac:dyDescent="0.25">
      <c r="E51" t="str">
        <f>"1XGD-MHW9-N4H9"</f>
        <v>1XGD-MHW9-N4H9</v>
      </c>
      <c r="F51" t="str">
        <f>"standing Desk"</f>
        <v>standing Desk</v>
      </c>
      <c r="G51" s="2">
        <v>139.99</v>
      </c>
      <c r="H51" t="str">
        <f>"standing Desk"</f>
        <v>standing Desk</v>
      </c>
    </row>
    <row r="52" spans="1:8" x14ac:dyDescent="0.25">
      <c r="E52" t="str">
        <f>"1Y17-7TL4-7MFY"</f>
        <v>1Y17-7TL4-7MFY</v>
      </c>
      <c r="F52" t="str">
        <f>"Amazon Order"</f>
        <v>Amazon Order</v>
      </c>
      <c r="G52" s="2">
        <v>108.9</v>
      </c>
      <c r="H52" t="str">
        <f>"Tent Cards 24pk"</f>
        <v>Tent Cards 24pk</v>
      </c>
    </row>
    <row r="53" spans="1:8" x14ac:dyDescent="0.25">
      <c r="E53" t="str">
        <f>""</f>
        <v/>
      </c>
      <c r="F53" t="str">
        <f>""</f>
        <v/>
      </c>
      <c r="H53" t="str">
        <f>"Shipping"</f>
        <v>Shipping</v>
      </c>
    </row>
    <row r="54" spans="1:8" x14ac:dyDescent="0.25">
      <c r="E54" t="str">
        <f>"IT3R-KPV1-CKG9"</f>
        <v>IT3R-KPV1-CKG9</v>
      </c>
      <c r="F54" t="str">
        <f>"Storage Racks"</f>
        <v>Storage Racks</v>
      </c>
      <c r="G54" s="2">
        <v>672.87</v>
      </c>
      <c r="H54" t="str">
        <f>"Storage Racks"</f>
        <v>Storage Racks</v>
      </c>
    </row>
    <row r="55" spans="1:8" x14ac:dyDescent="0.25">
      <c r="A55" t="s">
        <v>20</v>
      </c>
      <c r="B55">
        <v>1392</v>
      </c>
      <c r="C55" s="2">
        <v>1997.41</v>
      </c>
      <c r="D55" s="1">
        <v>43732</v>
      </c>
      <c r="E55" t="str">
        <f>"1CH7-G1TJ-FKWY"</f>
        <v>1CH7-G1TJ-FKWY</v>
      </c>
      <c r="F55" t="str">
        <f>"New chair mats"</f>
        <v>New chair mats</v>
      </c>
      <c r="G55" s="2">
        <v>330.4</v>
      </c>
      <c r="H55" t="str">
        <f>"Dimex 46 x 60  Clear"</f>
        <v>Dimex 46 x 60  Clear</v>
      </c>
    </row>
    <row r="56" spans="1:8" x14ac:dyDescent="0.25">
      <c r="E56" t="str">
        <f>"1HTC-NMTP-99LT"</f>
        <v>1HTC-NMTP-99LT</v>
      </c>
      <c r="F56" t="str">
        <f>"Amazon Order"</f>
        <v>Amazon Order</v>
      </c>
      <c r="G56" s="2">
        <v>1667.01</v>
      </c>
      <c r="H56" t="str">
        <f>"16 GB"</f>
        <v>16 GB</v>
      </c>
    </row>
    <row r="57" spans="1:8" x14ac:dyDescent="0.25">
      <c r="E57" t="str">
        <f>""</f>
        <v/>
      </c>
      <c r="F57" t="str">
        <f>""</f>
        <v/>
      </c>
      <c r="H57" t="str">
        <f>"8 GB"</f>
        <v>8 GB</v>
      </c>
    </row>
    <row r="58" spans="1:8" x14ac:dyDescent="0.25">
      <c r="E58" t="str">
        <f>""</f>
        <v/>
      </c>
      <c r="F58" t="str">
        <f>""</f>
        <v/>
      </c>
      <c r="H58" t="str">
        <f>"Shipping"</f>
        <v>Shipping</v>
      </c>
    </row>
    <row r="59" spans="1:8" x14ac:dyDescent="0.25">
      <c r="A59" t="s">
        <v>21</v>
      </c>
      <c r="B59">
        <v>83763</v>
      </c>
      <c r="C59" s="2">
        <v>114.36</v>
      </c>
      <c r="D59" s="1">
        <v>43717</v>
      </c>
      <c r="E59" t="str">
        <f>"5355375/CM5355480"</f>
        <v>5355375/CM5355480</v>
      </c>
      <c r="F59" t="str">
        <f>"INV 5355375"</f>
        <v>INV 5355375</v>
      </c>
      <c r="G59" s="2">
        <v>105</v>
      </c>
      <c r="H59" t="str">
        <f>"INV 5355375"</f>
        <v>INV 5355375</v>
      </c>
    </row>
    <row r="60" spans="1:8" x14ac:dyDescent="0.25">
      <c r="E60" t="str">
        <f>""</f>
        <v/>
      </c>
      <c r="F60" t="str">
        <f>""</f>
        <v/>
      </c>
      <c r="H60" t="str">
        <f>"CM 5355480"</f>
        <v>CM 5355480</v>
      </c>
    </row>
    <row r="61" spans="1:8" x14ac:dyDescent="0.25">
      <c r="E61" t="str">
        <f>"5355711"</f>
        <v>5355711</v>
      </c>
      <c r="F61" t="str">
        <f>"CUST ID:100074/PCT#3"</f>
        <v>CUST ID:100074/PCT#3</v>
      </c>
      <c r="G61" s="2">
        <v>9.36</v>
      </c>
      <c r="H61" t="str">
        <f>"CUST ID:100074/PCT#3"</f>
        <v>CUST ID:100074/PCT#3</v>
      </c>
    </row>
    <row r="62" spans="1:8" x14ac:dyDescent="0.25">
      <c r="A62" t="s">
        <v>22</v>
      </c>
      <c r="B62">
        <v>83764</v>
      </c>
      <c r="C62" s="2">
        <v>999.88</v>
      </c>
      <c r="D62" s="1">
        <v>43717</v>
      </c>
      <c r="E62" t="str">
        <f>"958534431"</f>
        <v>958534431</v>
      </c>
      <c r="F62" t="str">
        <f>"INV 958534431"</f>
        <v>INV 958534431</v>
      </c>
      <c r="G62" s="2">
        <v>999.88</v>
      </c>
      <c r="H62" t="str">
        <f>"INV 958534431"</f>
        <v>INV 958534431</v>
      </c>
    </row>
    <row r="63" spans="1:8" x14ac:dyDescent="0.25">
      <c r="A63" t="s">
        <v>22</v>
      </c>
      <c r="B63">
        <v>83974</v>
      </c>
      <c r="C63" s="2">
        <v>2803.54</v>
      </c>
      <c r="D63" s="1">
        <v>43731</v>
      </c>
      <c r="E63" t="str">
        <f>"959400795 95940079"</f>
        <v>959400795 95940079</v>
      </c>
      <c r="F63" t="str">
        <f>"INV 959400795"</f>
        <v>INV 959400795</v>
      </c>
      <c r="G63" s="2">
        <v>2803.54</v>
      </c>
      <c r="H63" t="str">
        <f>"INV 959400795"</f>
        <v>INV 959400795</v>
      </c>
    </row>
    <row r="64" spans="1:8" x14ac:dyDescent="0.25">
      <c r="E64" t="str">
        <f>""</f>
        <v/>
      </c>
      <c r="F64" t="str">
        <f>""</f>
        <v/>
      </c>
      <c r="H64" t="str">
        <f>"INV 959400796"</f>
        <v>INV 959400796</v>
      </c>
    </row>
    <row r="65" spans="1:8" x14ac:dyDescent="0.25">
      <c r="A65" t="s">
        <v>23</v>
      </c>
      <c r="B65">
        <v>1352</v>
      </c>
      <c r="C65" s="2">
        <v>1165</v>
      </c>
      <c r="D65" s="1">
        <v>43718</v>
      </c>
      <c r="E65" t="str">
        <f>"201909041481"</f>
        <v>201909041481</v>
      </c>
      <c r="F65" t="str">
        <f>"19-19768"</f>
        <v>19-19768</v>
      </c>
      <c r="G65" s="2">
        <v>100</v>
      </c>
      <c r="H65" t="str">
        <f>"19-19768"</f>
        <v>19-19768</v>
      </c>
    </row>
    <row r="66" spans="1:8" x14ac:dyDescent="0.25">
      <c r="E66" t="str">
        <f>"201909041482"</f>
        <v>201909041482</v>
      </c>
      <c r="F66" t="str">
        <f>"19-19679"</f>
        <v>19-19679</v>
      </c>
      <c r="G66" s="2">
        <v>235</v>
      </c>
      <c r="H66" t="str">
        <f>"19-19679"</f>
        <v>19-19679</v>
      </c>
    </row>
    <row r="67" spans="1:8" x14ac:dyDescent="0.25">
      <c r="E67" t="str">
        <f>"201909041483"</f>
        <v>201909041483</v>
      </c>
      <c r="F67" t="str">
        <f>"18-19190"</f>
        <v>18-19190</v>
      </c>
      <c r="G67" s="2">
        <v>205</v>
      </c>
      <c r="H67" t="str">
        <f>"18-19190"</f>
        <v>18-19190</v>
      </c>
    </row>
    <row r="68" spans="1:8" x14ac:dyDescent="0.25">
      <c r="E68" t="str">
        <f>"201909041488"</f>
        <v>201909041488</v>
      </c>
      <c r="F68" t="str">
        <f>"02-0615-1   02-0615-2"</f>
        <v>02-0615-1   02-0615-2</v>
      </c>
      <c r="G68" s="2">
        <v>375</v>
      </c>
      <c r="H68" t="str">
        <f>"02-0615-1   02-0615-2"</f>
        <v>02-0615-1   02-0615-2</v>
      </c>
    </row>
    <row r="69" spans="1:8" x14ac:dyDescent="0.25">
      <c r="E69" t="str">
        <f>"201909041489"</f>
        <v>201909041489</v>
      </c>
      <c r="F69" t="str">
        <f>"02-0828-9"</f>
        <v>02-0828-9</v>
      </c>
      <c r="G69" s="2">
        <v>250</v>
      </c>
      <c r="H69" t="str">
        <f>"02-0828-9"</f>
        <v>02-0828-9</v>
      </c>
    </row>
    <row r="70" spans="1:8" x14ac:dyDescent="0.25">
      <c r="A70" t="s">
        <v>23</v>
      </c>
      <c r="B70">
        <v>1429</v>
      </c>
      <c r="C70" s="2">
        <v>4782.5</v>
      </c>
      <c r="D70" s="1">
        <v>43732</v>
      </c>
      <c r="E70" t="str">
        <f>"201909121722"</f>
        <v>201909121722</v>
      </c>
      <c r="F70" t="str">
        <f>"20180532"</f>
        <v>20180532</v>
      </c>
      <c r="G70" s="2">
        <v>400</v>
      </c>
      <c r="H70" t="str">
        <f>"20180532"</f>
        <v>20180532</v>
      </c>
    </row>
    <row r="71" spans="1:8" x14ac:dyDescent="0.25">
      <c r="E71" t="str">
        <f>"201909121723"</f>
        <v>201909121723</v>
      </c>
      <c r="F71" t="str">
        <f>"423-6783"</f>
        <v>423-6783</v>
      </c>
      <c r="G71" s="2">
        <v>100</v>
      </c>
      <c r="H71" t="str">
        <f>"423-6783"</f>
        <v>423-6783</v>
      </c>
    </row>
    <row r="72" spans="1:8" x14ac:dyDescent="0.25">
      <c r="E72" t="str">
        <f>"201909121724"</f>
        <v>201909121724</v>
      </c>
      <c r="F72" t="str">
        <f>"423-6776/1269-335/1266-21"</f>
        <v>423-6776/1269-335/1266-21</v>
      </c>
      <c r="G72" s="2">
        <v>300</v>
      </c>
      <c r="H72" t="str">
        <f>"423-6776/1269-335/1266-21"</f>
        <v>423-6776/1269-335/1266-21</v>
      </c>
    </row>
    <row r="73" spans="1:8" x14ac:dyDescent="0.25">
      <c r="E73" t="str">
        <f>"201909121725"</f>
        <v>201909121725</v>
      </c>
      <c r="F73" t="str">
        <f>"404304-4"</f>
        <v>404304-4</v>
      </c>
      <c r="G73" s="2">
        <v>400</v>
      </c>
      <c r="H73" t="str">
        <f>"404304-4"</f>
        <v>404304-4</v>
      </c>
    </row>
    <row r="74" spans="1:8" x14ac:dyDescent="0.25">
      <c r="E74" t="str">
        <f>"201909121726"</f>
        <v>201909121726</v>
      </c>
      <c r="F74" t="str">
        <f>"423-5732"</f>
        <v>423-5732</v>
      </c>
      <c r="G74" s="2">
        <v>330</v>
      </c>
      <c r="H74" t="str">
        <f>"423-5732"</f>
        <v>423-5732</v>
      </c>
    </row>
    <row r="75" spans="1:8" x14ac:dyDescent="0.25">
      <c r="E75" t="str">
        <f>"201909121727"</f>
        <v>201909121727</v>
      </c>
      <c r="F75" t="str">
        <f>"408186-5"</f>
        <v>408186-5</v>
      </c>
      <c r="G75" s="2">
        <v>400</v>
      </c>
      <c r="H75" t="str">
        <f>"408186-5"</f>
        <v>408186-5</v>
      </c>
    </row>
    <row r="76" spans="1:8" x14ac:dyDescent="0.25">
      <c r="E76" t="str">
        <f>"201909121728"</f>
        <v>201909121728</v>
      </c>
      <c r="F76" t="str">
        <f>"1232-21"</f>
        <v>1232-21</v>
      </c>
      <c r="G76" s="2">
        <v>100</v>
      </c>
      <c r="H76" t="str">
        <f>"1232-21"</f>
        <v>1232-21</v>
      </c>
    </row>
    <row r="77" spans="1:8" x14ac:dyDescent="0.25">
      <c r="E77" t="str">
        <f>"201909121729"</f>
        <v>201909121729</v>
      </c>
      <c r="F77" t="str">
        <f>"423-6445"</f>
        <v>423-6445</v>
      </c>
      <c r="G77" s="2">
        <v>295</v>
      </c>
      <c r="H77" t="str">
        <f>"423-6445"</f>
        <v>423-6445</v>
      </c>
    </row>
    <row r="78" spans="1:8" x14ac:dyDescent="0.25">
      <c r="E78" t="str">
        <f>"201909121731"</f>
        <v>201909121731</v>
      </c>
      <c r="F78" t="str">
        <f>"16 712"</f>
        <v>16 712</v>
      </c>
      <c r="G78" s="2">
        <v>400</v>
      </c>
      <c r="H78" t="str">
        <f>"16 712"</f>
        <v>16 712</v>
      </c>
    </row>
    <row r="79" spans="1:8" x14ac:dyDescent="0.25">
      <c r="E79" t="str">
        <f>"201909121732"</f>
        <v>201909121732</v>
      </c>
      <c r="F79" t="str">
        <f>"1271-21"</f>
        <v>1271-21</v>
      </c>
      <c r="G79" s="2">
        <v>100</v>
      </c>
      <c r="H79" t="str">
        <f>"1271-21"</f>
        <v>1271-21</v>
      </c>
    </row>
    <row r="80" spans="1:8" x14ac:dyDescent="0.25">
      <c r="E80" t="str">
        <f>"201909121733"</f>
        <v>201909121733</v>
      </c>
      <c r="F80" t="str">
        <f>"423-6784  1274-335"</f>
        <v>423-6784  1274-335</v>
      </c>
      <c r="G80" s="2">
        <v>200</v>
      </c>
      <c r="H80" t="str">
        <f>"423-6784  1274-335"</f>
        <v>423-6784  1274-335</v>
      </c>
    </row>
    <row r="81" spans="1:8" x14ac:dyDescent="0.25">
      <c r="E81" t="str">
        <f>"201909121734"</f>
        <v>201909121734</v>
      </c>
      <c r="F81" t="str">
        <f>"1272-21/423-6785/1275-335"</f>
        <v>1272-21/423-6785/1275-335</v>
      </c>
      <c r="G81" s="2">
        <v>300</v>
      </c>
      <c r="H81" t="str">
        <f>"1272-21/423-6785/1275-335"</f>
        <v>1272-21/423-6785/1275-335</v>
      </c>
    </row>
    <row r="82" spans="1:8" x14ac:dyDescent="0.25">
      <c r="E82" t="str">
        <f>"201909171822"</f>
        <v>201909171822</v>
      </c>
      <c r="F82" t="str">
        <f>"19-19704"</f>
        <v>19-19704</v>
      </c>
      <c r="G82" s="2">
        <v>562.5</v>
      </c>
      <c r="H82" t="str">
        <f>"19-19704"</f>
        <v>19-19704</v>
      </c>
    </row>
    <row r="83" spans="1:8" x14ac:dyDescent="0.25">
      <c r="E83" t="str">
        <f>"201909171836"</f>
        <v>201909171836</v>
      </c>
      <c r="F83" t="str">
        <f>"17-18392"</f>
        <v>17-18392</v>
      </c>
      <c r="G83" s="2">
        <v>217.5</v>
      </c>
      <c r="H83" t="str">
        <f>"17-18392"</f>
        <v>17-18392</v>
      </c>
    </row>
    <row r="84" spans="1:8" x14ac:dyDescent="0.25">
      <c r="E84" t="str">
        <f>"201909171837"</f>
        <v>201909171837</v>
      </c>
      <c r="F84" t="str">
        <f>"18-18966"</f>
        <v>18-18966</v>
      </c>
      <c r="G84" s="2">
        <v>392.5</v>
      </c>
      <c r="H84" t="str">
        <f>"18-18966"</f>
        <v>18-18966</v>
      </c>
    </row>
    <row r="85" spans="1:8" x14ac:dyDescent="0.25">
      <c r="E85" t="str">
        <f>"201909171838"</f>
        <v>201909171838</v>
      </c>
      <c r="F85" t="str">
        <f>"18-18974"</f>
        <v>18-18974</v>
      </c>
      <c r="G85" s="2">
        <v>82.5</v>
      </c>
      <c r="H85" t="str">
        <f>"18-18974"</f>
        <v>18-18974</v>
      </c>
    </row>
    <row r="86" spans="1:8" x14ac:dyDescent="0.25">
      <c r="E86" t="str">
        <f>"201909171839"</f>
        <v>201909171839</v>
      </c>
      <c r="F86" t="str">
        <f>"18-18876"</f>
        <v>18-18876</v>
      </c>
      <c r="G86" s="2">
        <v>202.5</v>
      </c>
      <c r="H86" t="str">
        <f>"18-18876"</f>
        <v>18-18876</v>
      </c>
    </row>
    <row r="87" spans="1:8" x14ac:dyDescent="0.25">
      <c r="A87" t="s">
        <v>24</v>
      </c>
      <c r="B87">
        <v>83765</v>
      </c>
      <c r="C87" s="2">
        <v>2526.3200000000002</v>
      </c>
      <c r="D87" s="1">
        <v>43717</v>
      </c>
      <c r="E87" t="str">
        <f>"43T044633"</f>
        <v>43T044633</v>
      </c>
      <c r="F87" t="str">
        <f>"INV 43T044633"</f>
        <v>INV 43T044633</v>
      </c>
      <c r="G87" s="2">
        <v>2526.3200000000002</v>
      </c>
      <c r="H87" t="str">
        <f>"INV 43T044633"</f>
        <v>INV 43T044633</v>
      </c>
    </row>
    <row r="88" spans="1:8" x14ac:dyDescent="0.25">
      <c r="A88" t="s">
        <v>25</v>
      </c>
      <c r="B88">
        <v>1424</v>
      </c>
      <c r="C88" s="2">
        <v>888</v>
      </c>
      <c r="D88" s="1">
        <v>43732</v>
      </c>
      <c r="E88" t="str">
        <f>"201909191961"</f>
        <v>201909191961</v>
      </c>
      <c r="F88" t="str">
        <f>"Classes"</f>
        <v>Classes</v>
      </c>
      <c r="G88" s="2">
        <v>888</v>
      </c>
      <c r="H88" t="str">
        <f>"Fire"</f>
        <v>Fire</v>
      </c>
    </row>
    <row r="89" spans="1:8" x14ac:dyDescent="0.25">
      <c r="E89" t="str">
        <f>""</f>
        <v/>
      </c>
      <c r="F89" t="str">
        <f>""</f>
        <v/>
      </c>
      <c r="H89" t="str">
        <f>"Law"</f>
        <v>Law</v>
      </c>
    </row>
    <row r="90" spans="1:8" x14ac:dyDescent="0.25">
      <c r="A90" t="s">
        <v>26</v>
      </c>
      <c r="B90">
        <v>83766</v>
      </c>
      <c r="C90" s="2">
        <v>50.96</v>
      </c>
      <c r="D90" s="1">
        <v>43717</v>
      </c>
      <c r="E90" t="str">
        <f>"1908-456370"</f>
        <v>1908-456370</v>
      </c>
      <c r="F90" t="str">
        <f>"ACCT#3-3053/PCT#2"</f>
        <v>ACCT#3-3053/PCT#2</v>
      </c>
      <c r="G90" s="2">
        <v>50.96</v>
      </c>
      <c r="H90" t="str">
        <f>"ACCT#3-3053/PCT#2"</f>
        <v>ACCT#3-3053/PCT#2</v>
      </c>
    </row>
    <row r="91" spans="1:8" x14ac:dyDescent="0.25">
      <c r="A91" t="s">
        <v>27</v>
      </c>
      <c r="B91">
        <v>83767</v>
      </c>
      <c r="C91" s="2">
        <v>1261.53</v>
      </c>
      <c r="D91" s="1">
        <v>43717</v>
      </c>
      <c r="E91" t="str">
        <f>"201909031388"</f>
        <v>201909031388</v>
      </c>
      <c r="F91" t="str">
        <f>"ACCT#015538/EMER COMM"</f>
        <v>ACCT#015538/EMER COMM</v>
      </c>
      <c r="G91" s="2">
        <v>120.74</v>
      </c>
      <c r="H91" t="str">
        <f>"ACCT#015538/EMER COMM"</f>
        <v>ACCT#015538/EMER COMM</v>
      </c>
    </row>
    <row r="92" spans="1:8" x14ac:dyDescent="0.25">
      <c r="E92" t="str">
        <f>"201909031389"</f>
        <v>201909031389</v>
      </c>
      <c r="F92" t="str">
        <f>"ACCT#010602/COMMISSIONER OFF"</f>
        <v>ACCT#010602/COMMISSIONER OFF</v>
      </c>
      <c r="G92" s="2">
        <v>54</v>
      </c>
      <c r="H92" t="str">
        <f>"ACCT#010602/COMMISSIONER OFF"</f>
        <v>ACCT#010602/COMMISSIONER OFF</v>
      </c>
    </row>
    <row r="93" spans="1:8" x14ac:dyDescent="0.25">
      <c r="E93" t="str">
        <f>"201909031390"</f>
        <v>201909031390</v>
      </c>
      <c r="F93" t="str">
        <f>"ACCT#010238/GEN SVCS"</f>
        <v>ACCT#010238/GEN SVCS</v>
      </c>
      <c r="G93" s="2">
        <v>81.239999999999995</v>
      </c>
      <c r="H93" t="str">
        <f>"ACCT#010238/GEN SVCS"</f>
        <v>ACCT#010238/GEN SVCS</v>
      </c>
    </row>
    <row r="94" spans="1:8" x14ac:dyDescent="0.25">
      <c r="E94" t="str">
        <f>"201909031391"</f>
        <v>201909031391</v>
      </c>
      <c r="F94" t="str">
        <f>"ACCT#010057/AUDITOR"</f>
        <v>ACCT#010057/AUDITOR</v>
      </c>
      <c r="G94" s="2">
        <v>60.6</v>
      </c>
      <c r="H94" t="str">
        <f>"ACCT#010057/AUDITOR"</f>
        <v>ACCT#010057/AUDITOR</v>
      </c>
    </row>
    <row r="95" spans="1:8" x14ac:dyDescent="0.25">
      <c r="E95" t="str">
        <f>"201909031392"</f>
        <v>201909031392</v>
      </c>
      <c r="F95" t="str">
        <f>"ACCT#010311/CNTY COURT AT LAW"</f>
        <v>ACCT#010311/CNTY COURT AT LAW</v>
      </c>
      <c r="G95" s="2">
        <v>31.5</v>
      </c>
      <c r="H95" t="str">
        <f>"ACCT#010311/CNTY COURT AT LAW"</f>
        <v>ACCT#010311/CNTY COURT AT LAW</v>
      </c>
    </row>
    <row r="96" spans="1:8" x14ac:dyDescent="0.25">
      <c r="E96" t="str">
        <f>"201909031393"</f>
        <v>201909031393</v>
      </c>
      <c r="F96" t="str">
        <f>"ACCT#014877/INDIGENT HLTH"</f>
        <v>ACCT#014877/INDIGENT HLTH</v>
      </c>
      <c r="G96" s="2">
        <v>41.99</v>
      </c>
      <c r="H96" t="str">
        <f>"ACCT#014877/INDIGENT HLTH"</f>
        <v>ACCT#014877/INDIGENT HLTH</v>
      </c>
    </row>
    <row r="97" spans="1:8" x14ac:dyDescent="0.25">
      <c r="E97" t="str">
        <f>"201909031397"</f>
        <v>201909031397</v>
      </c>
      <c r="F97" t="str">
        <f>"ACCT#011033/IT DEPT"</f>
        <v>ACCT#011033/IT DEPT</v>
      </c>
      <c r="G97" s="2">
        <v>90</v>
      </c>
      <c r="H97" t="str">
        <f>"ACCT#011033/IT DEPT"</f>
        <v>ACCT#011033/IT DEPT</v>
      </c>
    </row>
    <row r="98" spans="1:8" x14ac:dyDescent="0.25">
      <c r="E98" t="str">
        <f>"201909031399"</f>
        <v>201909031399</v>
      </c>
      <c r="F98" t="str">
        <f>"ACCT#015476/PURCHASING"</f>
        <v>ACCT#015476/PURCHASING</v>
      </c>
      <c r="G98" s="2">
        <v>25.49</v>
      </c>
      <c r="H98" t="str">
        <f>"ACCT#015476/PURCHASING"</f>
        <v>ACCT#015476/PURCHASING</v>
      </c>
    </row>
    <row r="99" spans="1:8" x14ac:dyDescent="0.25">
      <c r="E99" t="str">
        <f>"201909031400"</f>
        <v>201909031400</v>
      </c>
      <c r="F99" t="str">
        <f>"ACCT#011474/ELECTIONS"</f>
        <v>ACCT#011474/ELECTIONS</v>
      </c>
      <c r="G99" s="2">
        <v>255</v>
      </c>
      <c r="H99" t="str">
        <f>"ACCT#011474/ELECTIONS"</f>
        <v>ACCT#011474/ELECTIONS</v>
      </c>
    </row>
    <row r="100" spans="1:8" x14ac:dyDescent="0.25">
      <c r="E100" t="str">
        <f>"201909031401"</f>
        <v>201909031401</v>
      </c>
      <c r="F100" t="str">
        <f>"ACCT#012803/CO JUDGE"</f>
        <v>ACCT#012803/CO JUDGE</v>
      </c>
      <c r="G100" s="2">
        <v>9</v>
      </c>
      <c r="H100" t="str">
        <f>"ACCT#012803/CO JUDGE"</f>
        <v>ACCT#012803/CO JUDGE</v>
      </c>
    </row>
    <row r="101" spans="1:8" x14ac:dyDescent="0.25">
      <c r="E101" t="str">
        <f>"201909031402"</f>
        <v>201909031402</v>
      </c>
      <c r="F101" t="str">
        <f>"ACCT#011955/DISTRICT JUDGE"</f>
        <v>ACCT#011955/DISTRICT JUDGE</v>
      </c>
      <c r="G101" s="2">
        <v>69</v>
      </c>
      <c r="H101" t="str">
        <f>"ACCT#011955/DISTRICT JUDGE"</f>
        <v>ACCT#011955/DISTRICT JUDGE</v>
      </c>
    </row>
    <row r="102" spans="1:8" x14ac:dyDescent="0.25">
      <c r="E102" t="str">
        <f>"201909031403"</f>
        <v>201909031403</v>
      </c>
      <c r="F102" t="str">
        <f>"ACCT#012231/DIST JUDGE"</f>
        <v>ACCT#012231/DIST JUDGE</v>
      </c>
      <c r="G102" s="2">
        <v>10</v>
      </c>
      <c r="H102" t="str">
        <f>"ACCT#012231/DIST JUDGE"</f>
        <v>ACCT#012231/DIST JUDGE</v>
      </c>
    </row>
    <row r="103" spans="1:8" x14ac:dyDescent="0.25">
      <c r="E103" t="str">
        <f>"201909041430"</f>
        <v>201909041430</v>
      </c>
      <c r="F103" t="str">
        <f>"ACCT#011280/COUNTY CLERK"</f>
        <v>ACCT#011280/COUNTY CLERK</v>
      </c>
      <c r="G103" s="2">
        <v>54</v>
      </c>
      <c r="H103" t="str">
        <f>"ACCT#011280/COUNTY CLERK"</f>
        <v>ACCT#011280/COUNTY CLERK</v>
      </c>
    </row>
    <row r="104" spans="1:8" x14ac:dyDescent="0.25">
      <c r="E104" t="str">
        <f>"201909041431"</f>
        <v>201909041431</v>
      </c>
      <c r="F104" t="str">
        <f>"ACCT#013393/HUMAN RESOURCES"</f>
        <v>ACCT#013393/HUMAN RESOURCES</v>
      </c>
      <c r="G104" s="2">
        <v>32.5</v>
      </c>
      <c r="H104" t="str">
        <f>"ACCT#013393/HUMAN RESOURCES"</f>
        <v>ACCT#013393/HUMAN RESOURCES</v>
      </c>
    </row>
    <row r="105" spans="1:8" x14ac:dyDescent="0.25">
      <c r="E105" t="str">
        <f>"201909041432"</f>
        <v>201909041432</v>
      </c>
      <c r="F105" t="str">
        <f>"ACCT#015199/JP#1"</f>
        <v>ACCT#015199/JP#1</v>
      </c>
      <c r="G105" s="2">
        <v>32.99</v>
      </c>
      <c r="H105" t="str">
        <f>"ACCT#015199/JP#1"</f>
        <v>ACCT#015199/JP#1</v>
      </c>
    </row>
    <row r="106" spans="1:8" x14ac:dyDescent="0.25">
      <c r="E106" t="str">
        <f>"201909041433"</f>
        <v>201909041433</v>
      </c>
      <c r="F106" t="str">
        <f>"ACCT#010149/AGRI LIFE EXT"</f>
        <v>ACCT#010149/AGRI LIFE EXT</v>
      </c>
      <c r="G106" s="2">
        <v>52.49</v>
      </c>
      <c r="H106" t="str">
        <f>"ACCT#010149/AGRI LIFE EXT"</f>
        <v>ACCT#010149/AGRI LIFE EXT</v>
      </c>
    </row>
    <row r="107" spans="1:8" x14ac:dyDescent="0.25">
      <c r="E107" t="str">
        <f>"201909041437"</f>
        <v>201909041437</v>
      </c>
      <c r="F107" t="str">
        <f>"ACCT#014737/ANIMAL SVC"</f>
        <v>ACCT#014737/ANIMAL SVC</v>
      </c>
      <c r="G107" s="2">
        <v>74.489999999999995</v>
      </c>
      <c r="H107" t="str">
        <f>"ACCT#014737/ANIMAL SVC"</f>
        <v>ACCT#014737/ANIMAL SVC</v>
      </c>
    </row>
    <row r="108" spans="1:8" x14ac:dyDescent="0.25">
      <c r="E108" t="str">
        <f>"201909041443"</f>
        <v>201909041443</v>
      </c>
      <c r="F108" t="str">
        <f>"ACCT#012259/DISTRICT CLERK"</f>
        <v>ACCT#012259/DISTRICT CLERK</v>
      </c>
      <c r="G108" s="2">
        <v>84</v>
      </c>
      <c r="H108" t="str">
        <f>"ACCT#012259/DISTRICT CLERK"</f>
        <v>ACCT#012259/DISTRICT CLERK</v>
      </c>
    </row>
    <row r="109" spans="1:8" x14ac:dyDescent="0.25">
      <c r="E109" t="str">
        <f>"201909041514"</f>
        <v>201909041514</v>
      </c>
      <c r="F109" t="str">
        <f>"ACCT#012260/DISTRICT ATTORNEY"</f>
        <v>ACCT#012260/DISTRICT ATTORNEY</v>
      </c>
      <c r="G109" s="2">
        <v>82.5</v>
      </c>
      <c r="H109" t="str">
        <f>"ACCT#012260/DISTRICT ATTORNEY"</f>
        <v>ACCT#012260/DISTRICT ATTORNEY</v>
      </c>
    </row>
    <row r="110" spans="1:8" x14ac:dyDescent="0.25">
      <c r="A110" t="s">
        <v>27</v>
      </c>
      <c r="B110">
        <v>83975</v>
      </c>
      <c r="C110" s="2">
        <v>24</v>
      </c>
      <c r="D110" s="1">
        <v>43731</v>
      </c>
      <c r="E110" t="str">
        <f>"201909111640"</f>
        <v>201909111640</v>
      </c>
      <c r="F110" t="str">
        <f>"ACCT#012571/TREASURER"</f>
        <v>ACCT#012571/TREASURER</v>
      </c>
      <c r="G110" s="2">
        <v>24</v>
      </c>
      <c r="H110" t="str">
        <f>"ACCT#012571/TREASURER"</f>
        <v>ACCT#012571/TREASURER</v>
      </c>
    </row>
    <row r="111" spans="1:8" x14ac:dyDescent="0.25">
      <c r="A111" t="s">
        <v>28</v>
      </c>
      <c r="B111">
        <v>83752</v>
      </c>
      <c r="C111" s="2">
        <v>55.97</v>
      </c>
      <c r="D111" s="1">
        <v>43714</v>
      </c>
      <c r="E111" t="str">
        <f>"201909061543"</f>
        <v>201909061543</v>
      </c>
      <c r="F111" t="str">
        <f>"ACCT#0201855301 / 09052019"</f>
        <v>ACCT#0201855301 / 09052019</v>
      </c>
      <c r="G111" s="2">
        <v>30.69</v>
      </c>
      <c r="H111" t="str">
        <f>"ACCT#0201855301 / 09052019"</f>
        <v>ACCT#0201855301 / 09052019</v>
      </c>
    </row>
    <row r="112" spans="1:8" x14ac:dyDescent="0.25">
      <c r="E112" t="str">
        <f>"201909061544"</f>
        <v>201909061544</v>
      </c>
      <c r="F112" t="str">
        <f>"ACCT#0201891401 / 09052019"</f>
        <v>ACCT#0201891401 / 09052019</v>
      </c>
      <c r="G112" s="2">
        <v>25.28</v>
      </c>
      <c r="H112" t="str">
        <f>"ACCT#0201891401 / 09052019"</f>
        <v>ACCT#0201891401 / 09052019</v>
      </c>
    </row>
    <row r="113" spans="1:8" x14ac:dyDescent="0.25">
      <c r="A113" t="s">
        <v>28</v>
      </c>
      <c r="B113">
        <v>83768</v>
      </c>
      <c r="C113" s="2">
        <v>1081.8800000000001</v>
      </c>
      <c r="D113" s="1">
        <v>43717</v>
      </c>
      <c r="E113" t="str">
        <f>"201908281326"</f>
        <v>201908281326</v>
      </c>
      <c r="F113" t="str">
        <f>"ACCT#7700010026/69LDS WATER/P3"</f>
        <v>ACCT#7700010026/69LDS WATER/P3</v>
      </c>
      <c r="G113" s="2">
        <v>707.25</v>
      </c>
      <c r="H113" t="str">
        <f>"ACCT#7700010026/69LDS WATER/P3"</f>
        <v>ACCT#7700010026/69LDS WATER/P3</v>
      </c>
    </row>
    <row r="114" spans="1:8" x14ac:dyDescent="0.25">
      <c r="E114" t="str">
        <f>"201909041450"</f>
        <v>201909041450</v>
      </c>
      <c r="F114" t="str">
        <f>"ACCT#7700010019/METER#83799902"</f>
        <v>ACCT#7700010019/METER#83799902</v>
      </c>
      <c r="G114" s="2">
        <v>374.63</v>
      </c>
      <c r="H114" t="str">
        <f>"ACCT#7700010019/METER#83799902"</f>
        <v>ACCT#7700010019/METER#83799902</v>
      </c>
    </row>
    <row r="115" spans="1:8" x14ac:dyDescent="0.25">
      <c r="A115" t="s">
        <v>28</v>
      </c>
      <c r="B115">
        <v>83976</v>
      </c>
      <c r="C115" s="2">
        <v>2296</v>
      </c>
      <c r="D115" s="1">
        <v>43731</v>
      </c>
      <c r="E115" t="str">
        <f>"201909111658"</f>
        <v>201909111658</v>
      </c>
      <c r="F115" t="str">
        <f>"ACCT#7700010025/44 LDS WATER"</f>
        <v>ACCT#7700010025/44 LDS WATER</v>
      </c>
      <c r="G115" s="2">
        <v>451</v>
      </c>
      <c r="H115" t="str">
        <f>"ACCT#7700010025/44 LDS WATER"</f>
        <v>ACCT#7700010025/44 LDS WATER</v>
      </c>
    </row>
    <row r="116" spans="1:8" x14ac:dyDescent="0.25">
      <c r="E116" t="str">
        <f>"201909111660"</f>
        <v>201909111660</v>
      </c>
      <c r="F116" t="str">
        <f>"ACCT#7700010026/160 LDS WATER"</f>
        <v>ACCT#7700010026/160 LDS WATER</v>
      </c>
      <c r="G116" s="2">
        <v>1640</v>
      </c>
      <c r="H116" t="str">
        <f>"ACCT#7700010026/160 LDS WATER"</f>
        <v>ACCT#7700010026/160 LDS WATER</v>
      </c>
    </row>
    <row r="117" spans="1:8" x14ac:dyDescent="0.25">
      <c r="E117" t="str">
        <f>"201909121662"</f>
        <v>201909121662</v>
      </c>
      <c r="F117" t="str">
        <f>"ACCT#7700010027/12LDS WTR/P4"</f>
        <v>ACCT#7700010027/12LDS WTR/P4</v>
      </c>
      <c r="G117" s="2">
        <v>205</v>
      </c>
      <c r="H117" t="str">
        <f>"ACCT#7700010027/12LDS WTR/P4"</f>
        <v>ACCT#7700010027/12LDS WTR/P4</v>
      </c>
    </row>
    <row r="118" spans="1:8" x14ac:dyDescent="0.25">
      <c r="A118" t="s">
        <v>28</v>
      </c>
      <c r="B118">
        <v>84149</v>
      </c>
      <c r="C118" s="2">
        <v>2616.35</v>
      </c>
      <c r="D118" s="1">
        <v>43735</v>
      </c>
      <c r="E118" t="str">
        <f>"201909272032"</f>
        <v>201909272032</v>
      </c>
      <c r="F118" t="str">
        <f>"ACCT#0102120801 / 09202019"</f>
        <v>ACCT#0102120801 / 09202019</v>
      </c>
      <c r="G118" s="2">
        <v>577.25</v>
      </c>
      <c r="H118" t="str">
        <f>"ACCT#0102120801 / 09202019"</f>
        <v>ACCT#0102120801 / 09202019</v>
      </c>
    </row>
    <row r="119" spans="1:8" x14ac:dyDescent="0.25">
      <c r="E119" t="str">
        <f>"201909272033"</f>
        <v>201909272033</v>
      </c>
      <c r="F119" t="str">
        <f>"ACCT#0400785803 / 09202019"</f>
        <v>ACCT#0400785803 / 09202019</v>
      </c>
      <c r="G119" s="2">
        <v>794.35</v>
      </c>
      <c r="H119" t="str">
        <f>"ACCT#0400785803 / 09202019"</f>
        <v>ACCT#0400785803 / 09202019</v>
      </c>
    </row>
    <row r="120" spans="1:8" x14ac:dyDescent="0.25">
      <c r="E120" t="str">
        <f>"201909272034"</f>
        <v>201909272034</v>
      </c>
      <c r="F120" t="str">
        <f>"ACCT#0401408501 / 09202019"</f>
        <v>ACCT#0401408501 / 09202019</v>
      </c>
      <c r="G120" s="2">
        <v>1200.51</v>
      </c>
      <c r="H120" t="str">
        <f>"ACCT#0401408501 / 09202019"</f>
        <v>ACCT#0401408501 / 09202019</v>
      </c>
    </row>
    <row r="121" spans="1:8" x14ac:dyDescent="0.25">
      <c r="E121" t="str">
        <f>"201909272035"</f>
        <v>201909272035</v>
      </c>
      <c r="F121" t="str">
        <f>"ACCT#0800042801 / 09202019"</f>
        <v>ACCT#0800042801 / 09202019</v>
      </c>
      <c r="G121" s="2">
        <v>44.24</v>
      </c>
      <c r="H121" t="str">
        <f>"ACCT#0800042801 / 09202019"</f>
        <v>ACCT#0800042801 / 09202019</v>
      </c>
    </row>
    <row r="122" spans="1:8" x14ac:dyDescent="0.25">
      <c r="A122" t="s">
        <v>29</v>
      </c>
      <c r="B122">
        <v>83977</v>
      </c>
      <c r="C122" s="2">
        <v>4750</v>
      </c>
      <c r="D122" s="1">
        <v>43731</v>
      </c>
      <c r="E122" t="str">
        <f>"201909171880"</f>
        <v>201909171880</v>
      </c>
      <c r="F122" t="str">
        <f>"Historic Architecture"</f>
        <v>Historic Architecture</v>
      </c>
      <c r="G122" s="2">
        <v>4750</v>
      </c>
      <c r="H122" t="str">
        <f>"Historic Architecture"</f>
        <v>Historic Architecture</v>
      </c>
    </row>
    <row r="123" spans="1:8" x14ac:dyDescent="0.25">
      <c r="A123" t="s">
        <v>30</v>
      </c>
      <c r="B123">
        <v>1305</v>
      </c>
      <c r="C123" s="2">
        <v>10866.19</v>
      </c>
      <c r="D123" s="1">
        <v>43718</v>
      </c>
      <c r="E123" t="str">
        <f>"14898"</f>
        <v>14898</v>
      </c>
      <c r="F123" t="str">
        <f>"PROJ NAME:BC JULY ADV"</f>
        <v>PROJ NAME:BC JULY ADV</v>
      </c>
      <c r="G123" s="2">
        <v>9116.19</v>
      </c>
      <c r="H123" t="str">
        <f>"PROJ NAME:BC JULY ADV"</f>
        <v>PROJ NAME:BC JULY ADV</v>
      </c>
    </row>
    <row r="124" spans="1:8" x14ac:dyDescent="0.25">
      <c r="E124" t="str">
        <f>"14899"</f>
        <v>14899</v>
      </c>
      <c r="F124" t="str">
        <f>"PROJ NAME:BC JULY PROSERV"</f>
        <v>PROJ NAME:BC JULY PROSERV</v>
      </c>
      <c r="G124" s="2">
        <v>1750</v>
      </c>
      <c r="H124" t="str">
        <f>"PROJ NAME:BC JULY PROSERV"</f>
        <v>PROJ NAME:BC JULY PROSERV</v>
      </c>
    </row>
    <row r="125" spans="1:8" x14ac:dyDescent="0.25">
      <c r="A125" t="s">
        <v>30</v>
      </c>
      <c r="B125">
        <v>1379</v>
      </c>
      <c r="C125" s="2">
        <v>11727.65</v>
      </c>
      <c r="D125" s="1">
        <v>43732</v>
      </c>
      <c r="E125" t="str">
        <f>"14910"</f>
        <v>14910</v>
      </c>
      <c r="F125" t="str">
        <f>"PROJ NAME:BC AUG ADV"</f>
        <v>PROJ NAME:BC AUG ADV</v>
      </c>
      <c r="G125" s="2">
        <v>5602.65</v>
      </c>
      <c r="H125" t="str">
        <f>"PROJ NAME:BC AUG ADV"</f>
        <v>PROJ NAME:BC AUG ADV</v>
      </c>
    </row>
    <row r="126" spans="1:8" x14ac:dyDescent="0.25">
      <c r="E126" t="str">
        <f>"14911"</f>
        <v>14911</v>
      </c>
      <c r="F126" t="str">
        <f>"PROJ NAME:BC AUG PRO SERV"</f>
        <v>PROJ NAME:BC AUG PRO SERV</v>
      </c>
      <c r="G126" s="2">
        <v>1275</v>
      </c>
      <c r="H126" t="str">
        <f>"PROJ NAME:BC AUG PRO SERV"</f>
        <v>PROJ NAME:BC AUG PRO SERV</v>
      </c>
    </row>
    <row r="127" spans="1:8" x14ac:dyDescent="0.25">
      <c r="E127" t="str">
        <f>"14922"</f>
        <v>14922</v>
      </c>
      <c r="F127" t="str">
        <f>"PROJ NAME:BASTROP EDC VIDEO"</f>
        <v>PROJ NAME:BASTROP EDC VIDEO</v>
      </c>
      <c r="G127" s="2">
        <v>2000</v>
      </c>
      <c r="H127" t="str">
        <f>"PROJ NAME:BASTROP EDC VIDEO"</f>
        <v>PROJ NAME:BASTROP EDC VIDEO</v>
      </c>
    </row>
    <row r="128" spans="1:8" x14ac:dyDescent="0.25">
      <c r="E128" t="str">
        <f>"14923"</f>
        <v>14923</v>
      </c>
      <c r="F128" t="str">
        <f>"PROJ NAME:BASTROP EDC PRO SERV"</f>
        <v>PROJ NAME:BASTROP EDC PRO SERV</v>
      </c>
      <c r="G128" s="2">
        <v>2850</v>
      </c>
      <c r="H128" t="str">
        <f>"PROJ NAME:BASTROP EDC PRO SERV"</f>
        <v>PROJ NAME:BASTROP EDC PRO SERV</v>
      </c>
    </row>
    <row r="129" spans="1:8" x14ac:dyDescent="0.25">
      <c r="A129" t="s">
        <v>31</v>
      </c>
      <c r="B129">
        <v>83769</v>
      </c>
      <c r="C129" s="2">
        <v>6003.91</v>
      </c>
      <c r="D129" s="1">
        <v>43717</v>
      </c>
      <c r="E129" t="str">
        <f>"201908281321"</f>
        <v>201908281321</v>
      </c>
      <c r="F129" t="str">
        <f>"ACCT#512A49-0048 193 3"</f>
        <v>ACCT#512A49-0048 193 3</v>
      </c>
      <c r="G129" s="2">
        <v>5482.34</v>
      </c>
      <c r="H129" t="str">
        <f>"ACCT#512A49-0048 193 3"</f>
        <v>ACCT#512A49-0048 193 3</v>
      </c>
    </row>
    <row r="130" spans="1:8" x14ac:dyDescent="0.25">
      <c r="E130" t="str">
        <f>""</f>
        <v/>
      </c>
      <c r="F130" t="str">
        <f>""</f>
        <v/>
      </c>
      <c r="H130" t="str">
        <f>"ACCT#512A49-0048 193 3"</f>
        <v>ACCT#512A49-0048 193 3</v>
      </c>
    </row>
    <row r="131" spans="1:8" x14ac:dyDescent="0.25">
      <c r="E131" t="str">
        <f>""</f>
        <v/>
      </c>
      <c r="F131" t="str">
        <f>""</f>
        <v/>
      </c>
      <c r="H131" t="str">
        <f>"ACCT#512A49-0048 193 3"</f>
        <v>ACCT#512A49-0048 193 3</v>
      </c>
    </row>
    <row r="132" spans="1:8" x14ac:dyDescent="0.25">
      <c r="E132" t="str">
        <f>""</f>
        <v/>
      </c>
      <c r="F132" t="str">
        <f>""</f>
        <v/>
      </c>
      <c r="H132" t="str">
        <f>"ACCT#512A49-0048 193 3"</f>
        <v>ACCT#512A49-0048 193 3</v>
      </c>
    </row>
    <row r="133" spans="1:8" x14ac:dyDescent="0.25">
      <c r="E133" t="str">
        <f>"201909031404"</f>
        <v>201909031404</v>
      </c>
      <c r="F133" t="str">
        <f>"ACCT#512 308-9870 530 7"</f>
        <v>ACCT#512 308-9870 530 7</v>
      </c>
      <c r="G133" s="2">
        <v>521.57000000000005</v>
      </c>
      <c r="H133" t="str">
        <f>"ACCT#512 308-9870 530 7"</f>
        <v>ACCT#512 308-9870 530 7</v>
      </c>
    </row>
    <row r="134" spans="1:8" x14ac:dyDescent="0.25">
      <c r="A134" t="s">
        <v>31</v>
      </c>
      <c r="B134">
        <v>83770</v>
      </c>
      <c r="C134" s="2">
        <v>4559.32</v>
      </c>
      <c r="D134" s="1">
        <v>43717</v>
      </c>
      <c r="E134" t="str">
        <f>"0528859400"</f>
        <v>0528859400</v>
      </c>
      <c r="F134" t="str">
        <f>"ACCT#831-000-6084 095"</f>
        <v>ACCT#831-000-6084 095</v>
      </c>
      <c r="G134" s="2">
        <v>1684.69</v>
      </c>
      <c r="H134" t="str">
        <f>"ACCT#831-000-6084 095"</f>
        <v>ACCT#831-000-6084 095</v>
      </c>
    </row>
    <row r="135" spans="1:8" x14ac:dyDescent="0.25">
      <c r="E135" t="str">
        <f>"09388889401"</f>
        <v>09388889401</v>
      </c>
      <c r="F135" t="str">
        <f>"ACCT#831-000-7218 923"</f>
        <v>ACCT#831-000-7218 923</v>
      </c>
      <c r="G135" s="2">
        <v>874.25</v>
      </c>
      <c r="H135" t="str">
        <f>"ACCT#831-000-7218 923"</f>
        <v>ACCT#831-000-7218 923</v>
      </c>
    </row>
    <row r="136" spans="1:8" x14ac:dyDescent="0.25">
      <c r="E136" t="str">
        <f>"3757200501"</f>
        <v>3757200501</v>
      </c>
      <c r="F136" t="str">
        <f>"ACCT#831-000-7919 623"</f>
        <v>ACCT#831-000-7919 623</v>
      </c>
      <c r="G136" s="2">
        <v>2000.38</v>
      </c>
      <c r="H136" t="str">
        <f>"ACCT#831-000-7919 623"</f>
        <v>ACCT#831-000-7919 623</v>
      </c>
    </row>
    <row r="137" spans="1:8" x14ac:dyDescent="0.25">
      <c r="A137" t="s">
        <v>31</v>
      </c>
      <c r="B137">
        <v>83978</v>
      </c>
      <c r="C137" s="2">
        <v>1812.69</v>
      </c>
      <c r="D137" s="1">
        <v>43731</v>
      </c>
      <c r="E137" t="str">
        <f>"201909181920"</f>
        <v>201909181920</v>
      </c>
      <c r="F137" t="str">
        <f>"512 303-1080 238 5"</f>
        <v>512 303-1080 238 5</v>
      </c>
      <c r="G137" s="2">
        <v>1812.69</v>
      </c>
      <c r="H137" t="str">
        <f>"512 303-1080 - LE"</f>
        <v>512 303-1080 - LE</v>
      </c>
    </row>
    <row r="138" spans="1:8" x14ac:dyDescent="0.25">
      <c r="E138" t="str">
        <f>""</f>
        <v/>
      </c>
      <c r="F138" t="str">
        <f>""</f>
        <v/>
      </c>
      <c r="H138" t="str">
        <f>"512 303-1080 - JAIL"</f>
        <v>512 303-1080 - JAIL</v>
      </c>
    </row>
    <row r="139" spans="1:8" x14ac:dyDescent="0.25">
      <c r="A139" t="s">
        <v>32</v>
      </c>
      <c r="B139">
        <v>83771</v>
      </c>
      <c r="C139" s="2">
        <v>2667</v>
      </c>
      <c r="D139" s="1">
        <v>43717</v>
      </c>
      <c r="E139" t="str">
        <f>"287290524359X08272"</f>
        <v>287290524359X08272</v>
      </c>
      <c r="F139" t="str">
        <f>"ACCT#287290524359"</f>
        <v>ACCT#287290524359</v>
      </c>
      <c r="G139" s="2">
        <v>2667</v>
      </c>
      <c r="H139" t="str">
        <f t="shared" ref="H139:H144" si="0">"ACCT#287290524359"</f>
        <v>ACCT#287290524359</v>
      </c>
    </row>
    <row r="140" spans="1:8" x14ac:dyDescent="0.25">
      <c r="E140" t="str">
        <f>""</f>
        <v/>
      </c>
      <c r="F140" t="str">
        <f>""</f>
        <v/>
      </c>
      <c r="H140" t="str">
        <f t="shared" si="0"/>
        <v>ACCT#287290524359</v>
      </c>
    </row>
    <row r="141" spans="1:8" x14ac:dyDescent="0.25">
      <c r="E141" t="str">
        <f>""</f>
        <v/>
      </c>
      <c r="F141" t="str">
        <f>""</f>
        <v/>
      </c>
      <c r="H141" t="str">
        <f t="shared" si="0"/>
        <v>ACCT#287290524359</v>
      </c>
    </row>
    <row r="142" spans="1:8" x14ac:dyDescent="0.25">
      <c r="E142" t="str">
        <f>""</f>
        <v/>
      </c>
      <c r="F142" t="str">
        <f>""</f>
        <v/>
      </c>
      <c r="H142" t="str">
        <f t="shared" si="0"/>
        <v>ACCT#287290524359</v>
      </c>
    </row>
    <row r="143" spans="1:8" x14ac:dyDescent="0.25">
      <c r="E143" t="str">
        <f>""</f>
        <v/>
      </c>
      <c r="F143" t="str">
        <f>""</f>
        <v/>
      </c>
      <c r="H143" t="str">
        <f t="shared" si="0"/>
        <v>ACCT#287290524359</v>
      </c>
    </row>
    <row r="144" spans="1:8" x14ac:dyDescent="0.25">
      <c r="E144" t="str">
        <f>""</f>
        <v/>
      </c>
      <c r="F144" t="str">
        <f>""</f>
        <v/>
      </c>
      <c r="H144" t="str">
        <f t="shared" si="0"/>
        <v>ACCT#287290524359</v>
      </c>
    </row>
    <row r="145" spans="1:8" x14ac:dyDescent="0.25">
      <c r="A145" t="s">
        <v>33</v>
      </c>
      <c r="B145">
        <v>83979</v>
      </c>
      <c r="C145" s="2">
        <v>96.83</v>
      </c>
      <c r="D145" s="1">
        <v>43731</v>
      </c>
      <c r="E145" t="str">
        <f>"201909111639"</f>
        <v>201909111639</v>
      </c>
      <c r="F145" t="str">
        <f>"ACCT#826392401/COUNTY DPS"</f>
        <v>ACCT#826392401/COUNTY DPS</v>
      </c>
      <c r="G145" s="2">
        <v>96.83</v>
      </c>
      <c r="H145" t="str">
        <f>"ACCT#826392401/COUNTY DPS"</f>
        <v>ACCT#826392401/COUNTY DPS</v>
      </c>
    </row>
    <row r="146" spans="1:8" x14ac:dyDescent="0.25">
      <c r="A146" t="s">
        <v>34</v>
      </c>
      <c r="B146">
        <v>1403</v>
      </c>
      <c r="C146" s="2">
        <v>253.58</v>
      </c>
      <c r="D146" s="1">
        <v>43732</v>
      </c>
      <c r="E146" t="str">
        <f>"95162"</f>
        <v>95162</v>
      </c>
      <c r="F146" t="str">
        <f>"WK ORD#19904/PCT#3"</f>
        <v>WK ORD#19904/PCT#3</v>
      </c>
      <c r="G146" s="2">
        <v>253.58</v>
      </c>
      <c r="H146" t="str">
        <f>"WK ORD#19904/PCT#3"</f>
        <v>WK ORD#19904/PCT#3</v>
      </c>
    </row>
    <row r="147" spans="1:8" x14ac:dyDescent="0.25">
      <c r="A147" t="s">
        <v>35</v>
      </c>
      <c r="B147">
        <v>83980</v>
      </c>
      <c r="C147" s="2">
        <v>432.41</v>
      </c>
      <c r="D147" s="1">
        <v>43731</v>
      </c>
      <c r="E147" t="str">
        <f>"201909181952"</f>
        <v>201909181952</v>
      </c>
      <c r="F147" t="str">
        <f>"REIMBURSEMENT-MEALS/HOTEL"</f>
        <v>REIMBURSEMENT-MEALS/HOTEL</v>
      </c>
      <c r="G147" s="2">
        <v>432.41</v>
      </c>
      <c r="H147" t="str">
        <f>"REIMBURSEMENT-MEALS/HOTEL"</f>
        <v>REIMBURSEMENT-MEALS/HOTEL</v>
      </c>
    </row>
    <row r="148" spans="1:8" x14ac:dyDescent="0.25">
      <c r="A148" t="s">
        <v>36</v>
      </c>
      <c r="B148">
        <v>83981</v>
      </c>
      <c r="C148" s="2">
        <v>324.3</v>
      </c>
      <c r="D148" s="1">
        <v>43731</v>
      </c>
      <c r="E148" t="str">
        <f>"201909181914"</f>
        <v>201909181914</v>
      </c>
      <c r="F148" t="str">
        <f>"LODGING"</f>
        <v>LODGING</v>
      </c>
      <c r="G148" s="2">
        <v>324.3</v>
      </c>
      <c r="H148" t="str">
        <f>"TUCKER &amp; TOMASZYCKI"</f>
        <v>TUCKER &amp; TOMASZYCKI</v>
      </c>
    </row>
    <row r="149" spans="1:8" x14ac:dyDescent="0.25">
      <c r="A149" t="s">
        <v>37</v>
      </c>
      <c r="B149">
        <v>83772</v>
      </c>
      <c r="C149" s="2">
        <v>280.14999999999998</v>
      </c>
      <c r="D149" s="1">
        <v>43717</v>
      </c>
      <c r="E149" t="str">
        <f>"505529"</f>
        <v>505529</v>
      </c>
      <c r="F149" t="str">
        <f>"ad# 505529"</f>
        <v>ad# 505529</v>
      </c>
      <c r="G149" s="2">
        <v>280.14999999999998</v>
      </c>
      <c r="H149" t="str">
        <f>"ad# 505529"</f>
        <v>ad# 505529</v>
      </c>
    </row>
    <row r="150" spans="1:8" x14ac:dyDescent="0.25">
      <c r="A150" t="s">
        <v>37</v>
      </c>
      <c r="B150">
        <v>83982</v>
      </c>
      <c r="C150" s="2">
        <v>498.46</v>
      </c>
      <c r="D150" s="1">
        <v>43731</v>
      </c>
      <c r="E150" t="str">
        <f>"I00505138-08172019"</f>
        <v>I00505138-08172019</v>
      </c>
      <c r="F150" t="str">
        <f>"Public Notice #0000505138"</f>
        <v>Public Notice #0000505138</v>
      </c>
      <c r="G150" s="2">
        <v>498.46</v>
      </c>
      <c r="H150" t="str">
        <f>"Public Notice #0000505138"</f>
        <v>Public Notice #0000505138</v>
      </c>
    </row>
    <row r="151" spans="1:8" x14ac:dyDescent="0.25">
      <c r="A151" t="s">
        <v>38</v>
      </c>
      <c r="B151">
        <v>83983</v>
      </c>
      <c r="C151" s="2">
        <v>419.3</v>
      </c>
      <c r="D151" s="1">
        <v>43731</v>
      </c>
      <c r="E151" t="str">
        <f>"201909171881"</f>
        <v>201909171881</v>
      </c>
      <c r="F151" t="str">
        <f>"INDIGENT HEALTH"</f>
        <v>INDIGENT HEALTH</v>
      </c>
      <c r="G151" s="2">
        <v>419.3</v>
      </c>
      <c r="H151" t="str">
        <f>"INDIGENT HEALTH"</f>
        <v>INDIGENT HEALTH</v>
      </c>
    </row>
    <row r="152" spans="1:8" x14ac:dyDescent="0.25">
      <c r="E152" t="str">
        <f>""</f>
        <v/>
      </c>
      <c r="F152" t="str">
        <f>""</f>
        <v/>
      </c>
      <c r="H152" t="str">
        <f>"INDIGENT HEALTH"</f>
        <v>INDIGENT HEALTH</v>
      </c>
    </row>
    <row r="153" spans="1:8" x14ac:dyDescent="0.25">
      <c r="A153" t="s">
        <v>39</v>
      </c>
      <c r="B153">
        <v>83984</v>
      </c>
      <c r="C153" s="2">
        <v>667.42</v>
      </c>
      <c r="D153" s="1">
        <v>43731</v>
      </c>
      <c r="E153" t="str">
        <f>"201909171882"</f>
        <v>201909171882</v>
      </c>
      <c r="F153" t="str">
        <f>"INDIGENT HEALTH"</f>
        <v>INDIGENT HEALTH</v>
      </c>
      <c r="G153" s="2">
        <v>667.42</v>
      </c>
      <c r="H153" t="str">
        <f>"INDIGENT HEALTH"</f>
        <v>INDIGENT HEALTH</v>
      </c>
    </row>
    <row r="154" spans="1:8" x14ac:dyDescent="0.25">
      <c r="A154" t="s">
        <v>40</v>
      </c>
      <c r="B154">
        <v>83985</v>
      </c>
      <c r="C154" s="2">
        <v>925</v>
      </c>
      <c r="D154" s="1">
        <v>43731</v>
      </c>
      <c r="E154" t="str">
        <f>"0701193"</f>
        <v>0701193</v>
      </c>
      <c r="F154" t="str">
        <f>"ASBESTOS SURVEY/704 BULL RUN"</f>
        <v>ASBESTOS SURVEY/704 BULL RUN</v>
      </c>
      <c r="G154" s="2">
        <v>925</v>
      </c>
      <c r="H154" t="str">
        <f>"ASBESTOS SURVEY/704 BULL RUN"</f>
        <v>ASBESTOS SURVEY/704 BULL RUN</v>
      </c>
    </row>
    <row r="155" spans="1:8" x14ac:dyDescent="0.25">
      <c r="A155" t="s">
        <v>41</v>
      </c>
      <c r="B155">
        <v>83986</v>
      </c>
      <c r="C155" s="2">
        <v>611.15</v>
      </c>
      <c r="D155" s="1">
        <v>43731</v>
      </c>
      <c r="E155" t="str">
        <f>"201909171883"</f>
        <v>201909171883</v>
      </c>
      <c r="F155" t="str">
        <f>"INDIGENT HEALTH"</f>
        <v>INDIGENT HEALTH</v>
      </c>
      <c r="G155" s="2">
        <v>611.15</v>
      </c>
      <c r="H155" t="str">
        <f>"INDIGENT HEALTH"</f>
        <v>INDIGENT HEALTH</v>
      </c>
    </row>
    <row r="156" spans="1:8" x14ac:dyDescent="0.25">
      <c r="A156" t="s">
        <v>42</v>
      </c>
      <c r="B156">
        <v>83987</v>
      </c>
      <c r="C156" s="2">
        <v>182.45</v>
      </c>
      <c r="D156" s="1">
        <v>43731</v>
      </c>
      <c r="E156" t="str">
        <f>"284572"</f>
        <v>284572</v>
      </c>
      <c r="F156" t="str">
        <f>"CUST#7627/PCT#4"</f>
        <v>CUST#7627/PCT#4</v>
      </c>
      <c r="G156" s="2">
        <v>119.51</v>
      </c>
      <c r="H156" t="str">
        <f>"CUST#7627/PCT#4"</f>
        <v>CUST#7627/PCT#4</v>
      </c>
    </row>
    <row r="157" spans="1:8" x14ac:dyDescent="0.25">
      <c r="E157" t="str">
        <f>"284573"</f>
        <v>284573</v>
      </c>
      <c r="F157" t="str">
        <f>"CUST#7627/PCT#4"</f>
        <v>CUST#7627/PCT#4</v>
      </c>
      <c r="G157" s="2">
        <v>62.94</v>
      </c>
      <c r="H157" t="str">
        <f>"CUST#7627/PCT#4"</f>
        <v>CUST#7627/PCT#4</v>
      </c>
    </row>
    <row r="158" spans="1:8" x14ac:dyDescent="0.25">
      <c r="A158" t="s">
        <v>43</v>
      </c>
      <c r="B158">
        <v>83988</v>
      </c>
      <c r="C158" s="2">
        <v>830.79</v>
      </c>
      <c r="D158" s="1">
        <v>43731</v>
      </c>
      <c r="E158" t="str">
        <f>"201909171884"</f>
        <v>201909171884</v>
      </c>
      <c r="F158" t="str">
        <f>"INDIGENT HEALTH"</f>
        <v>INDIGENT HEALTH</v>
      </c>
      <c r="G158" s="2">
        <v>830.79</v>
      </c>
      <c r="H158" t="str">
        <f>"INDIGENT HEALTH"</f>
        <v>INDIGENT HEALTH</v>
      </c>
    </row>
    <row r="159" spans="1:8" x14ac:dyDescent="0.25">
      <c r="E159" t="str">
        <f>""</f>
        <v/>
      </c>
      <c r="F159" t="str">
        <f>""</f>
        <v/>
      </c>
      <c r="H159" t="str">
        <f>"INDIGENT HEALTH"</f>
        <v>INDIGENT HEALTH</v>
      </c>
    </row>
    <row r="160" spans="1:8" x14ac:dyDescent="0.25">
      <c r="A160" t="s">
        <v>44</v>
      </c>
      <c r="B160">
        <v>1374</v>
      </c>
      <c r="C160" s="2">
        <v>400</v>
      </c>
      <c r="D160" s="1">
        <v>43732</v>
      </c>
      <c r="E160" t="str">
        <f>"2140"</f>
        <v>2140</v>
      </c>
      <c r="F160" t="str">
        <f>"MOTIONS TO DISMISS"</f>
        <v>MOTIONS TO DISMISS</v>
      </c>
      <c r="G160" s="2">
        <v>400</v>
      </c>
      <c r="H160" t="str">
        <f>"MOTIONS TO DISMISS"</f>
        <v>MOTIONS TO DISMISS</v>
      </c>
    </row>
    <row r="161" spans="1:8" x14ac:dyDescent="0.25">
      <c r="A161" t="s">
        <v>45</v>
      </c>
      <c r="B161">
        <v>1324</v>
      </c>
      <c r="C161" s="2">
        <v>601.57000000000005</v>
      </c>
      <c r="D161" s="1">
        <v>43718</v>
      </c>
      <c r="E161" t="str">
        <f>"201909031385"</f>
        <v>201909031385</v>
      </c>
      <c r="F161" t="str">
        <f>"CUST ID:0009/PCT#1"</f>
        <v>CUST ID:0009/PCT#1</v>
      </c>
      <c r="G161" s="2">
        <v>268.99</v>
      </c>
      <c r="H161" t="str">
        <f>"CUST ID:0009/PCT#1"</f>
        <v>CUST ID:0009/PCT#1</v>
      </c>
    </row>
    <row r="162" spans="1:8" x14ac:dyDescent="0.25">
      <c r="E162" t="str">
        <f>"201909031386"</f>
        <v>201909031386</v>
      </c>
      <c r="F162" t="str">
        <f>"CUST ID:0010/PCT#2"</f>
        <v>CUST ID:0010/PCT#2</v>
      </c>
      <c r="G162" s="2">
        <v>210</v>
      </c>
      <c r="H162" t="str">
        <f>"CUST ID:0010/PCT#2"</f>
        <v>CUST ID:0010/PCT#2</v>
      </c>
    </row>
    <row r="163" spans="1:8" x14ac:dyDescent="0.25">
      <c r="E163" t="str">
        <f>"363468 363603"</f>
        <v>363468 363603</v>
      </c>
      <c r="F163" t="str">
        <f>"CUST ID:0011/PCT#3"</f>
        <v>CUST ID:0011/PCT#3</v>
      </c>
      <c r="G163" s="2">
        <v>55</v>
      </c>
      <c r="H163" t="str">
        <f>"CUST ID:0011/PCT#3"</f>
        <v>CUST ID:0011/PCT#3</v>
      </c>
    </row>
    <row r="164" spans="1:8" x14ac:dyDescent="0.25">
      <c r="E164" t="str">
        <f>"363575"</f>
        <v>363575</v>
      </c>
      <c r="F164" t="str">
        <f>"CUST ID:0017/ANIMAL SHELTER"</f>
        <v>CUST ID:0017/ANIMAL SHELTER</v>
      </c>
      <c r="G164" s="2">
        <v>20</v>
      </c>
      <c r="H164" t="str">
        <f>"CUST ID:0017/ANIMAL SHELTER"</f>
        <v>CUST ID:0017/ANIMAL SHELTER</v>
      </c>
    </row>
    <row r="165" spans="1:8" x14ac:dyDescent="0.25">
      <c r="E165" t="str">
        <f>"363630"</f>
        <v>363630</v>
      </c>
      <c r="F165" t="str">
        <f>"CUST ID:0008/ENVIR/SAN"</f>
        <v>CUST ID:0008/ENVIR/SAN</v>
      </c>
      <c r="G165" s="2">
        <v>47.58</v>
      </c>
      <c r="H165" t="str">
        <f>"CUST ID:0008/ENVIR/SAN"</f>
        <v>CUST ID:0008/ENVIR/SAN</v>
      </c>
    </row>
    <row r="166" spans="1:8" x14ac:dyDescent="0.25">
      <c r="A166" t="s">
        <v>46</v>
      </c>
      <c r="B166">
        <v>83989</v>
      </c>
      <c r="C166" s="2">
        <v>525</v>
      </c>
      <c r="D166" s="1">
        <v>43731</v>
      </c>
      <c r="E166" t="str">
        <f>"201909131748"</f>
        <v>201909131748</v>
      </c>
      <c r="F166" t="str">
        <f>"REFUND BAIL BOND STICKERS"</f>
        <v>REFUND BAIL BOND STICKERS</v>
      </c>
      <c r="G166" s="2">
        <v>525</v>
      </c>
      <c r="H166" t="str">
        <f>"REFUND BAIL BOND STICKERS"</f>
        <v>REFUND BAIL BOND STICKERS</v>
      </c>
    </row>
    <row r="167" spans="1:8" x14ac:dyDescent="0.25">
      <c r="A167" t="s">
        <v>47</v>
      </c>
      <c r="B167">
        <v>83773</v>
      </c>
      <c r="C167" s="2">
        <v>1750</v>
      </c>
      <c r="D167" s="1">
        <v>43717</v>
      </c>
      <c r="E167" t="str">
        <f>"12400"</f>
        <v>12400</v>
      </c>
      <c r="F167" t="str">
        <f t="shared" ref="F167:F182" si="1">"SERVICE"</f>
        <v>SERVICE</v>
      </c>
      <c r="G167" s="2">
        <v>225</v>
      </c>
      <c r="H167" t="str">
        <f t="shared" ref="H167:H182" si="2">"SERVICE"</f>
        <v>SERVICE</v>
      </c>
    </row>
    <row r="168" spans="1:8" x14ac:dyDescent="0.25">
      <c r="E168" t="str">
        <f>"12524"</f>
        <v>12524</v>
      </c>
      <c r="F168" t="str">
        <f t="shared" si="1"/>
        <v>SERVICE</v>
      </c>
      <c r="G168" s="2">
        <v>325</v>
      </c>
      <c r="H168" t="str">
        <f t="shared" si="2"/>
        <v>SERVICE</v>
      </c>
    </row>
    <row r="169" spans="1:8" x14ac:dyDescent="0.25">
      <c r="E169" t="str">
        <f>"12795"</f>
        <v>12795</v>
      </c>
      <c r="F169" t="str">
        <f t="shared" si="1"/>
        <v>SERVICE</v>
      </c>
      <c r="G169" s="2">
        <v>225</v>
      </c>
      <c r="H169" t="str">
        <f t="shared" si="2"/>
        <v>SERVICE</v>
      </c>
    </row>
    <row r="170" spans="1:8" x14ac:dyDescent="0.25">
      <c r="E170" t="str">
        <f>"12915"</f>
        <v>12915</v>
      </c>
      <c r="F170" t="str">
        <f t="shared" si="1"/>
        <v>SERVICE</v>
      </c>
      <c r="G170" s="2">
        <v>225</v>
      </c>
      <c r="H170" t="str">
        <f t="shared" si="2"/>
        <v>SERVICE</v>
      </c>
    </row>
    <row r="171" spans="1:8" x14ac:dyDescent="0.25">
      <c r="E171" t="str">
        <f>"13085"</f>
        <v>13085</v>
      </c>
      <c r="F171" t="str">
        <f t="shared" si="1"/>
        <v>SERVICE</v>
      </c>
      <c r="G171" s="2">
        <v>150</v>
      </c>
      <c r="H171" t="str">
        <f t="shared" si="2"/>
        <v>SERVICE</v>
      </c>
    </row>
    <row r="172" spans="1:8" x14ac:dyDescent="0.25">
      <c r="E172" t="str">
        <f>"13118"</f>
        <v>13118</v>
      </c>
      <c r="F172" t="str">
        <f t="shared" si="1"/>
        <v>SERVICE</v>
      </c>
      <c r="G172" s="2">
        <v>300</v>
      </c>
      <c r="H172" t="str">
        <f t="shared" si="2"/>
        <v>SERVICE</v>
      </c>
    </row>
    <row r="173" spans="1:8" x14ac:dyDescent="0.25">
      <c r="E173" t="str">
        <f>"13124"</f>
        <v>13124</v>
      </c>
      <c r="F173" t="str">
        <f t="shared" si="1"/>
        <v>SERVICE</v>
      </c>
      <c r="G173" s="2">
        <v>150</v>
      </c>
      <c r="H173" t="str">
        <f t="shared" si="2"/>
        <v>SERVICE</v>
      </c>
    </row>
    <row r="174" spans="1:8" x14ac:dyDescent="0.25">
      <c r="E174" t="str">
        <f>"13137"</f>
        <v>13137</v>
      </c>
      <c r="F174" t="str">
        <f t="shared" si="1"/>
        <v>SERVICE</v>
      </c>
      <c r="G174" s="2">
        <v>75</v>
      </c>
      <c r="H174" t="str">
        <f t="shared" si="2"/>
        <v>SERVICE</v>
      </c>
    </row>
    <row r="175" spans="1:8" x14ac:dyDescent="0.25">
      <c r="E175" t="str">
        <f>"13195"</f>
        <v>13195</v>
      </c>
      <c r="F175" t="str">
        <f t="shared" si="1"/>
        <v>SERVICE</v>
      </c>
      <c r="G175" s="2">
        <v>75</v>
      </c>
      <c r="H175" t="str">
        <f t="shared" si="2"/>
        <v>SERVICE</v>
      </c>
    </row>
    <row r="176" spans="1:8" x14ac:dyDescent="0.25">
      <c r="A176" t="s">
        <v>47</v>
      </c>
      <c r="B176">
        <v>83990</v>
      </c>
      <c r="C176" s="2">
        <v>2255</v>
      </c>
      <c r="D176" s="1">
        <v>43731</v>
      </c>
      <c r="E176" t="str">
        <f>"11736  08/06/19"</f>
        <v>11736  08/06/19</v>
      </c>
      <c r="F176" t="str">
        <f t="shared" si="1"/>
        <v>SERVICE</v>
      </c>
      <c r="G176" s="2">
        <v>250</v>
      </c>
      <c r="H176" t="str">
        <f t="shared" si="2"/>
        <v>SERVICE</v>
      </c>
    </row>
    <row r="177" spans="1:8" x14ac:dyDescent="0.25">
      <c r="E177" t="str">
        <f>"12205 08/05/19"</f>
        <v>12205 08/05/19</v>
      </c>
      <c r="F177" t="str">
        <f t="shared" si="1"/>
        <v>SERVICE</v>
      </c>
      <c r="G177" s="2">
        <v>30</v>
      </c>
      <c r="H177" t="str">
        <f t="shared" si="2"/>
        <v>SERVICE</v>
      </c>
    </row>
    <row r="178" spans="1:8" x14ac:dyDescent="0.25">
      <c r="E178" t="str">
        <f>"12823"</f>
        <v>12823</v>
      </c>
      <c r="F178" t="str">
        <f t="shared" si="1"/>
        <v>SERVICE</v>
      </c>
      <c r="G178" s="2">
        <v>475</v>
      </c>
      <c r="H178" t="str">
        <f t="shared" si="2"/>
        <v>SERVICE</v>
      </c>
    </row>
    <row r="179" spans="1:8" x14ac:dyDescent="0.25">
      <c r="E179" t="str">
        <f>"12946"</f>
        <v>12946</v>
      </c>
      <c r="F179" t="str">
        <f t="shared" si="1"/>
        <v>SERVICE</v>
      </c>
      <c r="G179" s="2">
        <v>550</v>
      </c>
      <c r="H179" t="str">
        <f t="shared" si="2"/>
        <v>SERVICE</v>
      </c>
    </row>
    <row r="180" spans="1:8" x14ac:dyDescent="0.25">
      <c r="E180" t="str">
        <f>"13007"</f>
        <v>13007</v>
      </c>
      <c r="F180" t="str">
        <f t="shared" si="1"/>
        <v>SERVICE</v>
      </c>
      <c r="G180" s="2">
        <v>625</v>
      </c>
      <c r="H180" t="str">
        <f t="shared" si="2"/>
        <v>SERVICE</v>
      </c>
    </row>
    <row r="181" spans="1:8" x14ac:dyDescent="0.25">
      <c r="E181" t="str">
        <f>"13082"</f>
        <v>13082</v>
      </c>
      <c r="F181" t="str">
        <f t="shared" si="1"/>
        <v>SERVICE</v>
      </c>
      <c r="G181" s="2">
        <v>250</v>
      </c>
      <c r="H181" t="str">
        <f t="shared" si="2"/>
        <v>SERVICE</v>
      </c>
    </row>
    <row r="182" spans="1:8" x14ac:dyDescent="0.25">
      <c r="E182" t="str">
        <f>"13233"</f>
        <v>13233</v>
      </c>
      <c r="F182" t="str">
        <f t="shared" si="1"/>
        <v>SERVICE</v>
      </c>
      <c r="G182" s="2">
        <v>75</v>
      </c>
      <c r="H182" t="str">
        <f t="shared" si="2"/>
        <v>SERVICE</v>
      </c>
    </row>
    <row r="183" spans="1:8" x14ac:dyDescent="0.25">
      <c r="A183" t="s">
        <v>48</v>
      </c>
      <c r="B183">
        <v>83991</v>
      </c>
      <c r="C183" s="2">
        <v>988.25</v>
      </c>
      <c r="D183" s="1">
        <v>43731</v>
      </c>
      <c r="E183" t="str">
        <f>"14327"</f>
        <v>14327</v>
      </c>
      <c r="F183" t="str">
        <f>"Office Items"</f>
        <v>Office Items</v>
      </c>
      <c r="G183" s="2">
        <v>184</v>
      </c>
      <c r="H183" t="str">
        <f>"Name Plate- Sharon"</f>
        <v>Name Plate- Sharon</v>
      </c>
    </row>
    <row r="184" spans="1:8" x14ac:dyDescent="0.25">
      <c r="E184" t="str">
        <f>""</f>
        <v/>
      </c>
      <c r="F184" t="str">
        <f>""</f>
        <v/>
      </c>
      <c r="H184" t="str">
        <f>"BCDC Stamp"</f>
        <v>BCDC Stamp</v>
      </c>
    </row>
    <row r="185" spans="1:8" x14ac:dyDescent="0.25">
      <c r="E185" t="str">
        <f>""</f>
        <v/>
      </c>
      <c r="F185" t="str">
        <f>""</f>
        <v/>
      </c>
      <c r="H185" t="str">
        <f>"Filed Stamp"</f>
        <v>Filed Stamp</v>
      </c>
    </row>
    <row r="186" spans="1:8" x14ac:dyDescent="0.25">
      <c r="E186" t="str">
        <f>"201909111642"</f>
        <v>201909111642</v>
      </c>
      <c r="F186" t="str">
        <f>"ACCT#BC01/OFFICE SUPPLIES"</f>
        <v>ACCT#BC01/OFFICE SUPPLIES</v>
      </c>
      <c r="G186" s="2">
        <v>804.25</v>
      </c>
      <c r="H186" t="str">
        <f t="shared" ref="H186:H195" si="3">"ACCT#BC01/OFFICE SUPPLIES"</f>
        <v>ACCT#BC01/OFFICE SUPPLIES</v>
      </c>
    </row>
    <row r="187" spans="1:8" x14ac:dyDescent="0.25">
      <c r="E187" t="str">
        <f>""</f>
        <v/>
      </c>
      <c r="F187" t="str">
        <f>""</f>
        <v/>
      </c>
      <c r="H187" t="str">
        <f t="shared" si="3"/>
        <v>ACCT#BC01/OFFICE SUPPLIES</v>
      </c>
    </row>
    <row r="188" spans="1:8" x14ac:dyDescent="0.25">
      <c r="E188" t="str">
        <f>""</f>
        <v/>
      </c>
      <c r="F188" t="str">
        <f>""</f>
        <v/>
      </c>
      <c r="H188" t="str">
        <f t="shared" si="3"/>
        <v>ACCT#BC01/OFFICE SUPPLIES</v>
      </c>
    </row>
    <row r="189" spans="1:8" x14ac:dyDescent="0.25">
      <c r="E189" t="str">
        <f>""</f>
        <v/>
      </c>
      <c r="F189" t="str">
        <f>""</f>
        <v/>
      </c>
      <c r="H189" t="str">
        <f t="shared" si="3"/>
        <v>ACCT#BC01/OFFICE SUPPLIES</v>
      </c>
    </row>
    <row r="190" spans="1:8" x14ac:dyDescent="0.25">
      <c r="E190" t="str">
        <f>""</f>
        <v/>
      </c>
      <c r="F190" t="str">
        <f>""</f>
        <v/>
      </c>
      <c r="H190" t="str">
        <f t="shared" si="3"/>
        <v>ACCT#BC01/OFFICE SUPPLIES</v>
      </c>
    </row>
    <row r="191" spans="1:8" x14ac:dyDescent="0.25">
      <c r="E191" t="str">
        <f>""</f>
        <v/>
      </c>
      <c r="F191" t="str">
        <f>""</f>
        <v/>
      </c>
      <c r="H191" t="str">
        <f t="shared" si="3"/>
        <v>ACCT#BC01/OFFICE SUPPLIES</v>
      </c>
    </row>
    <row r="192" spans="1:8" x14ac:dyDescent="0.25">
      <c r="E192" t="str">
        <f>""</f>
        <v/>
      </c>
      <c r="F192" t="str">
        <f>""</f>
        <v/>
      </c>
      <c r="H192" t="str">
        <f t="shared" si="3"/>
        <v>ACCT#BC01/OFFICE SUPPLIES</v>
      </c>
    </row>
    <row r="193" spans="1:8" x14ac:dyDescent="0.25">
      <c r="E193" t="str">
        <f>""</f>
        <v/>
      </c>
      <c r="F193" t="str">
        <f>""</f>
        <v/>
      </c>
      <c r="H193" t="str">
        <f t="shared" si="3"/>
        <v>ACCT#BC01/OFFICE SUPPLIES</v>
      </c>
    </row>
    <row r="194" spans="1:8" x14ac:dyDescent="0.25">
      <c r="E194" t="str">
        <f>""</f>
        <v/>
      </c>
      <c r="F194" t="str">
        <f>""</f>
        <v/>
      </c>
      <c r="H194" t="str">
        <f t="shared" si="3"/>
        <v>ACCT#BC01/OFFICE SUPPLIES</v>
      </c>
    </row>
    <row r="195" spans="1:8" x14ac:dyDescent="0.25">
      <c r="E195" t="str">
        <f>""</f>
        <v/>
      </c>
      <c r="F195" t="str">
        <f>""</f>
        <v/>
      </c>
      <c r="H195" t="str">
        <f t="shared" si="3"/>
        <v>ACCT#BC01/OFFICE SUPPLIES</v>
      </c>
    </row>
    <row r="196" spans="1:8" x14ac:dyDescent="0.25">
      <c r="A196" t="s">
        <v>49</v>
      </c>
      <c r="B196">
        <v>1395</v>
      </c>
      <c r="C196" s="2">
        <v>22242.77</v>
      </c>
      <c r="D196" s="1">
        <v>43732</v>
      </c>
      <c r="E196" t="str">
        <f>"201909121672"</f>
        <v>201909121672</v>
      </c>
      <c r="F196" t="str">
        <f>"GRANT REIMBURSEMENT"</f>
        <v>GRANT REIMBURSEMENT</v>
      </c>
      <c r="G196" s="2">
        <v>9336.2199999999993</v>
      </c>
      <c r="H196" t="str">
        <f>"GRANT REIMBURSEMENT"</f>
        <v>GRANT REIMBURSEMENT</v>
      </c>
    </row>
    <row r="197" spans="1:8" x14ac:dyDescent="0.25">
      <c r="E197" t="str">
        <f>"201909181953"</f>
        <v>201909181953</v>
      </c>
      <c r="F197" t="str">
        <f>"GRANT REIMBURSEMENT"</f>
        <v>GRANT REIMBURSEMENT</v>
      </c>
      <c r="G197" s="2">
        <v>12906.55</v>
      </c>
      <c r="H197" t="str">
        <f>"GRANT REIMBURSEMENT"</f>
        <v>GRANT REIMBURSEMENT</v>
      </c>
    </row>
    <row r="198" spans="1:8" x14ac:dyDescent="0.25">
      <c r="A198" t="s">
        <v>50</v>
      </c>
      <c r="B198">
        <v>83992</v>
      </c>
      <c r="C198" s="2">
        <v>75</v>
      </c>
      <c r="D198" s="1">
        <v>43731</v>
      </c>
      <c r="E198" t="str">
        <f>"13223"</f>
        <v>13223</v>
      </c>
      <c r="F198" t="str">
        <f>"SERVICE"</f>
        <v>SERVICE</v>
      </c>
      <c r="G198" s="2">
        <v>75</v>
      </c>
      <c r="H198" t="str">
        <f>"SERVICE"</f>
        <v>SERVICE</v>
      </c>
    </row>
    <row r="199" spans="1:8" x14ac:dyDescent="0.25">
      <c r="A199" t="s">
        <v>51</v>
      </c>
      <c r="B199">
        <v>1296</v>
      </c>
      <c r="C199" s="2">
        <v>3195</v>
      </c>
      <c r="D199" s="1">
        <v>43718</v>
      </c>
      <c r="E199" t="str">
        <f>"1393"</f>
        <v>1393</v>
      </c>
      <c r="F199" t="str">
        <f>"TRANSPORT-S. SLEZAK"</f>
        <v>TRANSPORT-S. SLEZAK</v>
      </c>
      <c r="G199" s="2">
        <v>720</v>
      </c>
      <c r="H199" t="str">
        <f>"TRANSPORT-S. SLEZAK"</f>
        <v>TRANSPORT-S. SLEZAK</v>
      </c>
    </row>
    <row r="200" spans="1:8" x14ac:dyDescent="0.25">
      <c r="E200" t="str">
        <f>"2019091"</f>
        <v>2019091</v>
      </c>
      <c r="F200" t="str">
        <f>"TRANSPORT-A. KIEKE"</f>
        <v>TRANSPORT-A. KIEKE</v>
      </c>
      <c r="G200" s="2">
        <v>495</v>
      </c>
      <c r="H200" t="str">
        <f>"TRANSPORT-A. KIEKE"</f>
        <v>TRANSPORT-A. KIEKE</v>
      </c>
    </row>
    <row r="201" spans="1:8" x14ac:dyDescent="0.25">
      <c r="E201" t="str">
        <f>"2019094"</f>
        <v>2019094</v>
      </c>
      <c r="F201" t="str">
        <f>"TRANSPORT-J.A. NAVARRO"</f>
        <v>TRANSPORT-J.A. NAVARRO</v>
      </c>
      <c r="G201" s="2">
        <v>495</v>
      </c>
      <c r="H201" t="str">
        <f>"TRANSPORT-J.A. NAVARRO"</f>
        <v>TRANSPORT-J.A. NAVARRO</v>
      </c>
    </row>
    <row r="202" spans="1:8" x14ac:dyDescent="0.25">
      <c r="E202" t="str">
        <f>"2019095"</f>
        <v>2019095</v>
      </c>
      <c r="F202" t="str">
        <f>"TRANSPORT-F. SANCHEZ"</f>
        <v>TRANSPORT-F. SANCHEZ</v>
      </c>
      <c r="G202" s="2">
        <v>495</v>
      </c>
      <c r="H202" t="str">
        <f>"TRANSPORT-F. SANCHEZ"</f>
        <v>TRANSPORT-F. SANCHEZ</v>
      </c>
    </row>
    <row r="203" spans="1:8" x14ac:dyDescent="0.25">
      <c r="E203" t="str">
        <f>"2019102"</f>
        <v>2019102</v>
      </c>
      <c r="F203" t="str">
        <f>"TRANSPORT-F. ASLLEJE"</f>
        <v>TRANSPORT-F. ASLLEJE</v>
      </c>
      <c r="G203" s="2">
        <v>495</v>
      </c>
      <c r="H203" t="str">
        <f>"TRANSPORT-F. ASLLEJE"</f>
        <v>TRANSPORT-F. ASLLEJE</v>
      </c>
    </row>
    <row r="204" spans="1:8" x14ac:dyDescent="0.25">
      <c r="E204" t="str">
        <f>"2019104"</f>
        <v>2019104</v>
      </c>
      <c r="F204" t="str">
        <f>"TRANSPORT-G. BRANNAN"</f>
        <v>TRANSPORT-G. BRANNAN</v>
      </c>
      <c r="G204" s="2">
        <v>495</v>
      </c>
      <c r="H204" t="str">
        <f>"TRANSPORT-G. BRANNAN"</f>
        <v>TRANSPORT-G. BRANNAN</v>
      </c>
    </row>
    <row r="205" spans="1:8" x14ac:dyDescent="0.25">
      <c r="A205" t="s">
        <v>51</v>
      </c>
      <c r="B205">
        <v>1370</v>
      </c>
      <c r="C205" s="2">
        <v>495</v>
      </c>
      <c r="D205" s="1">
        <v>43732</v>
      </c>
      <c r="E205" t="str">
        <f>"2019098"</f>
        <v>2019098</v>
      </c>
      <c r="F205" t="str">
        <f>"TRANSPORT-K. R. MICHALK"</f>
        <v>TRANSPORT-K. R. MICHALK</v>
      </c>
      <c r="G205" s="2">
        <v>495</v>
      </c>
      <c r="H205" t="str">
        <f>"TRANSPORT-K. R. MICHALK"</f>
        <v>TRANSPORT-K. R. MICHALK</v>
      </c>
    </row>
    <row r="206" spans="1:8" x14ac:dyDescent="0.25">
      <c r="A206" t="s">
        <v>52</v>
      </c>
      <c r="B206">
        <v>1318</v>
      </c>
      <c r="C206" s="2">
        <v>331.33</v>
      </c>
      <c r="D206" s="1">
        <v>43718</v>
      </c>
      <c r="E206" t="str">
        <f>"6007800848"</f>
        <v>6007800848</v>
      </c>
      <c r="F206" t="str">
        <f>"ACCT#3422853/ANIMAL SVCS"</f>
        <v>ACCT#3422853/ANIMAL SVCS</v>
      </c>
      <c r="G206" s="2">
        <v>331.33</v>
      </c>
      <c r="H206" t="str">
        <f>"ACCT#3422853/ANIMAL SVCS"</f>
        <v>ACCT#3422853/ANIMAL SVCS</v>
      </c>
    </row>
    <row r="207" spans="1:8" x14ac:dyDescent="0.25">
      <c r="A207" t="s">
        <v>53</v>
      </c>
      <c r="B207">
        <v>1293</v>
      </c>
      <c r="C207" s="2">
        <v>227.5</v>
      </c>
      <c r="D207" s="1">
        <v>43718</v>
      </c>
      <c r="E207" t="str">
        <f>"201909041438"</f>
        <v>201909041438</v>
      </c>
      <c r="F207" t="str">
        <f>"INVESTIGATIVE SVCS/MILEAGE/AUG"</f>
        <v>INVESTIGATIVE SVCS/MILEAGE/AUG</v>
      </c>
      <c r="G207" s="2">
        <v>227.5</v>
      </c>
      <c r="H207" t="str">
        <f>"INVESTIGATIVE SVCS/MILEAGE/AUG"</f>
        <v>INVESTIGATIVE SVCS/MILEAGE/AUG</v>
      </c>
    </row>
    <row r="208" spans="1:8" x14ac:dyDescent="0.25">
      <c r="A208" t="s">
        <v>53</v>
      </c>
      <c r="B208">
        <v>1364</v>
      </c>
      <c r="C208" s="2">
        <v>752.5</v>
      </c>
      <c r="D208" s="1">
        <v>43732</v>
      </c>
      <c r="E208" t="str">
        <f>"201909181921"</f>
        <v>201909181921</v>
      </c>
      <c r="F208" t="str">
        <f>"AUGUST SERVICES"</f>
        <v>AUGUST SERVICES</v>
      </c>
      <c r="G208" s="2">
        <v>752.5</v>
      </c>
      <c r="H208" t="str">
        <f>"AUGUST SERVICES - LE"</f>
        <v>AUGUST SERVICES - LE</v>
      </c>
    </row>
    <row r="209" spans="1:8" x14ac:dyDescent="0.25">
      <c r="E209" t="str">
        <f>""</f>
        <v/>
      </c>
      <c r="F209" t="str">
        <f>""</f>
        <v/>
      </c>
      <c r="H209" t="str">
        <f>"AUGUST SERVICES - JA"</f>
        <v>AUGUST SERVICES - JA</v>
      </c>
    </row>
    <row r="210" spans="1:8" x14ac:dyDescent="0.25">
      <c r="A210" t="s">
        <v>54</v>
      </c>
      <c r="B210">
        <v>83774</v>
      </c>
      <c r="C210" s="2">
        <v>20</v>
      </c>
      <c r="D210" s="1">
        <v>43717</v>
      </c>
      <c r="E210" t="str">
        <f>"471"</f>
        <v>471</v>
      </c>
      <c r="F210" t="str">
        <f>"INV 471 / UNIT 6502"</f>
        <v>INV 471 / UNIT 6502</v>
      </c>
      <c r="G210" s="2">
        <v>20</v>
      </c>
      <c r="H210" t="str">
        <f>"INV 471 / UNIT 6502"</f>
        <v>INV 471 / UNIT 6502</v>
      </c>
    </row>
    <row r="211" spans="1:8" x14ac:dyDescent="0.25">
      <c r="A211" t="s">
        <v>55</v>
      </c>
      <c r="B211">
        <v>83993</v>
      </c>
      <c r="C211" s="2">
        <v>70</v>
      </c>
      <c r="D211" s="1">
        <v>43731</v>
      </c>
      <c r="E211" t="str">
        <f>"12205"</f>
        <v>12205</v>
      </c>
      <c r="F211" t="str">
        <f>"SERVICE"</f>
        <v>SERVICE</v>
      </c>
      <c r="G211" s="2">
        <v>70</v>
      </c>
      <c r="H211" t="str">
        <f>"SERVICE"</f>
        <v>SERVICE</v>
      </c>
    </row>
    <row r="212" spans="1:8" x14ac:dyDescent="0.25">
      <c r="A212" t="s">
        <v>56</v>
      </c>
      <c r="B212">
        <v>83775</v>
      </c>
      <c r="C212" s="2">
        <v>70</v>
      </c>
      <c r="D212" s="1">
        <v>43717</v>
      </c>
      <c r="E212" t="str">
        <f>"12915"</f>
        <v>12915</v>
      </c>
      <c r="F212" t="str">
        <f>"SERVICE"</f>
        <v>SERVICE</v>
      </c>
      <c r="G212" s="2">
        <v>70</v>
      </c>
      <c r="H212" t="str">
        <f>"SERVICE"</f>
        <v>SERVICE</v>
      </c>
    </row>
    <row r="213" spans="1:8" x14ac:dyDescent="0.25">
      <c r="A213" t="s">
        <v>57</v>
      </c>
      <c r="B213">
        <v>83776</v>
      </c>
      <c r="C213" s="2">
        <v>1294.22</v>
      </c>
      <c r="D213" s="1">
        <v>43717</v>
      </c>
      <c r="E213" t="str">
        <f>"75208020 75214686"</f>
        <v>75208020 75214686</v>
      </c>
      <c r="F213" t="str">
        <f>"INV 75208020"</f>
        <v>INV 75208020</v>
      </c>
      <c r="G213" s="2">
        <v>1294.22</v>
      </c>
      <c r="H213" t="str">
        <f>"INV 75208020"</f>
        <v>INV 75208020</v>
      </c>
    </row>
    <row r="214" spans="1:8" x14ac:dyDescent="0.25">
      <c r="E214" t="str">
        <f>""</f>
        <v/>
      </c>
      <c r="F214" t="str">
        <f>""</f>
        <v/>
      </c>
      <c r="H214" t="str">
        <f>"INV 75214686"</f>
        <v>INV 75214686</v>
      </c>
    </row>
    <row r="215" spans="1:8" x14ac:dyDescent="0.25">
      <c r="A215" t="s">
        <v>57</v>
      </c>
      <c r="B215">
        <v>83994</v>
      </c>
      <c r="C215" s="2">
        <v>1806.59</v>
      </c>
      <c r="D215" s="1">
        <v>43731</v>
      </c>
      <c r="E215" t="str">
        <f>"75223026 75232799"</f>
        <v>75223026 75232799</v>
      </c>
      <c r="F215" t="str">
        <f>"INV 75223026"</f>
        <v>INV 75223026</v>
      </c>
      <c r="G215" s="2">
        <v>1806.59</v>
      </c>
      <c r="H215" t="str">
        <f>"INV 75223026"</f>
        <v>INV 75223026</v>
      </c>
    </row>
    <row r="216" spans="1:8" x14ac:dyDescent="0.25">
      <c r="E216" t="str">
        <f>""</f>
        <v/>
      </c>
      <c r="F216" t="str">
        <f>""</f>
        <v/>
      </c>
      <c r="H216" t="str">
        <f>"INV 75232799"</f>
        <v>INV 75232799</v>
      </c>
    </row>
    <row r="217" spans="1:8" x14ac:dyDescent="0.25">
      <c r="A217" t="s">
        <v>58</v>
      </c>
      <c r="B217">
        <v>1416</v>
      </c>
      <c r="C217" s="2">
        <v>2454.8200000000002</v>
      </c>
      <c r="D217" s="1">
        <v>43732</v>
      </c>
      <c r="E217" t="str">
        <f>"24405"</f>
        <v>24405</v>
      </c>
      <c r="F217" t="str">
        <f>"INV 24405"</f>
        <v>INV 24405</v>
      </c>
      <c r="G217" s="2">
        <v>2454.8200000000002</v>
      </c>
      <c r="H217" t="str">
        <f>"INV 24405"</f>
        <v>INV 24405</v>
      </c>
    </row>
    <row r="218" spans="1:8" x14ac:dyDescent="0.25">
      <c r="A218" t="s">
        <v>59</v>
      </c>
      <c r="B218">
        <v>1366</v>
      </c>
      <c r="C218" s="2">
        <v>433.06</v>
      </c>
      <c r="D218" s="1">
        <v>43732</v>
      </c>
      <c r="E218" t="str">
        <f>"201909101636"</f>
        <v>201909101636</v>
      </c>
      <c r="F218" t="str">
        <f>"423-6341"</f>
        <v>423-6341</v>
      </c>
      <c r="G218" s="2">
        <v>433.06</v>
      </c>
      <c r="H218" t="str">
        <f>"423-6341"</f>
        <v>423-6341</v>
      </c>
    </row>
    <row r="219" spans="1:8" x14ac:dyDescent="0.25">
      <c r="A219" t="s">
        <v>60</v>
      </c>
      <c r="B219">
        <v>1342</v>
      </c>
      <c r="C219" s="2">
        <v>1777.35</v>
      </c>
      <c r="D219" s="1">
        <v>43718</v>
      </c>
      <c r="E219" t="str">
        <f>"39167"</f>
        <v>39167</v>
      </c>
      <c r="F219" t="str">
        <f>"INV 39167 / UNIT MRAP"</f>
        <v>INV 39167 / UNIT MRAP</v>
      </c>
      <c r="G219" s="2">
        <v>1777.35</v>
      </c>
      <c r="H219" t="str">
        <f>"INV 39167 / UNIT MRAP"</f>
        <v>INV 39167 / UNIT MRAP</v>
      </c>
    </row>
    <row r="220" spans="1:8" x14ac:dyDescent="0.25">
      <c r="A220" t="s">
        <v>61</v>
      </c>
      <c r="B220">
        <v>83777</v>
      </c>
      <c r="C220" s="2">
        <v>504.26</v>
      </c>
      <c r="D220" s="1">
        <v>43717</v>
      </c>
      <c r="E220" t="str">
        <f>"84078902814/840/89"</f>
        <v>84078902814/840/89</v>
      </c>
      <c r="F220" t="str">
        <f>"INV 84078902814"</f>
        <v>INV 84078902814</v>
      </c>
      <c r="G220" s="2">
        <v>504.26</v>
      </c>
      <c r="H220" t="str">
        <f>"INV 84078902814"</f>
        <v>INV 84078902814</v>
      </c>
    </row>
    <row r="221" spans="1:8" x14ac:dyDescent="0.25">
      <c r="E221" t="str">
        <f>""</f>
        <v/>
      </c>
      <c r="F221" t="str">
        <f>""</f>
        <v/>
      </c>
      <c r="H221" t="str">
        <f>"INV 84078902840"</f>
        <v>INV 84078902840</v>
      </c>
    </row>
    <row r="222" spans="1:8" x14ac:dyDescent="0.25">
      <c r="E222" t="str">
        <f>""</f>
        <v/>
      </c>
      <c r="F222" t="str">
        <f>""</f>
        <v/>
      </c>
      <c r="H222" t="str">
        <f>"INV 84078902891"</f>
        <v>INV 84078902891</v>
      </c>
    </row>
    <row r="223" spans="1:8" x14ac:dyDescent="0.25">
      <c r="A223" t="s">
        <v>61</v>
      </c>
      <c r="B223">
        <v>83995</v>
      </c>
      <c r="C223" s="2">
        <v>648.70000000000005</v>
      </c>
      <c r="D223" s="1">
        <v>43731</v>
      </c>
      <c r="E223" t="str">
        <f>"84078902949 840789"</f>
        <v>84078902949 840789</v>
      </c>
      <c r="F223" t="str">
        <f>"INV 84078902949"</f>
        <v>INV 84078902949</v>
      </c>
      <c r="G223" s="2">
        <v>648.70000000000005</v>
      </c>
      <c r="H223" t="str">
        <f>"INV 84078902949"</f>
        <v>INV 84078902949</v>
      </c>
    </row>
    <row r="224" spans="1:8" x14ac:dyDescent="0.25">
      <c r="E224" t="str">
        <f>""</f>
        <v/>
      </c>
      <c r="F224" t="str">
        <f>""</f>
        <v/>
      </c>
      <c r="H224" t="str">
        <f>"INV 84078902997"</f>
        <v>INV 84078902997</v>
      </c>
    </row>
    <row r="225" spans="1:8" x14ac:dyDescent="0.25">
      <c r="A225" t="s">
        <v>62</v>
      </c>
      <c r="B225">
        <v>1306</v>
      </c>
      <c r="C225" s="2">
        <v>350</v>
      </c>
      <c r="D225" s="1">
        <v>43718</v>
      </c>
      <c r="E225" t="str">
        <f>"201909041462"</f>
        <v>201909041462</v>
      </c>
      <c r="F225" t="str">
        <f>"18-19336"</f>
        <v>18-19336</v>
      </c>
      <c r="G225" s="2">
        <v>100</v>
      </c>
      <c r="H225" t="str">
        <f>"18-19336"</f>
        <v>18-19336</v>
      </c>
    </row>
    <row r="226" spans="1:8" x14ac:dyDescent="0.25">
      <c r="E226" t="str">
        <f>"201909041503"</f>
        <v>201909041503</v>
      </c>
      <c r="F226" t="str">
        <f>"55 798"</f>
        <v>55 798</v>
      </c>
      <c r="G226" s="2">
        <v>250</v>
      </c>
      <c r="H226" t="str">
        <f>"55 798"</f>
        <v>55 798</v>
      </c>
    </row>
    <row r="227" spans="1:8" x14ac:dyDescent="0.25">
      <c r="A227" t="s">
        <v>62</v>
      </c>
      <c r="B227">
        <v>1380</v>
      </c>
      <c r="C227" s="2">
        <v>450</v>
      </c>
      <c r="D227" s="1">
        <v>43732</v>
      </c>
      <c r="E227" t="str">
        <f>"201909171855"</f>
        <v>201909171855</v>
      </c>
      <c r="F227" t="str">
        <f>"18-19166"</f>
        <v>18-19166</v>
      </c>
      <c r="G227" s="2">
        <v>100</v>
      </c>
      <c r="H227" t="str">
        <f>"18-19166"</f>
        <v>18-19166</v>
      </c>
    </row>
    <row r="228" spans="1:8" x14ac:dyDescent="0.25">
      <c r="E228" t="str">
        <f>"201909171856"</f>
        <v>201909171856</v>
      </c>
      <c r="F228" t="str">
        <f>"19-19526"</f>
        <v>19-19526</v>
      </c>
      <c r="G228" s="2">
        <v>100</v>
      </c>
      <c r="H228" t="str">
        <f>"19-19526"</f>
        <v>19-19526</v>
      </c>
    </row>
    <row r="229" spans="1:8" x14ac:dyDescent="0.25">
      <c r="E229" t="str">
        <f>"201909171857"</f>
        <v>201909171857</v>
      </c>
      <c r="F229" t="str">
        <f>"J-3190"</f>
        <v>J-3190</v>
      </c>
      <c r="G229" s="2">
        <v>250</v>
      </c>
      <c r="H229" t="str">
        <f>"J-3190"</f>
        <v>J-3190</v>
      </c>
    </row>
    <row r="230" spans="1:8" x14ac:dyDescent="0.25">
      <c r="A230" t="s">
        <v>63</v>
      </c>
      <c r="B230">
        <v>83996</v>
      </c>
      <c r="C230" s="2">
        <v>400.72</v>
      </c>
      <c r="D230" s="1">
        <v>43731</v>
      </c>
      <c r="E230" t="str">
        <f>"201909121721"</f>
        <v>201909121721</v>
      </c>
      <c r="F230" t="str">
        <f>"CRIME STOPPER FEES-AUG 2019"</f>
        <v>CRIME STOPPER FEES-AUG 2019</v>
      </c>
      <c r="G230" s="2">
        <v>400.72</v>
      </c>
      <c r="H230" t="str">
        <f>"CRIME STOPPER FEES-AUG 2019"</f>
        <v>CRIME STOPPER FEES-AUG 2019</v>
      </c>
    </row>
    <row r="231" spans="1:8" x14ac:dyDescent="0.25">
      <c r="A231" t="s">
        <v>64</v>
      </c>
      <c r="B231">
        <v>83906</v>
      </c>
      <c r="C231" s="2">
        <v>4535.6000000000004</v>
      </c>
      <c r="D231" s="1">
        <v>43719</v>
      </c>
      <c r="E231" t="str">
        <f>"201909111644"</f>
        <v>201909111644</v>
      </c>
      <c r="F231" t="str">
        <f>"ACCT#5000057374 / 09072019"</f>
        <v>ACCT#5000057374 / 09072019</v>
      </c>
      <c r="G231" s="2">
        <v>4535.6000000000004</v>
      </c>
      <c r="H231" t="str">
        <f>"ACCT#5000057374 / 09072019"</f>
        <v>ACCT#5000057374 / 09072019</v>
      </c>
    </row>
    <row r="232" spans="1:8" x14ac:dyDescent="0.25">
      <c r="E232" t="str">
        <f>""</f>
        <v/>
      </c>
      <c r="F232" t="str">
        <f>""</f>
        <v/>
      </c>
      <c r="H232" t="str">
        <f>"ACCT#5000057374 / 09072019"</f>
        <v>ACCT#5000057374 / 09072019</v>
      </c>
    </row>
    <row r="233" spans="1:8" x14ac:dyDescent="0.25">
      <c r="E233" t="str">
        <f>""</f>
        <v/>
      </c>
      <c r="F233" t="str">
        <f>""</f>
        <v/>
      </c>
      <c r="H233" t="str">
        <f>"ACCT#5000057374 / 09072019"</f>
        <v>ACCT#5000057374 / 09072019</v>
      </c>
    </row>
    <row r="234" spans="1:8" x14ac:dyDescent="0.25">
      <c r="E234" t="str">
        <f>""</f>
        <v/>
      </c>
      <c r="F234" t="str">
        <f>""</f>
        <v/>
      </c>
      <c r="H234" t="str">
        <f>"ACCT#5000057374 / 09072019"</f>
        <v>ACCT#5000057374 / 09072019</v>
      </c>
    </row>
    <row r="235" spans="1:8" x14ac:dyDescent="0.25">
      <c r="A235" t="s">
        <v>65</v>
      </c>
      <c r="B235">
        <v>1350</v>
      </c>
      <c r="C235" s="2">
        <v>1525</v>
      </c>
      <c r="D235" s="1">
        <v>43718</v>
      </c>
      <c r="E235" t="str">
        <f>"25082019"</f>
        <v>25082019</v>
      </c>
      <c r="F235" t="str">
        <f>"INV 25082019"</f>
        <v>INV 25082019</v>
      </c>
      <c r="G235" s="2">
        <v>1525</v>
      </c>
      <c r="H235" t="str">
        <f>"INV 25082019"</f>
        <v>INV 25082019</v>
      </c>
    </row>
    <row r="236" spans="1:8" x14ac:dyDescent="0.25">
      <c r="A236" t="s">
        <v>65</v>
      </c>
      <c r="B236">
        <v>1427</v>
      </c>
      <c r="C236" s="2">
        <v>15380.97</v>
      </c>
      <c r="D236" s="1">
        <v>43732</v>
      </c>
      <c r="E236" t="str">
        <f>"201909181954"</f>
        <v>201909181954</v>
      </c>
      <c r="F236" t="str">
        <f>"GRANT REIMBURSEMENT"</f>
        <v>GRANT REIMBURSEMENT</v>
      </c>
      <c r="G236" s="2">
        <v>15380.97</v>
      </c>
      <c r="H236" t="str">
        <f>"GRANT REIMBURSEMENT"</f>
        <v>GRANT REIMBURSEMENT</v>
      </c>
    </row>
    <row r="237" spans="1:8" x14ac:dyDescent="0.25">
      <c r="A237" t="s">
        <v>66</v>
      </c>
      <c r="B237">
        <v>83778</v>
      </c>
      <c r="C237" s="2">
        <v>167718.82999999999</v>
      </c>
      <c r="D237" s="1">
        <v>43717</v>
      </c>
      <c r="E237" t="str">
        <f>"103835"</f>
        <v>103835</v>
      </c>
      <c r="F237" t="str">
        <f>"ACCT#1268/PCT#3"</f>
        <v>ACCT#1268/PCT#3</v>
      </c>
      <c r="G237" s="2">
        <v>103184.09</v>
      </c>
      <c r="H237" t="str">
        <f>"ACCT#1268/PCT#3"</f>
        <v>ACCT#1268/PCT#3</v>
      </c>
    </row>
    <row r="238" spans="1:8" x14ac:dyDescent="0.25">
      <c r="E238" t="str">
        <f>"104001"</f>
        <v>104001</v>
      </c>
      <c r="F238" t="str">
        <f>"ACCT#1268/PCT#3"</f>
        <v>ACCT#1268/PCT#3</v>
      </c>
      <c r="G238" s="2">
        <v>64534.74</v>
      </c>
      <c r="H238" t="str">
        <f>"ACCT#1268/PCT#3"</f>
        <v>ACCT#1268/PCT#3</v>
      </c>
    </row>
    <row r="239" spans="1:8" x14ac:dyDescent="0.25">
      <c r="A239" t="s">
        <v>66</v>
      </c>
      <c r="B239">
        <v>83997</v>
      </c>
      <c r="C239" s="2">
        <v>6542.89</v>
      </c>
      <c r="D239" s="1">
        <v>43731</v>
      </c>
      <c r="E239" t="str">
        <f>"104179"</f>
        <v>104179</v>
      </c>
      <c r="F239" t="str">
        <f>"ACCT#1268/PCT#3"</f>
        <v>ACCT#1268/PCT#3</v>
      </c>
      <c r="G239" s="2">
        <v>293.42</v>
      </c>
      <c r="H239" t="str">
        <f>"ACCT#1268/PCT#3"</f>
        <v>ACCT#1268/PCT#3</v>
      </c>
    </row>
    <row r="240" spans="1:8" x14ac:dyDescent="0.25">
      <c r="E240" t="str">
        <f>"104345"</f>
        <v>104345</v>
      </c>
      <c r="F240" t="str">
        <f>"ACCT#1268/PCT#3"</f>
        <v>ACCT#1268/PCT#3</v>
      </c>
      <c r="G240" s="2">
        <v>1844.4</v>
      </c>
      <c r="H240" t="str">
        <f>"ACCT#1268/PCT#3"</f>
        <v>ACCT#1268/PCT#3</v>
      </c>
    </row>
    <row r="241" spans="1:8" x14ac:dyDescent="0.25">
      <c r="E241" t="str">
        <f>"104346"</f>
        <v>104346</v>
      </c>
      <c r="F241" t="str">
        <f>"ACCT#1269/PCT#4"</f>
        <v>ACCT#1269/PCT#4</v>
      </c>
      <c r="G241" s="2">
        <v>4405.07</v>
      </c>
      <c r="H241" t="str">
        <f>"ACCT#1269/PCT#4"</f>
        <v>ACCT#1269/PCT#4</v>
      </c>
    </row>
    <row r="242" spans="1:8" x14ac:dyDescent="0.25">
      <c r="A242" t="s">
        <v>67</v>
      </c>
      <c r="B242">
        <v>83998</v>
      </c>
      <c r="C242" s="2">
        <v>50</v>
      </c>
      <c r="D242" s="1">
        <v>43731</v>
      </c>
      <c r="E242" t="str">
        <f>"201909181907"</f>
        <v>201909181907</v>
      </c>
      <c r="F242" t="str">
        <f>"PER DIEM"</f>
        <v>PER DIEM</v>
      </c>
      <c r="G242" s="2">
        <v>50</v>
      </c>
      <c r="H242" t="str">
        <f>"PER DIEM"</f>
        <v>PER DIEM</v>
      </c>
    </row>
    <row r="243" spans="1:8" x14ac:dyDescent="0.25">
      <c r="A243" t="s">
        <v>68</v>
      </c>
      <c r="B243">
        <v>1433</v>
      </c>
      <c r="C243" s="2">
        <v>1000</v>
      </c>
      <c r="D243" s="1">
        <v>43732</v>
      </c>
      <c r="E243" t="str">
        <f>"201909171792"</f>
        <v>201909171792</v>
      </c>
      <c r="F243" t="str">
        <f>"906-340-5197A001"</f>
        <v>906-340-5197A001</v>
      </c>
      <c r="G243" s="2">
        <v>250</v>
      </c>
      <c r="H243" t="str">
        <f>"906-340-5197A001"</f>
        <v>906-340-5197A001</v>
      </c>
    </row>
    <row r="244" spans="1:8" x14ac:dyDescent="0.25">
      <c r="E244" t="str">
        <f>"201909171793"</f>
        <v>201909171793</v>
      </c>
      <c r="F244" t="str">
        <f>"8020190404A  925-352-5649A00Y"</f>
        <v>8020190404A  925-352-5649A00Y</v>
      </c>
      <c r="G244" s="2">
        <v>250</v>
      </c>
      <c r="H244" t="str">
        <f>"8020190404A  925-352-5649A00Y"</f>
        <v>8020190404A  925-352-5649A00Y</v>
      </c>
    </row>
    <row r="245" spans="1:8" x14ac:dyDescent="0.25">
      <c r="E245" t="str">
        <f>"201909171794"</f>
        <v>201909171794</v>
      </c>
      <c r="F245" t="str">
        <f>"AC-2018-1210  925-351-3640A001"</f>
        <v>AC-2018-1210  925-351-3640A001</v>
      </c>
      <c r="G245" s="2">
        <v>250</v>
      </c>
      <c r="H245" t="str">
        <f>"AC-2018-1210  925-351-3640A001"</f>
        <v>AC-2018-1210  925-351-3640A001</v>
      </c>
    </row>
    <row r="246" spans="1:8" x14ac:dyDescent="0.25">
      <c r="E246" t="str">
        <f>"201909171795"</f>
        <v>201909171795</v>
      </c>
      <c r="F246" t="str">
        <f>"02-05162-2  925-353-0308A001"</f>
        <v>02-05162-2  925-353-0308A001</v>
      </c>
      <c r="G246" s="2">
        <v>250</v>
      </c>
      <c r="H246" t="str">
        <f>"02-05162-2  925-353-0308A001"</f>
        <v>02-05162-2  925-353-0308A001</v>
      </c>
    </row>
    <row r="247" spans="1:8" x14ac:dyDescent="0.25">
      <c r="A247" t="s">
        <v>69</v>
      </c>
      <c r="B247">
        <v>83779</v>
      </c>
      <c r="C247" s="2">
        <v>15</v>
      </c>
      <c r="D247" s="1">
        <v>43717</v>
      </c>
      <c r="E247" t="str">
        <f>"19-19835"</f>
        <v>19-19835</v>
      </c>
      <c r="F247" t="str">
        <f>"CENTRAL ADOPTION REGISTRY FUND"</f>
        <v>CENTRAL ADOPTION REGISTRY FUND</v>
      </c>
      <c r="G247" s="2">
        <v>15</v>
      </c>
      <c r="H247" t="str">
        <f>"CENTRAL ADOPTION REGISTRY FUND"</f>
        <v>CENTRAL ADOPTION REGISTRY FUND</v>
      </c>
    </row>
    <row r="248" spans="1:8" x14ac:dyDescent="0.25">
      <c r="A248" t="s">
        <v>69</v>
      </c>
      <c r="B248">
        <v>83999</v>
      </c>
      <c r="C248" s="2">
        <v>30</v>
      </c>
      <c r="D248" s="1">
        <v>43731</v>
      </c>
      <c r="E248" t="str">
        <f>"19-19861"</f>
        <v>19-19861</v>
      </c>
      <c r="F248" t="str">
        <f>"CENTRAL ADOPTION REGISTRY FUND"</f>
        <v>CENTRAL ADOPTION REGISTRY FUND</v>
      </c>
      <c r="G248" s="2">
        <v>15</v>
      </c>
      <c r="H248" t="str">
        <f>"CENTRAL ADOPTION REGISTRY FUND"</f>
        <v>CENTRAL ADOPTION REGISTRY FUND</v>
      </c>
    </row>
    <row r="249" spans="1:8" x14ac:dyDescent="0.25">
      <c r="E249" t="str">
        <f>"423-6788"</f>
        <v>423-6788</v>
      </c>
      <c r="F249" t="str">
        <f>"CENTRAL ADOPTION REGISTRY FUND"</f>
        <v>CENTRAL ADOPTION REGISTRY FUND</v>
      </c>
      <c r="G249" s="2">
        <v>15</v>
      </c>
      <c r="H249" t="str">
        <f>"CENTRAL ADOPTION REGISTRY FUND"</f>
        <v>CENTRAL ADOPTION REGISTRY FUND</v>
      </c>
    </row>
    <row r="250" spans="1:8" x14ac:dyDescent="0.25">
      <c r="A250" t="s">
        <v>70</v>
      </c>
      <c r="B250">
        <v>83780</v>
      </c>
      <c r="C250" s="2">
        <v>75</v>
      </c>
      <c r="D250" s="1">
        <v>43717</v>
      </c>
      <c r="E250" t="str">
        <f>"12915"</f>
        <v>12915</v>
      </c>
      <c r="F250" t="str">
        <f>"SERVICE"</f>
        <v>SERVICE</v>
      </c>
      <c r="G250" s="2">
        <v>75</v>
      </c>
      <c r="H250" t="str">
        <f>"SERVICE"</f>
        <v>SERVICE</v>
      </c>
    </row>
    <row r="251" spans="1:8" x14ac:dyDescent="0.25">
      <c r="A251" t="s">
        <v>71</v>
      </c>
      <c r="B251">
        <v>84000</v>
      </c>
      <c r="C251" s="2">
        <v>160</v>
      </c>
      <c r="D251" s="1">
        <v>43731</v>
      </c>
      <c r="E251" t="str">
        <f>"13223"</f>
        <v>13223</v>
      </c>
      <c r="F251" t="str">
        <f>"SERVICE"</f>
        <v>SERVICE</v>
      </c>
      <c r="G251" s="2">
        <v>160</v>
      </c>
      <c r="H251" t="str">
        <f>"SERVICE"</f>
        <v>SERVICE</v>
      </c>
    </row>
    <row r="252" spans="1:8" x14ac:dyDescent="0.25">
      <c r="A252" t="s">
        <v>72</v>
      </c>
      <c r="B252">
        <v>83781</v>
      </c>
      <c r="C252" s="2">
        <v>2022</v>
      </c>
      <c r="D252" s="1">
        <v>43717</v>
      </c>
      <c r="E252" t="str">
        <f>"R11825"</f>
        <v>R11825</v>
      </c>
      <c r="F252" t="str">
        <f>"Callyo Renewal FY 19/20"</f>
        <v>Callyo Renewal FY 19/20</v>
      </c>
      <c r="G252" s="2">
        <v>2022</v>
      </c>
      <c r="H252" t="str">
        <f>"Basic System"</f>
        <v>Basic System</v>
      </c>
    </row>
    <row r="253" spans="1:8" x14ac:dyDescent="0.25">
      <c r="E253" t="str">
        <f>""</f>
        <v/>
      </c>
      <c r="F253" t="str">
        <f>""</f>
        <v/>
      </c>
      <c r="H253" t="str">
        <f>"Callyo Lines"</f>
        <v>Callyo Lines</v>
      </c>
    </row>
    <row r="254" spans="1:8" x14ac:dyDescent="0.25">
      <c r="E254" t="str">
        <f>""</f>
        <v/>
      </c>
      <c r="F254" t="str">
        <f>""</f>
        <v/>
      </c>
      <c r="H254" t="str">
        <f>"Callyo Pro"</f>
        <v>Callyo Pro</v>
      </c>
    </row>
    <row r="255" spans="1:8" x14ac:dyDescent="0.25">
      <c r="E255" t="str">
        <f>""</f>
        <v/>
      </c>
      <c r="F255" t="str">
        <f>""</f>
        <v/>
      </c>
      <c r="H255" t="str">
        <f>"Alliance Support"</f>
        <v>Alliance Support</v>
      </c>
    </row>
    <row r="256" spans="1:8" x14ac:dyDescent="0.25">
      <c r="E256" t="str">
        <f>""</f>
        <v/>
      </c>
      <c r="F256" t="str">
        <f>""</f>
        <v/>
      </c>
      <c r="H256" t="str">
        <f>"Credit Refund"</f>
        <v>Credit Refund</v>
      </c>
    </row>
    <row r="257" spans="1:8" x14ac:dyDescent="0.25">
      <c r="E257" t="str">
        <f>""</f>
        <v/>
      </c>
      <c r="F257" t="str">
        <f>""</f>
        <v/>
      </c>
      <c r="H257" t="str">
        <f>"Discount"</f>
        <v>Discount</v>
      </c>
    </row>
    <row r="258" spans="1:8" x14ac:dyDescent="0.25">
      <c r="A258" t="s">
        <v>73</v>
      </c>
      <c r="B258">
        <v>83782</v>
      </c>
      <c r="C258" s="2">
        <v>160</v>
      </c>
      <c r="D258" s="1">
        <v>43717</v>
      </c>
      <c r="E258" t="str">
        <f>"201909031415"</f>
        <v>201909031415</v>
      </c>
      <c r="F258" t="str">
        <f>"TRAINING"</f>
        <v>TRAINING</v>
      </c>
      <c r="G258" s="2">
        <v>160</v>
      </c>
      <c r="H258" t="str">
        <f>"TRAINING"</f>
        <v>TRAINING</v>
      </c>
    </row>
    <row r="259" spans="1:8" x14ac:dyDescent="0.25">
      <c r="A259" t="s">
        <v>74</v>
      </c>
      <c r="B259">
        <v>1325</v>
      </c>
      <c r="C259" s="2">
        <v>10.130000000000001</v>
      </c>
      <c r="D259" s="1">
        <v>43718</v>
      </c>
      <c r="E259" t="str">
        <f>"1702896"</f>
        <v>1702896</v>
      </c>
      <c r="F259" t="str">
        <f>"ACCT#000690/PARTS/PCT#2"</f>
        <v>ACCT#000690/PARTS/PCT#2</v>
      </c>
      <c r="G259" s="2">
        <v>10.130000000000001</v>
      </c>
      <c r="H259" t="str">
        <f>"ACCT#000690/PARTS/PCT#2"</f>
        <v>ACCT#000690/PARTS/PCT#2</v>
      </c>
    </row>
    <row r="260" spans="1:8" x14ac:dyDescent="0.25">
      <c r="A260" t="s">
        <v>75</v>
      </c>
      <c r="B260">
        <v>216</v>
      </c>
      <c r="C260" s="2">
        <v>7762.24</v>
      </c>
      <c r="D260" s="1">
        <v>43717</v>
      </c>
      <c r="E260" t="str">
        <f>"201909041527"</f>
        <v>201909041527</v>
      </c>
      <c r="F260" t="str">
        <f>"Acct# 0058"</f>
        <v>Acct# 0058</v>
      </c>
      <c r="G260" s="2">
        <v>7762.24</v>
      </c>
      <c r="H260" t="str">
        <f>"Academy"</f>
        <v>Academy</v>
      </c>
    </row>
    <row r="261" spans="1:8" x14ac:dyDescent="0.25">
      <c r="E261" t="str">
        <f>""</f>
        <v/>
      </c>
      <c r="F261" t="str">
        <f>""</f>
        <v/>
      </c>
      <c r="H261" t="str">
        <f>"HEB"</f>
        <v>HEB</v>
      </c>
    </row>
    <row r="262" spans="1:8" x14ac:dyDescent="0.25">
      <c r="E262" t="str">
        <f>""</f>
        <v/>
      </c>
      <c r="F262" t="str">
        <f>""</f>
        <v/>
      </c>
      <c r="H262" t="str">
        <f>"HEB"</f>
        <v>HEB</v>
      </c>
    </row>
    <row r="263" spans="1:8" x14ac:dyDescent="0.25">
      <c r="E263" t="str">
        <f>""</f>
        <v/>
      </c>
      <c r="F263" t="str">
        <f>""</f>
        <v/>
      </c>
      <c r="H263" t="str">
        <f>"Labor Law"</f>
        <v>Labor Law</v>
      </c>
    </row>
    <row r="264" spans="1:8" x14ac:dyDescent="0.25">
      <c r="E264" t="str">
        <f>""</f>
        <v/>
      </c>
      <c r="F264" t="str">
        <f>""</f>
        <v/>
      </c>
      <c r="H264" t="str">
        <f>"SkillPath"</f>
        <v>SkillPath</v>
      </c>
    </row>
    <row r="265" spans="1:8" x14ac:dyDescent="0.25">
      <c r="E265" t="str">
        <f>""</f>
        <v/>
      </c>
      <c r="F265" t="str">
        <f>""</f>
        <v/>
      </c>
      <c r="H265" t="str">
        <f>"Society"</f>
        <v>Society</v>
      </c>
    </row>
    <row r="266" spans="1:8" x14ac:dyDescent="0.25">
      <c r="E266" t="str">
        <f>""</f>
        <v/>
      </c>
      <c r="F266" t="str">
        <f>""</f>
        <v/>
      </c>
      <c r="H266" t="str">
        <f>"Society"</f>
        <v>Society</v>
      </c>
    </row>
    <row r="267" spans="1:8" x14ac:dyDescent="0.25">
      <c r="E267" t="str">
        <f>""</f>
        <v/>
      </c>
      <c r="F267" t="str">
        <f>""</f>
        <v/>
      </c>
      <c r="H267" t="str">
        <f>"Austin Human"</f>
        <v>Austin Human</v>
      </c>
    </row>
    <row r="268" spans="1:8" x14ac:dyDescent="0.25">
      <c r="E268" t="str">
        <f>""</f>
        <v/>
      </c>
      <c r="F268" t="str">
        <f>""</f>
        <v/>
      </c>
      <c r="H268" t="str">
        <f>"Austin Human"</f>
        <v>Austin Human</v>
      </c>
    </row>
    <row r="269" spans="1:8" x14ac:dyDescent="0.25">
      <c r="E269" t="str">
        <f>""</f>
        <v/>
      </c>
      <c r="F269" t="str">
        <f>""</f>
        <v/>
      </c>
      <c r="H269" t="str">
        <f>"Active911"</f>
        <v>Active911</v>
      </c>
    </row>
    <row r="270" spans="1:8" x14ac:dyDescent="0.25">
      <c r="E270" t="str">
        <f>""</f>
        <v/>
      </c>
      <c r="F270" t="str">
        <f>""</f>
        <v/>
      </c>
      <c r="H270" t="str">
        <f>"VistaPrint"</f>
        <v>VistaPrint</v>
      </c>
    </row>
    <row r="271" spans="1:8" x14ac:dyDescent="0.25">
      <c r="E271" t="str">
        <f>""</f>
        <v/>
      </c>
      <c r="F271" t="str">
        <f>""</f>
        <v/>
      </c>
      <c r="H271" t="str">
        <f>"VistaPrint"</f>
        <v>VistaPrint</v>
      </c>
    </row>
    <row r="272" spans="1:8" x14ac:dyDescent="0.25">
      <c r="E272" t="str">
        <f>""</f>
        <v/>
      </c>
      <c r="F272" t="str">
        <f>""</f>
        <v/>
      </c>
      <c r="H272" t="str">
        <f>"UTTEsting"</f>
        <v>UTTEsting</v>
      </c>
    </row>
    <row r="273" spans="5:8" x14ac:dyDescent="0.25">
      <c r="E273" t="str">
        <f>""</f>
        <v/>
      </c>
      <c r="F273" t="str">
        <f>""</f>
        <v/>
      </c>
      <c r="H273" t="str">
        <f>"Walmart"</f>
        <v>Walmart</v>
      </c>
    </row>
    <row r="274" spans="5:8" x14ac:dyDescent="0.25">
      <c r="E274" t="str">
        <f>""</f>
        <v/>
      </c>
      <c r="F274" t="str">
        <f>""</f>
        <v/>
      </c>
      <c r="H274" t="str">
        <f>"Walmart"</f>
        <v>Walmart</v>
      </c>
    </row>
    <row r="275" spans="5:8" x14ac:dyDescent="0.25">
      <c r="E275" t="str">
        <f>""</f>
        <v/>
      </c>
      <c r="F275" t="str">
        <f>""</f>
        <v/>
      </c>
      <c r="H275" t="str">
        <f>"CMC"</f>
        <v>CMC</v>
      </c>
    </row>
    <row r="276" spans="5:8" x14ac:dyDescent="0.25">
      <c r="E276" t="str">
        <f>""</f>
        <v/>
      </c>
      <c r="F276" t="str">
        <f>""</f>
        <v/>
      </c>
      <c r="H276" t="str">
        <f>"ShareIT"</f>
        <v>ShareIT</v>
      </c>
    </row>
    <row r="277" spans="5:8" x14ac:dyDescent="0.25">
      <c r="E277" t="str">
        <f>""</f>
        <v/>
      </c>
      <c r="F277" t="str">
        <f>""</f>
        <v/>
      </c>
      <c r="H277" t="str">
        <f>"Paddle"</f>
        <v>Paddle</v>
      </c>
    </row>
    <row r="278" spans="5:8" x14ac:dyDescent="0.25">
      <c r="E278" t="str">
        <f>""</f>
        <v/>
      </c>
      <c r="F278" t="str">
        <f>""</f>
        <v/>
      </c>
      <c r="H278" t="str">
        <f>"Google"</f>
        <v>Google</v>
      </c>
    </row>
    <row r="279" spans="5:8" x14ac:dyDescent="0.25">
      <c r="E279" t="str">
        <f>""</f>
        <v/>
      </c>
      <c r="F279" t="str">
        <f>""</f>
        <v/>
      </c>
      <c r="H279" t="str">
        <f>"WebEx"</f>
        <v>WebEx</v>
      </c>
    </row>
    <row r="280" spans="5:8" x14ac:dyDescent="0.25">
      <c r="E280" t="str">
        <f>""</f>
        <v/>
      </c>
      <c r="F280" t="str">
        <f>""</f>
        <v/>
      </c>
      <c r="H280" t="str">
        <f>"SHarIT"</f>
        <v>SHarIT</v>
      </c>
    </row>
    <row r="281" spans="5:8" x14ac:dyDescent="0.25">
      <c r="E281" t="str">
        <f>""</f>
        <v/>
      </c>
      <c r="F281" t="str">
        <f>""</f>
        <v/>
      </c>
      <c r="H281" t="str">
        <f>"GoDaddy"</f>
        <v>GoDaddy</v>
      </c>
    </row>
    <row r="282" spans="5:8" x14ac:dyDescent="0.25">
      <c r="E282" t="str">
        <f>""</f>
        <v/>
      </c>
      <c r="F282" t="str">
        <f>""</f>
        <v/>
      </c>
      <c r="H282" t="str">
        <f>"NRPA"</f>
        <v>NRPA</v>
      </c>
    </row>
    <row r="283" spans="5:8" x14ac:dyDescent="0.25">
      <c r="E283" t="str">
        <f>""</f>
        <v/>
      </c>
      <c r="F283" t="str">
        <f>""</f>
        <v/>
      </c>
      <c r="H283" t="str">
        <f>"NRPA"</f>
        <v>NRPA</v>
      </c>
    </row>
    <row r="284" spans="5:8" x14ac:dyDescent="0.25">
      <c r="E284" t="str">
        <f>""</f>
        <v/>
      </c>
      <c r="F284" t="str">
        <f>""</f>
        <v/>
      </c>
      <c r="H284" t="str">
        <f>"HEB"</f>
        <v>HEB</v>
      </c>
    </row>
    <row r="285" spans="5:8" x14ac:dyDescent="0.25">
      <c r="E285" t="str">
        <f>""</f>
        <v/>
      </c>
      <c r="F285" t="str">
        <f>""</f>
        <v/>
      </c>
      <c r="H285" t="str">
        <f>"DiscountTire"</f>
        <v>DiscountTire</v>
      </c>
    </row>
    <row r="286" spans="5:8" x14ac:dyDescent="0.25">
      <c r="E286" t="str">
        <f>""</f>
        <v/>
      </c>
      <c r="F286" t="str">
        <f>""</f>
        <v/>
      </c>
      <c r="H286" t="str">
        <f>"Charles Adams"</f>
        <v>Charles Adams</v>
      </c>
    </row>
    <row r="287" spans="5:8" x14ac:dyDescent="0.25">
      <c r="E287" t="str">
        <f>""</f>
        <v/>
      </c>
      <c r="F287" t="str">
        <f>""</f>
        <v/>
      </c>
      <c r="H287" t="str">
        <f>"Erika DeJesus"</f>
        <v>Erika DeJesus</v>
      </c>
    </row>
    <row r="288" spans="5:8" x14ac:dyDescent="0.25">
      <c r="E288" t="str">
        <f>""</f>
        <v/>
      </c>
      <c r="F288" t="str">
        <f>""</f>
        <v/>
      </c>
      <c r="H288" t="str">
        <f>"Rosanna Garza"</f>
        <v>Rosanna Garza</v>
      </c>
    </row>
    <row r="289" spans="1:8" x14ac:dyDescent="0.25">
      <c r="E289" t="str">
        <f>""</f>
        <v/>
      </c>
      <c r="F289" t="str">
        <f>""</f>
        <v/>
      </c>
      <c r="H289" t="str">
        <f>"Robert Bennet"</f>
        <v>Robert Bennet</v>
      </c>
    </row>
    <row r="290" spans="1:8" x14ac:dyDescent="0.25">
      <c r="E290" t="str">
        <f>""</f>
        <v/>
      </c>
      <c r="F290" t="str">
        <f>""</f>
        <v/>
      </c>
      <c r="H290" t="str">
        <f>"Annette Murley"</f>
        <v>Annette Murley</v>
      </c>
    </row>
    <row r="291" spans="1:8" x14ac:dyDescent="0.25">
      <c r="E291" t="str">
        <f>""</f>
        <v/>
      </c>
      <c r="F291" t="str">
        <f>""</f>
        <v/>
      </c>
      <c r="H291" t="str">
        <f>"WM SUpercenter"</f>
        <v>WM SUpercenter</v>
      </c>
    </row>
    <row r="292" spans="1:8" x14ac:dyDescent="0.25">
      <c r="E292" t="str">
        <f>""</f>
        <v/>
      </c>
      <c r="F292" t="str">
        <f>""</f>
        <v/>
      </c>
      <c r="H292" t="str">
        <f>"WASP"</f>
        <v>WASP</v>
      </c>
    </row>
    <row r="293" spans="1:8" x14ac:dyDescent="0.25">
      <c r="E293" t="str">
        <f>""</f>
        <v/>
      </c>
      <c r="F293" t="str">
        <f>""</f>
        <v/>
      </c>
      <c r="H293" t="str">
        <f>"TexasElections"</f>
        <v>TexasElections</v>
      </c>
    </row>
    <row r="294" spans="1:8" x14ac:dyDescent="0.25">
      <c r="E294" t="str">
        <f>""</f>
        <v/>
      </c>
      <c r="F294" t="str">
        <f>""</f>
        <v/>
      </c>
      <c r="H294" t="str">
        <f>"USPS"</f>
        <v>USPS</v>
      </c>
    </row>
    <row r="295" spans="1:8" x14ac:dyDescent="0.25">
      <c r="E295" t="str">
        <f>""</f>
        <v/>
      </c>
      <c r="F295" t="str">
        <f>""</f>
        <v/>
      </c>
      <c r="H295" t="str">
        <f>"Academy"</f>
        <v>Academy</v>
      </c>
    </row>
    <row r="296" spans="1:8" x14ac:dyDescent="0.25">
      <c r="E296" t="str">
        <f>""</f>
        <v/>
      </c>
      <c r="F296" t="str">
        <f>""</f>
        <v/>
      </c>
      <c r="H296" t="str">
        <f>"HEB"</f>
        <v>HEB</v>
      </c>
    </row>
    <row r="297" spans="1:8" x14ac:dyDescent="0.25">
      <c r="E297" t="str">
        <f>""</f>
        <v/>
      </c>
      <c r="F297" t="str">
        <f>""</f>
        <v/>
      </c>
      <c r="H297" t="str">
        <f>"TExas Flood Plain"</f>
        <v>TExas Flood Plain</v>
      </c>
    </row>
    <row r="298" spans="1:8" x14ac:dyDescent="0.25">
      <c r="E298" t="str">
        <f>""</f>
        <v/>
      </c>
      <c r="F298" t="str">
        <f>""</f>
        <v/>
      </c>
      <c r="H298" t="str">
        <f>"RMA Toll"</f>
        <v>RMA Toll</v>
      </c>
    </row>
    <row r="299" spans="1:8" x14ac:dyDescent="0.25">
      <c r="E299" t="str">
        <f>""</f>
        <v/>
      </c>
      <c r="F299" t="str">
        <f>""</f>
        <v/>
      </c>
      <c r="H299" t="str">
        <f>"RMA"</f>
        <v>RMA</v>
      </c>
    </row>
    <row r="300" spans="1:8" x14ac:dyDescent="0.25">
      <c r="E300" t="str">
        <f>""</f>
        <v/>
      </c>
      <c r="F300" t="str">
        <f>""</f>
        <v/>
      </c>
      <c r="H300" t="str">
        <f>"EMbassy Suites"</f>
        <v>EMbassy Suites</v>
      </c>
    </row>
    <row r="301" spans="1:8" x14ac:dyDescent="0.25">
      <c r="E301" t="str">
        <f>""</f>
        <v/>
      </c>
      <c r="F301" t="str">
        <f>""</f>
        <v/>
      </c>
      <c r="H301" t="str">
        <f>"Embassy Suites"</f>
        <v>Embassy Suites</v>
      </c>
    </row>
    <row r="302" spans="1:8" x14ac:dyDescent="0.25">
      <c r="E302" t="str">
        <f>""</f>
        <v/>
      </c>
      <c r="F302" t="str">
        <f>""</f>
        <v/>
      </c>
      <c r="H302" t="str">
        <f>"TheParkingSpot"</f>
        <v>TheParkingSpot</v>
      </c>
    </row>
    <row r="303" spans="1:8" x14ac:dyDescent="0.25">
      <c r="A303" t="s">
        <v>75</v>
      </c>
      <c r="B303">
        <v>225</v>
      </c>
      <c r="C303" s="2">
        <v>2658.99</v>
      </c>
      <c r="D303" s="1">
        <v>43731</v>
      </c>
      <c r="E303" t="str">
        <f>"201909181960"</f>
        <v>201909181960</v>
      </c>
      <c r="F303" t="str">
        <f>"0574STATEMENT 07/24-08/23"</f>
        <v>0574STATEMENT 07/24-08/23</v>
      </c>
      <c r="G303" s="2">
        <v>2658.99</v>
      </c>
      <c r="H303" t="str">
        <f>"TX POLICE ASSOCIATIO"</f>
        <v>TX POLICE ASSOCIATIO</v>
      </c>
    </row>
    <row r="304" spans="1:8" x14ac:dyDescent="0.25">
      <c r="E304" t="str">
        <f>""</f>
        <v/>
      </c>
      <c r="F304" t="str">
        <f>""</f>
        <v/>
      </c>
      <c r="H304" t="str">
        <f>"WALMART"</f>
        <v>WALMART</v>
      </c>
    </row>
    <row r="305" spans="1:8" x14ac:dyDescent="0.25">
      <c r="E305" t="str">
        <f>""</f>
        <v/>
      </c>
      <c r="F305" t="str">
        <f>""</f>
        <v/>
      </c>
      <c r="H305" t="str">
        <f>"STAPLES"</f>
        <v>STAPLES</v>
      </c>
    </row>
    <row r="306" spans="1:8" x14ac:dyDescent="0.25">
      <c r="E306" t="str">
        <f>""</f>
        <v/>
      </c>
      <c r="F306" t="str">
        <f>""</f>
        <v/>
      </c>
      <c r="H306" t="str">
        <f>"KARA AND LA MANSION"</f>
        <v>KARA AND LA MANSION</v>
      </c>
    </row>
    <row r="307" spans="1:8" x14ac:dyDescent="0.25">
      <c r="E307" t="str">
        <f>""</f>
        <v/>
      </c>
      <c r="F307" t="str">
        <f>""</f>
        <v/>
      </c>
      <c r="H307" t="str">
        <f>"DURY INN"</f>
        <v>DURY INN</v>
      </c>
    </row>
    <row r="308" spans="1:8" x14ac:dyDescent="0.25">
      <c r="E308" t="str">
        <f>""</f>
        <v/>
      </c>
      <c r="F308" t="str">
        <f>""</f>
        <v/>
      </c>
      <c r="H308" t="str">
        <f>"FAITMONT HOTEL - PK"</f>
        <v>FAITMONT HOTEL - PK</v>
      </c>
    </row>
    <row r="309" spans="1:8" x14ac:dyDescent="0.25">
      <c r="E309" t="str">
        <f>""</f>
        <v/>
      </c>
      <c r="F309" t="str">
        <f>""</f>
        <v/>
      </c>
      <c r="H309" t="str">
        <f>"FAIRMONT HOTEL"</f>
        <v>FAIRMONT HOTEL</v>
      </c>
    </row>
    <row r="310" spans="1:8" x14ac:dyDescent="0.25">
      <c r="E310" t="str">
        <f>""</f>
        <v/>
      </c>
      <c r="F310" t="str">
        <f>""</f>
        <v/>
      </c>
      <c r="H310" t="str">
        <f>"WHITE S LEATHER WORK"</f>
        <v>WHITE S LEATHER WORK</v>
      </c>
    </row>
    <row r="311" spans="1:8" x14ac:dyDescent="0.25">
      <c r="E311" t="str">
        <f>""</f>
        <v/>
      </c>
      <c r="F311" t="str">
        <f>""</f>
        <v/>
      </c>
      <c r="H311" t="str">
        <f>"WALMART"</f>
        <v>WALMART</v>
      </c>
    </row>
    <row r="312" spans="1:8" x14ac:dyDescent="0.25">
      <c r="E312" t="str">
        <f>""</f>
        <v/>
      </c>
      <c r="F312" t="str">
        <f>""</f>
        <v/>
      </c>
      <c r="H312" t="str">
        <f>"INTEREST"</f>
        <v>INTEREST</v>
      </c>
    </row>
    <row r="313" spans="1:8" x14ac:dyDescent="0.25">
      <c r="E313" t="str">
        <f>""</f>
        <v/>
      </c>
      <c r="F313" t="str">
        <f>""</f>
        <v/>
      </c>
      <c r="H313" t="str">
        <f>"WWW.GRABBARSPECIALIS"</f>
        <v>WWW.GRABBARSPECIALIS</v>
      </c>
    </row>
    <row r="314" spans="1:8" x14ac:dyDescent="0.25">
      <c r="A314" t="s">
        <v>75</v>
      </c>
      <c r="B314">
        <v>243</v>
      </c>
      <c r="C314" s="2">
        <v>5016.42</v>
      </c>
      <c r="D314" s="1">
        <v>43738</v>
      </c>
      <c r="E314" t="str">
        <f>"201910082335"</f>
        <v>201910082335</v>
      </c>
      <c r="F314" t="str">
        <f>"act# 0058"</f>
        <v>act# 0058</v>
      </c>
      <c r="G314" s="2">
        <v>5016.42</v>
      </c>
      <c r="H314" t="str">
        <f>"ISla"</f>
        <v>ISla</v>
      </c>
    </row>
    <row r="315" spans="1:8" x14ac:dyDescent="0.25">
      <c r="E315" t="str">
        <f>""</f>
        <v/>
      </c>
      <c r="F315" t="str">
        <f>""</f>
        <v/>
      </c>
      <c r="H315" t="str">
        <f>"wheniwork"</f>
        <v>wheniwork</v>
      </c>
    </row>
    <row r="316" spans="1:8" x14ac:dyDescent="0.25">
      <c r="E316" t="str">
        <f>""</f>
        <v/>
      </c>
      <c r="F316" t="str">
        <f>""</f>
        <v/>
      </c>
      <c r="H316" t="str">
        <f>"Speed Press"</f>
        <v>Speed Press</v>
      </c>
    </row>
    <row r="317" spans="1:8" x14ac:dyDescent="0.25">
      <c r="E317" t="str">
        <f>""</f>
        <v/>
      </c>
      <c r="F317" t="str">
        <f>""</f>
        <v/>
      </c>
      <c r="H317" t="str">
        <f>"google"</f>
        <v>google</v>
      </c>
    </row>
    <row r="318" spans="1:8" x14ac:dyDescent="0.25">
      <c r="E318" t="str">
        <f>""</f>
        <v/>
      </c>
      <c r="F318" t="str">
        <f>""</f>
        <v/>
      </c>
      <c r="H318" t="str">
        <f>"WebEx"</f>
        <v>WebEx</v>
      </c>
    </row>
    <row r="319" spans="1:8" x14ac:dyDescent="0.25">
      <c r="E319" t="str">
        <f>""</f>
        <v/>
      </c>
      <c r="F319" t="str">
        <f>""</f>
        <v/>
      </c>
      <c r="H319" t="str">
        <f>"HEB"</f>
        <v>HEB</v>
      </c>
    </row>
    <row r="320" spans="1:8" x14ac:dyDescent="0.25">
      <c r="E320" t="str">
        <f>""</f>
        <v/>
      </c>
      <c r="F320" t="str">
        <f>""</f>
        <v/>
      </c>
      <c r="H320" t="str">
        <f>"TxTag"</f>
        <v>TxTag</v>
      </c>
    </row>
    <row r="321" spans="5:8" x14ac:dyDescent="0.25">
      <c r="E321" t="str">
        <f>""</f>
        <v/>
      </c>
      <c r="F321" t="str">
        <f>""</f>
        <v/>
      </c>
      <c r="H321" t="str">
        <f>"BLue360"</f>
        <v>BLue360</v>
      </c>
    </row>
    <row r="322" spans="5:8" x14ac:dyDescent="0.25">
      <c r="E322" t="str">
        <f>""</f>
        <v/>
      </c>
      <c r="F322" t="str">
        <f>""</f>
        <v/>
      </c>
      <c r="H322" t="str">
        <f>"comfort inn"</f>
        <v>comfort inn</v>
      </c>
    </row>
    <row r="323" spans="5:8" x14ac:dyDescent="0.25">
      <c r="E323" t="str">
        <f>""</f>
        <v/>
      </c>
      <c r="F323" t="str">
        <f>""</f>
        <v/>
      </c>
      <c r="H323" t="str">
        <f>"Comfort"</f>
        <v>Comfort</v>
      </c>
    </row>
    <row r="324" spans="5:8" x14ac:dyDescent="0.25">
      <c r="E324" t="str">
        <f>""</f>
        <v/>
      </c>
      <c r="F324" t="str">
        <f>""</f>
        <v/>
      </c>
      <c r="H324" t="str">
        <f>"Blue360"</f>
        <v>Blue360</v>
      </c>
    </row>
    <row r="325" spans="5:8" x14ac:dyDescent="0.25">
      <c r="E325" t="str">
        <f>""</f>
        <v/>
      </c>
      <c r="F325" t="str">
        <f>""</f>
        <v/>
      </c>
      <c r="H325" t="str">
        <f>"Erika Dejesus"</f>
        <v>Erika Dejesus</v>
      </c>
    </row>
    <row r="326" spans="5:8" x14ac:dyDescent="0.25">
      <c r="E326" t="str">
        <f>""</f>
        <v/>
      </c>
      <c r="F326" t="str">
        <f>""</f>
        <v/>
      </c>
      <c r="H326" t="str">
        <f>"Rosanna Garza"</f>
        <v>Rosanna Garza</v>
      </c>
    </row>
    <row r="327" spans="5:8" x14ac:dyDescent="0.25">
      <c r="E327" t="str">
        <f>""</f>
        <v/>
      </c>
      <c r="F327" t="str">
        <f>""</f>
        <v/>
      </c>
      <c r="H327" t="str">
        <f>"Robert Bennet"</f>
        <v>Robert Bennet</v>
      </c>
    </row>
    <row r="328" spans="5:8" x14ac:dyDescent="0.25">
      <c r="E328" t="str">
        <f>""</f>
        <v/>
      </c>
      <c r="F328" t="str">
        <f>""</f>
        <v/>
      </c>
      <c r="H328" t="str">
        <f>"Annette Murley"</f>
        <v>Annette Murley</v>
      </c>
    </row>
    <row r="329" spans="5:8" x14ac:dyDescent="0.25">
      <c r="E329" t="str">
        <f>""</f>
        <v/>
      </c>
      <c r="F329" t="str">
        <f>""</f>
        <v/>
      </c>
      <c r="H329" t="str">
        <f>"Walmart"</f>
        <v>Walmart</v>
      </c>
    </row>
    <row r="330" spans="5:8" x14ac:dyDescent="0.25">
      <c r="E330" t="str">
        <f>""</f>
        <v/>
      </c>
      <c r="F330" t="str">
        <f>""</f>
        <v/>
      </c>
      <c r="H330" t="str">
        <f>"Walmart"</f>
        <v>Walmart</v>
      </c>
    </row>
    <row r="331" spans="5:8" x14ac:dyDescent="0.25">
      <c r="E331" t="str">
        <f>""</f>
        <v/>
      </c>
      <c r="F331" t="str">
        <f>""</f>
        <v/>
      </c>
      <c r="H331" t="str">
        <f>"staples"</f>
        <v>staples</v>
      </c>
    </row>
    <row r="332" spans="5:8" x14ac:dyDescent="0.25">
      <c r="E332" t="str">
        <f>""</f>
        <v/>
      </c>
      <c r="F332" t="str">
        <f>""</f>
        <v/>
      </c>
      <c r="H332" t="str">
        <f>"walmart"</f>
        <v>walmart</v>
      </c>
    </row>
    <row r="333" spans="5:8" x14ac:dyDescent="0.25">
      <c r="E333" t="str">
        <f>""</f>
        <v/>
      </c>
      <c r="F333" t="str">
        <f>""</f>
        <v/>
      </c>
      <c r="H333" t="str">
        <f>"academy"</f>
        <v>academy</v>
      </c>
    </row>
    <row r="334" spans="5:8" x14ac:dyDescent="0.25">
      <c r="E334" t="str">
        <f>""</f>
        <v/>
      </c>
      <c r="F334" t="str">
        <f>""</f>
        <v/>
      </c>
      <c r="H334" t="str">
        <f>"payapl"</f>
        <v>payapl</v>
      </c>
    </row>
    <row r="335" spans="5:8" x14ac:dyDescent="0.25">
      <c r="E335" t="str">
        <f>""</f>
        <v/>
      </c>
      <c r="F335" t="str">
        <f>""</f>
        <v/>
      </c>
      <c r="H335" t="str">
        <f>"paypal"</f>
        <v>paypal</v>
      </c>
    </row>
    <row r="336" spans="5:8" x14ac:dyDescent="0.25">
      <c r="E336" t="str">
        <f>""</f>
        <v/>
      </c>
      <c r="F336" t="str">
        <f>""</f>
        <v/>
      </c>
      <c r="H336" t="str">
        <f>"TxTag"</f>
        <v>TxTag</v>
      </c>
    </row>
    <row r="337" spans="1:8" x14ac:dyDescent="0.25">
      <c r="E337" t="str">
        <f>""</f>
        <v/>
      </c>
      <c r="F337" t="str">
        <f>""</f>
        <v/>
      </c>
      <c r="H337" t="str">
        <f>"TxTag"</f>
        <v>TxTag</v>
      </c>
    </row>
    <row r="338" spans="1:8" x14ac:dyDescent="0.25">
      <c r="E338" t="str">
        <f>""</f>
        <v/>
      </c>
      <c r="F338" t="str">
        <f>""</f>
        <v/>
      </c>
      <c r="H338" t="str">
        <f>"Walmart"</f>
        <v>Walmart</v>
      </c>
    </row>
    <row r="339" spans="1:8" x14ac:dyDescent="0.25">
      <c r="E339" t="str">
        <f>""</f>
        <v/>
      </c>
      <c r="F339" t="str">
        <f>""</f>
        <v/>
      </c>
      <c r="H339" t="str">
        <f>"texas"</f>
        <v>texas</v>
      </c>
    </row>
    <row r="340" spans="1:8" x14ac:dyDescent="0.25">
      <c r="E340" t="str">
        <f>""</f>
        <v/>
      </c>
      <c r="F340" t="str">
        <f>""</f>
        <v/>
      </c>
      <c r="H340" t="str">
        <f>"Southwest"</f>
        <v>Southwest</v>
      </c>
    </row>
    <row r="341" spans="1:8" x14ac:dyDescent="0.25">
      <c r="E341" t="str">
        <f>""</f>
        <v/>
      </c>
      <c r="F341" t="str">
        <f>""</f>
        <v/>
      </c>
      <c r="H341" t="str">
        <f>"TxTag"</f>
        <v>TxTag</v>
      </c>
    </row>
    <row r="342" spans="1:8" x14ac:dyDescent="0.25">
      <c r="E342" t="str">
        <f>""</f>
        <v/>
      </c>
      <c r="F342" t="str">
        <f>""</f>
        <v/>
      </c>
      <c r="H342" t="str">
        <f>"TxTag"</f>
        <v>TxTag</v>
      </c>
    </row>
    <row r="343" spans="1:8" x14ac:dyDescent="0.25">
      <c r="E343" t="str">
        <f>""</f>
        <v/>
      </c>
      <c r="F343" t="str">
        <f>""</f>
        <v/>
      </c>
      <c r="H343" t="str">
        <f>"hyatt"</f>
        <v>hyatt</v>
      </c>
    </row>
    <row r="344" spans="1:8" x14ac:dyDescent="0.25">
      <c r="E344" t="str">
        <f>""</f>
        <v/>
      </c>
      <c r="F344" t="str">
        <f>""</f>
        <v/>
      </c>
      <c r="H344" t="str">
        <f>"Walmart"</f>
        <v>Walmart</v>
      </c>
    </row>
    <row r="345" spans="1:8" x14ac:dyDescent="0.25">
      <c r="E345" t="str">
        <f>""</f>
        <v/>
      </c>
      <c r="F345" t="str">
        <f>""</f>
        <v/>
      </c>
      <c r="H345" t="str">
        <f>"RMA"</f>
        <v>RMA</v>
      </c>
    </row>
    <row r="346" spans="1:8" x14ac:dyDescent="0.25">
      <c r="E346" t="str">
        <f>""</f>
        <v/>
      </c>
      <c r="F346" t="str">
        <f>""</f>
        <v/>
      </c>
      <c r="H346" t="str">
        <f>"RMA"</f>
        <v>RMA</v>
      </c>
    </row>
    <row r="347" spans="1:8" x14ac:dyDescent="0.25">
      <c r="E347" t="str">
        <f>""</f>
        <v/>
      </c>
      <c r="F347" t="str">
        <f>""</f>
        <v/>
      </c>
      <c r="H347" t="str">
        <f>"TxTag"</f>
        <v>TxTag</v>
      </c>
    </row>
    <row r="348" spans="1:8" x14ac:dyDescent="0.25">
      <c r="E348" t="str">
        <f>""</f>
        <v/>
      </c>
      <c r="F348" t="str">
        <f>""</f>
        <v/>
      </c>
      <c r="H348" t="str">
        <f>"TxTag"</f>
        <v>TxTag</v>
      </c>
    </row>
    <row r="349" spans="1:8" x14ac:dyDescent="0.25">
      <c r="E349" t="str">
        <f>""</f>
        <v/>
      </c>
      <c r="F349" t="str">
        <f>""</f>
        <v/>
      </c>
      <c r="H349" t="str">
        <f>"7-eleven"</f>
        <v>7-eleven</v>
      </c>
    </row>
    <row r="350" spans="1:8" x14ac:dyDescent="0.25">
      <c r="E350" t="str">
        <f>""</f>
        <v/>
      </c>
      <c r="F350" t="str">
        <f>""</f>
        <v/>
      </c>
      <c r="H350" t="str">
        <f>"hyatt"</f>
        <v>hyatt</v>
      </c>
    </row>
    <row r="351" spans="1:8" x14ac:dyDescent="0.25">
      <c r="A351" t="s">
        <v>75</v>
      </c>
      <c r="B351">
        <v>264</v>
      </c>
      <c r="C351" s="2">
        <v>3516.75</v>
      </c>
      <c r="D351" s="1">
        <v>43738</v>
      </c>
      <c r="E351" t="str">
        <f>"201911053008"</f>
        <v>201911053008</v>
      </c>
      <c r="F351" t="str">
        <f>"acct# 0058"</f>
        <v>acct# 0058</v>
      </c>
      <c r="G351" s="2">
        <v>3516.75</v>
      </c>
      <c r="H351" t="str">
        <f>"TxTag"</f>
        <v>TxTag</v>
      </c>
    </row>
    <row r="352" spans="1:8" x14ac:dyDescent="0.25">
      <c r="E352" t="str">
        <f>""</f>
        <v/>
      </c>
      <c r="F352" t="str">
        <f>""</f>
        <v/>
      </c>
      <c r="H352" t="str">
        <f>"Go Daddy"</f>
        <v>Go Daddy</v>
      </c>
    </row>
    <row r="353" spans="1:8" x14ac:dyDescent="0.25">
      <c r="E353" t="str">
        <f>""</f>
        <v/>
      </c>
      <c r="F353" t="str">
        <f>""</f>
        <v/>
      </c>
      <c r="H353" t="str">
        <f>"GoDaddy"</f>
        <v>GoDaddy</v>
      </c>
    </row>
    <row r="354" spans="1:8" x14ac:dyDescent="0.25">
      <c r="E354" t="str">
        <f>""</f>
        <v/>
      </c>
      <c r="F354" t="str">
        <f>""</f>
        <v/>
      </c>
      <c r="H354" t="str">
        <f>"JKB"</f>
        <v>JKB</v>
      </c>
    </row>
    <row r="355" spans="1:8" x14ac:dyDescent="0.25">
      <c r="E355" t="str">
        <f>""</f>
        <v/>
      </c>
      <c r="F355" t="str">
        <f>""</f>
        <v/>
      </c>
      <c r="H355" t="str">
        <f>"JKB"</f>
        <v>JKB</v>
      </c>
    </row>
    <row r="356" spans="1:8" x14ac:dyDescent="0.25">
      <c r="E356" t="str">
        <f>""</f>
        <v/>
      </c>
      <c r="F356" t="str">
        <f>""</f>
        <v/>
      </c>
      <c r="H356" t="str">
        <f>"Hyatt"</f>
        <v>Hyatt</v>
      </c>
    </row>
    <row r="357" spans="1:8" x14ac:dyDescent="0.25">
      <c r="E357" t="str">
        <f>""</f>
        <v/>
      </c>
      <c r="F357" t="str">
        <f>""</f>
        <v/>
      </c>
      <c r="H357" t="str">
        <f>"Hyatt"</f>
        <v>Hyatt</v>
      </c>
    </row>
    <row r="358" spans="1:8" x14ac:dyDescent="0.25">
      <c r="E358" t="str">
        <f>""</f>
        <v/>
      </c>
      <c r="F358" t="str">
        <f>""</f>
        <v/>
      </c>
      <c r="H358" t="str">
        <f>"Erika DeJesus"</f>
        <v>Erika DeJesus</v>
      </c>
    </row>
    <row r="359" spans="1:8" x14ac:dyDescent="0.25">
      <c r="E359" t="str">
        <f>""</f>
        <v/>
      </c>
      <c r="F359" t="str">
        <f>""</f>
        <v/>
      </c>
      <c r="H359" t="str">
        <f>"Robert Bennet"</f>
        <v>Robert Bennet</v>
      </c>
    </row>
    <row r="360" spans="1:8" x14ac:dyDescent="0.25">
      <c r="E360" t="str">
        <f>""</f>
        <v/>
      </c>
      <c r="F360" t="str">
        <f>""</f>
        <v/>
      </c>
      <c r="H360" t="str">
        <f>"Annette Murley"</f>
        <v>Annette Murley</v>
      </c>
    </row>
    <row r="361" spans="1:8" x14ac:dyDescent="0.25">
      <c r="E361" t="str">
        <f>""</f>
        <v/>
      </c>
      <c r="F361" t="str">
        <f>""</f>
        <v/>
      </c>
      <c r="H361" t="str">
        <f>"TxTag"</f>
        <v>TxTag</v>
      </c>
    </row>
    <row r="362" spans="1:8" x14ac:dyDescent="0.25">
      <c r="E362" t="str">
        <f>""</f>
        <v/>
      </c>
      <c r="F362" t="str">
        <f>""</f>
        <v/>
      </c>
      <c r="H362" t="str">
        <f>"UPS"</f>
        <v>UPS</v>
      </c>
    </row>
    <row r="363" spans="1:8" x14ac:dyDescent="0.25">
      <c r="E363" t="str">
        <f>""</f>
        <v/>
      </c>
      <c r="F363" t="str">
        <f>""</f>
        <v/>
      </c>
      <c r="H363" t="str">
        <f>"TxTag"</f>
        <v>TxTag</v>
      </c>
    </row>
    <row r="364" spans="1:8" x14ac:dyDescent="0.25">
      <c r="E364" t="str">
        <f>""</f>
        <v/>
      </c>
      <c r="F364" t="str">
        <f>""</f>
        <v/>
      </c>
      <c r="H364" t="str">
        <f>"RMA"</f>
        <v>RMA</v>
      </c>
    </row>
    <row r="365" spans="1:8" x14ac:dyDescent="0.25">
      <c r="E365" t="str">
        <f>""</f>
        <v/>
      </c>
      <c r="F365" t="str">
        <f>""</f>
        <v/>
      </c>
      <c r="H365" t="str">
        <f>"TxTag"</f>
        <v>TxTag</v>
      </c>
    </row>
    <row r="366" spans="1:8" x14ac:dyDescent="0.25">
      <c r="E366" t="str">
        <f>""</f>
        <v/>
      </c>
      <c r="F366" t="str">
        <f>""</f>
        <v/>
      </c>
      <c r="H366" t="str">
        <f>"HOtel"</f>
        <v>HOtel</v>
      </c>
    </row>
    <row r="367" spans="1:8" x14ac:dyDescent="0.25">
      <c r="E367" t="str">
        <f>""</f>
        <v/>
      </c>
      <c r="F367" t="str">
        <f>""</f>
        <v/>
      </c>
      <c r="H367" t="str">
        <f>"Hotel"</f>
        <v>Hotel</v>
      </c>
    </row>
    <row r="368" spans="1:8" x14ac:dyDescent="0.25">
      <c r="A368" t="s">
        <v>75</v>
      </c>
      <c r="B368">
        <v>244</v>
      </c>
      <c r="C368" s="2">
        <v>1095</v>
      </c>
      <c r="D368" s="1">
        <v>43738</v>
      </c>
      <c r="E368" t="str">
        <f>"201910082369"</f>
        <v>201910082369</v>
      </c>
      <c r="F368" t="str">
        <f>"STATEMENT FOR CARD 0574"</f>
        <v>STATEMENT FOR CARD 0574</v>
      </c>
      <c r="G368" s="2">
        <v>1095</v>
      </c>
      <c r="H368" t="str">
        <f>"COMFORT INN"</f>
        <v>COMFORT INN</v>
      </c>
    </row>
    <row r="369" spans="1:8" x14ac:dyDescent="0.25">
      <c r="E369" t="str">
        <f>""</f>
        <v/>
      </c>
      <c r="F369" t="str">
        <f>""</f>
        <v/>
      </c>
      <c r="H369" t="str">
        <f>"BAYMONT INN"</f>
        <v>BAYMONT INN</v>
      </c>
    </row>
    <row r="370" spans="1:8" x14ac:dyDescent="0.25">
      <c r="E370" t="str">
        <f>""</f>
        <v/>
      </c>
      <c r="F370" t="str">
        <f>""</f>
        <v/>
      </c>
      <c r="H370" t="str">
        <f>"HAMPTON INN"</f>
        <v>HAMPTON INN</v>
      </c>
    </row>
    <row r="371" spans="1:8" x14ac:dyDescent="0.25">
      <c r="E371" t="str">
        <f>""</f>
        <v/>
      </c>
      <c r="F371" t="str">
        <f>""</f>
        <v/>
      </c>
      <c r="H371" t="str">
        <f>"COMFORT SUITES"</f>
        <v>COMFORT SUITES</v>
      </c>
    </row>
    <row r="372" spans="1:8" x14ac:dyDescent="0.25">
      <c r="E372" t="str">
        <f>""</f>
        <v/>
      </c>
      <c r="F372" t="str">
        <f>""</f>
        <v/>
      </c>
      <c r="H372" t="str">
        <f>"TXDPS"</f>
        <v>TXDPS</v>
      </c>
    </row>
    <row r="373" spans="1:8" x14ac:dyDescent="0.25">
      <c r="E373" t="str">
        <f>""</f>
        <v/>
      </c>
      <c r="F373" t="str">
        <f>""</f>
        <v/>
      </c>
      <c r="H373" t="str">
        <f>"TXDPS"</f>
        <v>TXDPS</v>
      </c>
    </row>
    <row r="374" spans="1:8" x14ac:dyDescent="0.25">
      <c r="E374" t="str">
        <f>""</f>
        <v/>
      </c>
      <c r="F374" t="str">
        <f>""</f>
        <v/>
      </c>
      <c r="H374" t="str">
        <f>"TXDPS"</f>
        <v>TXDPS</v>
      </c>
    </row>
    <row r="375" spans="1:8" x14ac:dyDescent="0.25">
      <c r="E375" t="str">
        <f>""</f>
        <v/>
      </c>
      <c r="F375" t="str">
        <f>""</f>
        <v/>
      </c>
      <c r="H375" t="str">
        <f>"INTEREST"</f>
        <v>INTEREST</v>
      </c>
    </row>
    <row r="376" spans="1:8" x14ac:dyDescent="0.25">
      <c r="E376" t="str">
        <f>""</f>
        <v/>
      </c>
      <c r="F376" t="str">
        <f>""</f>
        <v/>
      </c>
      <c r="H376" t="str">
        <f>"LATE FEE"</f>
        <v>LATE FEE</v>
      </c>
    </row>
    <row r="377" spans="1:8" x14ac:dyDescent="0.25">
      <c r="E377" t="str">
        <f>""</f>
        <v/>
      </c>
      <c r="F377" t="str">
        <f>""</f>
        <v/>
      </c>
      <c r="H377" t="str">
        <f>"HOME DEPOT"</f>
        <v>HOME DEPOT</v>
      </c>
    </row>
    <row r="378" spans="1:8" x14ac:dyDescent="0.25">
      <c r="A378" t="s">
        <v>75</v>
      </c>
      <c r="B378">
        <v>266</v>
      </c>
      <c r="C378" s="2">
        <v>426.1</v>
      </c>
      <c r="D378" s="1">
        <v>43738</v>
      </c>
      <c r="E378" t="str">
        <f>"201911063023"</f>
        <v>201911063023</v>
      </c>
      <c r="F378" t="str">
        <f>"STATEMENT CARD 0574"</f>
        <v>STATEMENT CARD 0574</v>
      </c>
      <c r="G378" s="2">
        <v>426.1</v>
      </c>
      <c r="H378" t="str">
        <f>"ORIENTAL TRADING"</f>
        <v>ORIENTAL TRADING</v>
      </c>
    </row>
    <row r="379" spans="1:8" x14ac:dyDescent="0.25">
      <c r="E379" t="str">
        <f>""</f>
        <v/>
      </c>
      <c r="F379" t="str">
        <f>""</f>
        <v/>
      </c>
      <c r="H379" t="str">
        <f>"LOWE'S"</f>
        <v>LOWE'S</v>
      </c>
    </row>
    <row r="380" spans="1:8" x14ac:dyDescent="0.25">
      <c r="A380" t="s">
        <v>76</v>
      </c>
      <c r="B380">
        <v>83783</v>
      </c>
      <c r="C380" s="2">
        <v>15</v>
      </c>
      <c r="D380" s="1">
        <v>43717</v>
      </c>
      <c r="E380" t="str">
        <f>"201909041442"</f>
        <v>201909041442</v>
      </c>
      <c r="F380" t="str">
        <f>"REGISTRATION-ETTA WILEY"</f>
        <v>REGISTRATION-ETTA WILEY</v>
      </c>
      <c r="G380" s="2">
        <v>15</v>
      </c>
      <c r="H380" t="str">
        <f>"REGISTRATION-ETTA WILEY"</f>
        <v>REGISTRATION-ETTA WILEY</v>
      </c>
    </row>
    <row r="381" spans="1:8" x14ac:dyDescent="0.25">
      <c r="A381" t="s">
        <v>77</v>
      </c>
      <c r="B381">
        <v>1348</v>
      </c>
      <c r="C381" s="2">
        <v>207.35</v>
      </c>
      <c r="D381" s="1">
        <v>43718</v>
      </c>
      <c r="E381" t="str">
        <f>"TSM1163 TSF4137"</f>
        <v>TSM1163 TSF4137</v>
      </c>
      <c r="F381" t="str">
        <f>"CDWG Order"</f>
        <v>CDWG Order</v>
      </c>
      <c r="G381" s="2">
        <v>207.35</v>
      </c>
      <c r="H381" t="str">
        <f>"3870788"</f>
        <v>3870788</v>
      </c>
    </row>
    <row r="382" spans="1:8" x14ac:dyDescent="0.25">
      <c r="E382" t="str">
        <f>""</f>
        <v/>
      </c>
      <c r="F382" t="str">
        <f>""</f>
        <v/>
      </c>
      <c r="H382" t="str">
        <f>"4885853"</f>
        <v>4885853</v>
      </c>
    </row>
    <row r="383" spans="1:8" x14ac:dyDescent="0.25">
      <c r="A383" t="s">
        <v>78</v>
      </c>
      <c r="B383">
        <v>84150</v>
      </c>
      <c r="C383" s="2">
        <v>1401.34</v>
      </c>
      <c r="D383" s="1">
        <v>43735</v>
      </c>
      <c r="E383" t="str">
        <f>"201909272036"</f>
        <v>201909272036</v>
      </c>
      <c r="F383" t="str">
        <f>"ACCT#8000081165-5 / 09202019"</f>
        <v>ACCT#8000081165-5 / 09202019</v>
      </c>
      <c r="G383" s="2">
        <v>1401.34</v>
      </c>
      <c r="H383" t="str">
        <f>"ACCT#8000081165-5 / 09202019"</f>
        <v>ACCT#8000081165-5 / 09202019</v>
      </c>
    </row>
    <row r="384" spans="1:8" x14ac:dyDescent="0.25">
      <c r="E384" t="str">
        <f>""</f>
        <v/>
      </c>
      <c r="F384" t="str">
        <f>""</f>
        <v/>
      </c>
      <c r="H384" t="str">
        <f>"ACCT#8000081165-5 / 09202019"</f>
        <v>ACCT#8000081165-5 / 09202019</v>
      </c>
    </row>
    <row r="385" spans="1:8" x14ac:dyDescent="0.25">
      <c r="A385" t="s">
        <v>79</v>
      </c>
      <c r="B385">
        <v>83784</v>
      </c>
      <c r="C385" s="2">
        <v>4982.93</v>
      </c>
      <c r="D385" s="1">
        <v>43717</v>
      </c>
      <c r="E385" t="str">
        <f>"CID2498044"</f>
        <v>CID2498044</v>
      </c>
      <c r="F385" t="str">
        <f>"ACCT#238567/ORD#CID2579431"</f>
        <v>ACCT#238567/ORD#CID2579431</v>
      </c>
      <c r="G385" s="2">
        <v>222.93</v>
      </c>
    </row>
    <row r="386" spans="1:8" x14ac:dyDescent="0.25">
      <c r="E386" t="str">
        <f>"CID2579436"</f>
        <v>CID2579436</v>
      </c>
      <c r="F386" t="str">
        <f>"LARRY D. LYNN"</f>
        <v>LARRY D. LYNN</v>
      </c>
      <c r="G386" s="2">
        <v>4760</v>
      </c>
    </row>
    <row r="387" spans="1:8" x14ac:dyDescent="0.25">
      <c r="A387" t="s">
        <v>79</v>
      </c>
      <c r="B387">
        <v>83784</v>
      </c>
      <c r="C387" s="2">
        <v>4982.93</v>
      </c>
      <c r="D387" s="1">
        <v>43738</v>
      </c>
      <c r="E387" t="str">
        <f>"CHECK"</f>
        <v>CHECK</v>
      </c>
      <c r="F387" t="str">
        <f>""</f>
        <v/>
      </c>
      <c r="G387" s="2">
        <v>4982.93</v>
      </c>
    </row>
    <row r="388" spans="1:8" x14ac:dyDescent="0.25">
      <c r="A388" t="s">
        <v>79</v>
      </c>
      <c r="B388">
        <v>84153</v>
      </c>
      <c r="C388" s="2">
        <v>4982.93</v>
      </c>
      <c r="D388" s="1">
        <v>43738</v>
      </c>
      <c r="E388" t="str">
        <f>"CID2498044-Reissue"</f>
        <v>CID2498044-Reissue</v>
      </c>
      <c r="F388" t="str">
        <f>"ACCT#238567/ORD#CID2579431"</f>
        <v>ACCT#238567/ORD#CID2579431</v>
      </c>
      <c r="G388" s="2">
        <v>222.93</v>
      </c>
      <c r="H388" t="str">
        <f>"ACCT#238567/ORD#CID2579431"</f>
        <v>ACCT#238567/ORD#CID2579431</v>
      </c>
    </row>
    <row r="389" spans="1:8" x14ac:dyDescent="0.25">
      <c r="E389" t="str">
        <f>"CID2503853-Reissue"</f>
        <v>CID2503853-Reissue</v>
      </c>
      <c r="F389" t="str">
        <f>"ACCT#238567/ORD#CID2579436"</f>
        <v>ACCT#238567/ORD#CID2579436</v>
      </c>
      <c r="G389" s="2">
        <v>4760</v>
      </c>
      <c r="H389" t="str">
        <f>"ACCT#238567/ORD#CID2579436"</f>
        <v>ACCT#238567/ORD#CID2579436</v>
      </c>
    </row>
    <row r="390" spans="1:8" x14ac:dyDescent="0.25">
      <c r="A390" t="s">
        <v>80</v>
      </c>
      <c r="B390">
        <v>1381</v>
      </c>
      <c r="C390" s="2">
        <v>550</v>
      </c>
      <c r="D390" s="1">
        <v>43732</v>
      </c>
      <c r="E390" t="str">
        <f>"54204"</f>
        <v>54204</v>
      </c>
      <c r="F390" t="str">
        <f>"JOB#19492205/SVC CALL"</f>
        <v>JOB#19492205/SVC CALL</v>
      </c>
      <c r="G390" s="2">
        <v>550</v>
      </c>
      <c r="H390" t="str">
        <f>"JOB#19492205/SVC CALL"</f>
        <v>JOB#19492205/SVC CALL</v>
      </c>
    </row>
    <row r="391" spans="1:8" x14ac:dyDescent="0.25">
      <c r="A391" t="s">
        <v>81</v>
      </c>
      <c r="B391">
        <v>84001</v>
      </c>
      <c r="C391" s="2">
        <v>2100</v>
      </c>
      <c r="D391" s="1">
        <v>43731</v>
      </c>
      <c r="E391" t="str">
        <f>"12898"</f>
        <v>12898</v>
      </c>
      <c r="F391" t="str">
        <f>"CTA 101-19 / Z. FLANAGIN"</f>
        <v>CTA 101-19 / Z. FLANAGIN</v>
      </c>
      <c r="G391" s="2">
        <v>2100</v>
      </c>
      <c r="H391" t="str">
        <f>"CTA 101-19 / Z. FLANAGIN"</f>
        <v>CTA 101-19 / Z. FLANAGIN</v>
      </c>
    </row>
    <row r="392" spans="1:8" x14ac:dyDescent="0.25">
      <c r="A392" t="s">
        <v>82</v>
      </c>
      <c r="B392">
        <v>84002</v>
      </c>
      <c r="C392" s="2">
        <v>1200</v>
      </c>
      <c r="D392" s="1">
        <v>43731</v>
      </c>
      <c r="E392" t="str">
        <f>"201909171805"</f>
        <v>201909171805</v>
      </c>
      <c r="F392" t="str">
        <f>"307162019E"</f>
        <v>307162019E</v>
      </c>
      <c r="G392" s="2">
        <v>250</v>
      </c>
      <c r="H392" t="str">
        <f>"307162019E"</f>
        <v>307162019E</v>
      </c>
    </row>
    <row r="393" spans="1:8" x14ac:dyDescent="0.25">
      <c r="E393" t="str">
        <f>"201909171806"</f>
        <v>201909171806</v>
      </c>
      <c r="F393" t="str">
        <f>"56 825"</f>
        <v>56 825</v>
      </c>
      <c r="G393" s="2">
        <v>250</v>
      </c>
      <c r="H393" t="str">
        <f>"56 825"</f>
        <v>56 825</v>
      </c>
    </row>
    <row r="394" spans="1:8" x14ac:dyDescent="0.25">
      <c r="E394" t="str">
        <f>"201909171818"</f>
        <v>201909171818</v>
      </c>
      <c r="F394" t="str">
        <f>"57 008"</f>
        <v>57 008</v>
      </c>
      <c r="G394" s="2">
        <v>250</v>
      </c>
      <c r="H394" t="str">
        <f>"57 008"</f>
        <v>57 008</v>
      </c>
    </row>
    <row r="395" spans="1:8" x14ac:dyDescent="0.25">
      <c r="E395" t="str">
        <f>"201909171832"</f>
        <v>201909171832</v>
      </c>
      <c r="F395" t="str">
        <f>"19-19548"</f>
        <v>19-19548</v>
      </c>
      <c r="G395" s="2">
        <v>150</v>
      </c>
      <c r="H395" t="str">
        <f>"19-19548"</f>
        <v>19-19548</v>
      </c>
    </row>
    <row r="396" spans="1:8" x14ac:dyDescent="0.25">
      <c r="E396" t="str">
        <f>"201909171833"</f>
        <v>201909171833</v>
      </c>
      <c r="F396" t="str">
        <f>"18-19094"</f>
        <v>18-19094</v>
      </c>
      <c r="G396" s="2">
        <v>100</v>
      </c>
      <c r="H396" t="str">
        <f>"18-19094"</f>
        <v>18-19094</v>
      </c>
    </row>
    <row r="397" spans="1:8" x14ac:dyDescent="0.25">
      <c r="E397" t="str">
        <f>"201909171834"</f>
        <v>201909171834</v>
      </c>
      <c r="F397" t="str">
        <f>"19-19684"</f>
        <v>19-19684</v>
      </c>
      <c r="G397" s="2">
        <v>100</v>
      </c>
      <c r="H397" t="str">
        <f>"19-19684"</f>
        <v>19-19684</v>
      </c>
    </row>
    <row r="398" spans="1:8" x14ac:dyDescent="0.25">
      <c r="E398" t="str">
        <f>"201909171835"</f>
        <v>201909171835</v>
      </c>
      <c r="F398" t="str">
        <f>"19-19679"</f>
        <v>19-19679</v>
      </c>
      <c r="G398" s="2">
        <v>100</v>
      </c>
      <c r="H398" t="str">
        <f>"19-19679"</f>
        <v>19-19679</v>
      </c>
    </row>
    <row r="399" spans="1:8" x14ac:dyDescent="0.25">
      <c r="A399" t="s">
        <v>83</v>
      </c>
      <c r="B399">
        <v>1341</v>
      </c>
      <c r="C399" s="2">
        <v>2966</v>
      </c>
      <c r="D399" s="1">
        <v>43718</v>
      </c>
      <c r="E399" t="str">
        <f>"0197790-IN 0198415"</f>
        <v>0197790-IN 0198415</v>
      </c>
      <c r="F399" t="str">
        <f>"INV 0197790-IN"</f>
        <v>INV 0197790-IN</v>
      </c>
      <c r="G399" s="2">
        <v>2966</v>
      </c>
      <c r="H399" t="str">
        <f>"INV 0197790-IN"</f>
        <v>INV 0197790-IN</v>
      </c>
    </row>
    <row r="400" spans="1:8" x14ac:dyDescent="0.25">
      <c r="E400" t="str">
        <f>""</f>
        <v/>
      </c>
      <c r="F400" t="str">
        <f>""</f>
        <v/>
      </c>
      <c r="H400" t="str">
        <f>"INV 0198415-IN"</f>
        <v>INV 0198415-IN</v>
      </c>
    </row>
    <row r="401" spans="1:8" x14ac:dyDescent="0.25">
      <c r="A401" t="s">
        <v>84</v>
      </c>
      <c r="B401">
        <v>1354</v>
      </c>
      <c r="C401" s="2">
        <v>3200</v>
      </c>
      <c r="D401" s="1">
        <v>43718</v>
      </c>
      <c r="E401" t="str">
        <f>"201908281311"</f>
        <v>201908281311</v>
      </c>
      <c r="F401" t="str">
        <f>"16 516"</f>
        <v>16 516</v>
      </c>
      <c r="G401" s="2">
        <v>400</v>
      </c>
      <c r="H401" t="str">
        <f>"16 516"</f>
        <v>16 516</v>
      </c>
    </row>
    <row r="402" spans="1:8" x14ac:dyDescent="0.25">
      <c r="E402" t="str">
        <f>"201908291349"</f>
        <v>201908291349</v>
      </c>
      <c r="F402" t="str">
        <f>"1254-21"</f>
        <v>1254-21</v>
      </c>
      <c r="G402" s="2">
        <v>100</v>
      </c>
      <c r="H402" t="str">
        <f>"1254-21"</f>
        <v>1254-21</v>
      </c>
    </row>
    <row r="403" spans="1:8" x14ac:dyDescent="0.25">
      <c r="E403" t="str">
        <f>"201908291350"</f>
        <v>201908291350</v>
      </c>
      <c r="F403" t="str">
        <f>"423-6752  1257-335"</f>
        <v>423-6752  1257-335</v>
      </c>
      <c r="G403" s="2">
        <v>200</v>
      </c>
      <c r="H403" t="str">
        <f>"423-6752  1257-335"</f>
        <v>423-6752  1257-335</v>
      </c>
    </row>
    <row r="404" spans="1:8" x14ac:dyDescent="0.25">
      <c r="E404" t="str">
        <f>"201908291351"</f>
        <v>201908291351</v>
      </c>
      <c r="F404" t="str">
        <f>"1255-21"</f>
        <v>1255-21</v>
      </c>
      <c r="G404" s="2">
        <v>100</v>
      </c>
      <c r="H404" t="str">
        <f>"1255-21"</f>
        <v>1255-21</v>
      </c>
    </row>
    <row r="405" spans="1:8" x14ac:dyDescent="0.25">
      <c r="E405" t="str">
        <f>"201908291367"</f>
        <v>201908291367</v>
      </c>
      <c r="F405" t="str">
        <f>"AC-2018-1014A"</f>
        <v>AC-2018-1014A</v>
      </c>
      <c r="G405" s="2">
        <v>400</v>
      </c>
      <c r="H405" t="str">
        <f>"AC-2018-1014A"</f>
        <v>AC-2018-1014A</v>
      </c>
    </row>
    <row r="406" spans="1:8" x14ac:dyDescent="0.25">
      <c r="E406" t="str">
        <f>"201908301370"</f>
        <v>201908301370</v>
      </c>
      <c r="F406" t="str">
        <f>"423-6757  1259-335"</f>
        <v>423-6757  1259-335</v>
      </c>
      <c r="G406" s="2">
        <v>200</v>
      </c>
      <c r="H406" t="str">
        <f>"423-6757  1259-335"</f>
        <v>423-6757  1259-335</v>
      </c>
    </row>
    <row r="407" spans="1:8" x14ac:dyDescent="0.25">
      <c r="E407" t="str">
        <f>"201909041453"</f>
        <v>201909041453</v>
      </c>
      <c r="F407" t="str">
        <f>"19-19465"</f>
        <v>19-19465</v>
      </c>
      <c r="G407" s="2">
        <v>100</v>
      </c>
      <c r="H407" t="str">
        <f>"19-19465"</f>
        <v>19-19465</v>
      </c>
    </row>
    <row r="408" spans="1:8" x14ac:dyDescent="0.25">
      <c r="E408" t="str">
        <f>"201909041454"</f>
        <v>201909041454</v>
      </c>
      <c r="F408" t="str">
        <f>"19-19572"</f>
        <v>19-19572</v>
      </c>
      <c r="G408" s="2">
        <v>100</v>
      </c>
      <c r="H408" t="str">
        <f>"19-19572"</f>
        <v>19-19572</v>
      </c>
    </row>
    <row r="409" spans="1:8" x14ac:dyDescent="0.25">
      <c r="E409" t="str">
        <f>"201909041455"</f>
        <v>201909041455</v>
      </c>
      <c r="F409" t="str">
        <f>"19-19824"</f>
        <v>19-19824</v>
      </c>
      <c r="G409" s="2">
        <v>100</v>
      </c>
      <c r="H409" t="str">
        <f>"19-19824"</f>
        <v>19-19824</v>
      </c>
    </row>
    <row r="410" spans="1:8" x14ac:dyDescent="0.25">
      <c r="E410" t="str">
        <f>"201909041491"</f>
        <v>201909041491</v>
      </c>
      <c r="F410" t="str">
        <f>"56 875  56 877"</f>
        <v>56 875  56 877</v>
      </c>
      <c r="G410" s="2">
        <v>375</v>
      </c>
      <c r="H410" t="str">
        <f>"56 875  56 877"</f>
        <v>56 875  56 877</v>
      </c>
    </row>
    <row r="411" spans="1:8" x14ac:dyDescent="0.25">
      <c r="E411" t="str">
        <f>"201909041492"</f>
        <v>201909041492</v>
      </c>
      <c r="F411" t="str">
        <f>"56 938"</f>
        <v>56 938</v>
      </c>
      <c r="G411" s="2">
        <v>250</v>
      </c>
      <c r="H411" t="str">
        <f>"56 938"</f>
        <v>56 938</v>
      </c>
    </row>
    <row r="412" spans="1:8" x14ac:dyDescent="0.25">
      <c r="E412" t="str">
        <f>"201909041497"</f>
        <v>201909041497</v>
      </c>
      <c r="F412" t="str">
        <f>"56 904"</f>
        <v>56 904</v>
      </c>
      <c r="G412" s="2">
        <v>250</v>
      </c>
      <c r="H412" t="str">
        <f>"56 904"</f>
        <v>56 904</v>
      </c>
    </row>
    <row r="413" spans="1:8" x14ac:dyDescent="0.25">
      <c r="E413" t="str">
        <f>"201909041498"</f>
        <v>201909041498</v>
      </c>
      <c r="F413" t="str">
        <f>"56 905"</f>
        <v>56 905</v>
      </c>
      <c r="G413" s="2">
        <v>250</v>
      </c>
      <c r="H413" t="str">
        <f>"56 905"</f>
        <v>56 905</v>
      </c>
    </row>
    <row r="414" spans="1:8" x14ac:dyDescent="0.25">
      <c r="E414" t="str">
        <f>"201909041509"</f>
        <v>201909041509</v>
      </c>
      <c r="F414" t="str">
        <f>"56 765  18-00416"</f>
        <v>56 765  18-00416</v>
      </c>
      <c r="G414" s="2">
        <v>375</v>
      </c>
      <c r="H414" t="str">
        <f>"56 765  18-00416"</f>
        <v>56 765  18-00416</v>
      </c>
    </row>
    <row r="415" spans="1:8" x14ac:dyDescent="0.25">
      <c r="A415" t="s">
        <v>84</v>
      </c>
      <c r="B415">
        <v>1432</v>
      </c>
      <c r="C415" s="2">
        <v>1650</v>
      </c>
      <c r="D415" s="1">
        <v>43732</v>
      </c>
      <c r="E415" t="str">
        <f>"201909121739"</f>
        <v>201909121739</v>
      </c>
      <c r="F415" t="str">
        <f>"1278-335"</f>
        <v>1278-335</v>
      </c>
      <c r="G415" s="2">
        <v>100</v>
      </c>
      <c r="H415" t="str">
        <f>"1278-335"</f>
        <v>1278-335</v>
      </c>
    </row>
    <row r="416" spans="1:8" x14ac:dyDescent="0.25">
      <c r="E416" t="str">
        <f>"201909171801"</f>
        <v>201909171801</v>
      </c>
      <c r="F416" t="str">
        <f>"406269.1"</f>
        <v>406269.1</v>
      </c>
      <c r="G416" s="2">
        <v>250</v>
      </c>
      <c r="H416" t="str">
        <f>"406269.1"</f>
        <v>406269.1</v>
      </c>
    </row>
    <row r="417" spans="1:8" x14ac:dyDescent="0.25">
      <c r="E417" t="str">
        <f>"201909171808"</f>
        <v>201909171808</v>
      </c>
      <c r="F417" t="str">
        <f>"56 776"</f>
        <v>56 776</v>
      </c>
      <c r="G417" s="2">
        <v>250</v>
      </c>
      <c r="H417" t="str">
        <f>"56 776"</f>
        <v>56 776</v>
      </c>
    </row>
    <row r="418" spans="1:8" x14ac:dyDescent="0.25">
      <c r="E418" t="str">
        <f>"201909171825"</f>
        <v>201909171825</v>
      </c>
      <c r="F418" t="str">
        <f>"J-3189"</f>
        <v>J-3189</v>
      </c>
      <c r="G418" s="2">
        <v>250</v>
      </c>
      <c r="H418" t="str">
        <f>"J-3189"</f>
        <v>J-3189</v>
      </c>
    </row>
    <row r="419" spans="1:8" x14ac:dyDescent="0.25">
      <c r="E419" t="str">
        <f>"201909171846"</f>
        <v>201909171846</v>
      </c>
      <c r="F419" t="str">
        <f>"19-19858"</f>
        <v>19-19858</v>
      </c>
      <c r="G419" s="2">
        <v>100</v>
      </c>
      <c r="H419" t="str">
        <f>"19-19858"</f>
        <v>19-19858</v>
      </c>
    </row>
    <row r="420" spans="1:8" x14ac:dyDescent="0.25">
      <c r="E420" t="str">
        <f>"201909171847"</f>
        <v>201909171847</v>
      </c>
      <c r="F420" t="str">
        <f>"19-19851"</f>
        <v>19-19851</v>
      </c>
      <c r="G420" s="2">
        <v>100</v>
      </c>
      <c r="H420" t="str">
        <f>"19-19851"</f>
        <v>19-19851</v>
      </c>
    </row>
    <row r="421" spans="1:8" x14ac:dyDescent="0.25">
      <c r="E421" t="str">
        <f>"201909171848"</f>
        <v>201909171848</v>
      </c>
      <c r="F421" t="str">
        <f>"19-19628"</f>
        <v>19-19628</v>
      </c>
      <c r="G421" s="2">
        <v>100</v>
      </c>
      <c r="H421" t="str">
        <f>"19-19628"</f>
        <v>19-19628</v>
      </c>
    </row>
    <row r="422" spans="1:8" x14ac:dyDescent="0.25">
      <c r="E422" t="str">
        <f>"201909171849"</f>
        <v>201909171849</v>
      </c>
      <c r="F422" t="str">
        <f>"18-19279"</f>
        <v>18-19279</v>
      </c>
      <c r="G422" s="2">
        <v>100</v>
      </c>
      <c r="H422" t="str">
        <f>"18-19279"</f>
        <v>18-19279</v>
      </c>
    </row>
    <row r="423" spans="1:8" x14ac:dyDescent="0.25">
      <c r="E423" t="str">
        <f>"201909171850"</f>
        <v>201909171850</v>
      </c>
      <c r="F423" t="str">
        <f>"19-19835"</f>
        <v>19-19835</v>
      </c>
      <c r="G423" s="2">
        <v>100</v>
      </c>
      <c r="H423" t="str">
        <f>"19-19835"</f>
        <v>19-19835</v>
      </c>
    </row>
    <row r="424" spans="1:8" x14ac:dyDescent="0.25">
      <c r="E424" t="str">
        <f>"201909171851"</f>
        <v>201909171851</v>
      </c>
      <c r="F424" t="str">
        <f>"18-18996"</f>
        <v>18-18996</v>
      </c>
      <c r="G424" s="2">
        <v>100</v>
      </c>
      <c r="H424" t="str">
        <f>"18-18996"</f>
        <v>18-18996</v>
      </c>
    </row>
    <row r="425" spans="1:8" x14ac:dyDescent="0.25">
      <c r="E425" t="str">
        <f>"201909171852"</f>
        <v>201909171852</v>
      </c>
      <c r="F425" t="str">
        <f>"19-19741"</f>
        <v>19-19741</v>
      </c>
      <c r="G425" s="2">
        <v>100</v>
      </c>
      <c r="H425" t="str">
        <f>"19-19741"</f>
        <v>19-19741</v>
      </c>
    </row>
    <row r="426" spans="1:8" x14ac:dyDescent="0.25">
      <c r="E426" t="str">
        <f>"201909171853"</f>
        <v>201909171853</v>
      </c>
      <c r="F426" t="str">
        <f>"19-19445"</f>
        <v>19-19445</v>
      </c>
      <c r="G426" s="2">
        <v>100</v>
      </c>
      <c r="H426" t="str">
        <f>"19-19445"</f>
        <v>19-19445</v>
      </c>
    </row>
    <row r="427" spans="1:8" x14ac:dyDescent="0.25">
      <c r="A427" t="s">
        <v>85</v>
      </c>
      <c r="B427">
        <v>83785</v>
      </c>
      <c r="C427" s="2">
        <v>223.36</v>
      </c>
      <c r="D427" s="1">
        <v>43717</v>
      </c>
      <c r="E427" t="str">
        <f>"5014610823"</f>
        <v>5014610823</v>
      </c>
      <c r="F427" t="str">
        <f>"CUST#0011167190/PCT#1"</f>
        <v>CUST#0011167190/PCT#1</v>
      </c>
      <c r="G427" s="2">
        <v>173.36</v>
      </c>
      <c r="H427" t="str">
        <f>"CUST#0011167190/PCT#1"</f>
        <v>CUST#0011167190/PCT#1</v>
      </c>
    </row>
    <row r="428" spans="1:8" x14ac:dyDescent="0.25">
      <c r="E428" t="str">
        <f>"9061167482"</f>
        <v>9061167482</v>
      </c>
      <c r="F428" t="str">
        <f>"INV 9061167482"</f>
        <v>INV 9061167482</v>
      </c>
      <c r="G428" s="2">
        <v>50</v>
      </c>
      <c r="H428" t="str">
        <f>"INV 9061167482"</f>
        <v>INV 9061167482</v>
      </c>
    </row>
    <row r="429" spans="1:8" x14ac:dyDescent="0.25">
      <c r="A429" t="s">
        <v>85</v>
      </c>
      <c r="B429">
        <v>84003</v>
      </c>
      <c r="C429" s="2">
        <v>128.55000000000001</v>
      </c>
      <c r="D429" s="1">
        <v>43731</v>
      </c>
      <c r="E429" t="str">
        <f>"5014610825"</f>
        <v>5014610825</v>
      </c>
      <c r="F429" t="str">
        <f>"CUST#11167190/EARPLUG/PCT#1"</f>
        <v>CUST#11167190/EARPLUG/PCT#1</v>
      </c>
      <c r="G429" s="2">
        <v>28.55</v>
      </c>
      <c r="H429" t="str">
        <f>"CUST#11167190/EARPLUG/PCT#1"</f>
        <v>CUST#11167190/EARPLUG/PCT#1</v>
      </c>
    </row>
    <row r="430" spans="1:8" x14ac:dyDescent="0.25">
      <c r="E430" t="str">
        <f>"9061443395"</f>
        <v>9061443395</v>
      </c>
      <c r="F430" t="str">
        <f>"INV 9061443395"</f>
        <v>INV 9061443395</v>
      </c>
      <c r="G430" s="2">
        <v>100</v>
      </c>
      <c r="H430" t="str">
        <f>"INV 9061443395 - LE"</f>
        <v>INV 9061443395 - LE</v>
      </c>
    </row>
    <row r="431" spans="1:8" x14ac:dyDescent="0.25">
      <c r="E431" t="str">
        <f>""</f>
        <v/>
      </c>
      <c r="F431" t="str">
        <f>""</f>
        <v/>
      </c>
      <c r="H431" t="str">
        <f>"INV 9061443395 - JAI"</f>
        <v>INV 9061443395 - JAI</v>
      </c>
    </row>
    <row r="432" spans="1:8" x14ac:dyDescent="0.25">
      <c r="A432" t="s">
        <v>86</v>
      </c>
      <c r="B432">
        <v>84004</v>
      </c>
      <c r="C432" s="2">
        <v>239.93</v>
      </c>
      <c r="D432" s="1">
        <v>43731</v>
      </c>
      <c r="E432" t="str">
        <f>"8404282680"</f>
        <v>8404282680</v>
      </c>
      <c r="F432" t="str">
        <f>"CUST#10377368/PCT#2"</f>
        <v>CUST#10377368/PCT#2</v>
      </c>
      <c r="G432" s="2">
        <v>51.35</v>
      </c>
      <c r="H432" t="str">
        <f>"CUST#10377368/PCT#2"</f>
        <v>CUST#10377368/PCT#2</v>
      </c>
    </row>
    <row r="433" spans="1:8" x14ac:dyDescent="0.25">
      <c r="E433" t="str">
        <f>"8404299455"</f>
        <v>8404299455</v>
      </c>
      <c r="F433" t="str">
        <f>"CUST#10377368/PCT#3"</f>
        <v>CUST#10377368/PCT#3</v>
      </c>
      <c r="G433" s="2">
        <v>188.58</v>
      </c>
      <c r="H433" t="str">
        <f>"CUST#10377368/PCT#3"</f>
        <v>CUST#10377368/PCT#3</v>
      </c>
    </row>
    <row r="434" spans="1:8" x14ac:dyDescent="0.25">
      <c r="A434" t="s">
        <v>87</v>
      </c>
      <c r="B434">
        <v>84005</v>
      </c>
      <c r="C434" s="2">
        <v>4181.49</v>
      </c>
      <c r="D434" s="1">
        <v>43731</v>
      </c>
      <c r="E434" t="str">
        <f>"201909101637"</f>
        <v>201909101637</v>
      </c>
      <c r="F434" t="str">
        <f>"PAYER#14108463/ANIMAL SHELTER"</f>
        <v>PAYER#14108463/ANIMAL SHELTER</v>
      </c>
      <c r="G434" s="2">
        <v>344.07</v>
      </c>
      <c r="H434" t="str">
        <f>"PAYER#14108463/ANIMAL SHELTER"</f>
        <v>PAYER#14108463/ANIMAL SHELTER</v>
      </c>
    </row>
    <row r="435" spans="1:8" x14ac:dyDescent="0.25">
      <c r="E435" t="str">
        <f>"201909111647"</f>
        <v>201909111647</v>
      </c>
      <c r="F435" t="str">
        <f>"PAYER#14108375/GEN SVCS"</f>
        <v>PAYER#14108375/GEN SVCS</v>
      </c>
      <c r="G435" s="2">
        <v>899.87</v>
      </c>
      <c r="H435" t="str">
        <f>"PAYER#14108375/GEN SVCS"</f>
        <v>PAYER#14108375/GEN SVCS</v>
      </c>
    </row>
    <row r="436" spans="1:8" x14ac:dyDescent="0.25">
      <c r="E436" t="str">
        <f>"201909111648"</f>
        <v>201909111648</v>
      </c>
      <c r="F436" t="str">
        <f>"PAYER#14108431"</f>
        <v>PAYER#14108431</v>
      </c>
      <c r="G436" s="2">
        <v>50.14</v>
      </c>
      <c r="H436" t="str">
        <f>"PAYER#14108431"</f>
        <v>PAYER#14108431</v>
      </c>
    </row>
    <row r="437" spans="1:8" x14ac:dyDescent="0.25">
      <c r="E437" t="str">
        <f>"201909111655"</f>
        <v>201909111655</v>
      </c>
      <c r="F437" t="str">
        <f>"PAYER#14108431/PCT#1"</f>
        <v>PAYER#14108431/PCT#1</v>
      </c>
      <c r="G437" s="2">
        <v>801.62</v>
      </c>
      <c r="H437" t="str">
        <f>"PAYER#14108431/PCT#1"</f>
        <v>PAYER#14108431/PCT#1</v>
      </c>
    </row>
    <row r="438" spans="1:8" x14ac:dyDescent="0.25">
      <c r="E438" t="str">
        <f>"201909121664"</f>
        <v>201909121664</v>
      </c>
      <c r="F438" t="str">
        <f>"PAYER#14108430/PCT#4"</f>
        <v>PAYER#14108430/PCT#4</v>
      </c>
      <c r="G438" s="2">
        <v>1244.3900000000001</v>
      </c>
      <c r="H438" t="str">
        <f>"PAYER#14108430/PCT#4"</f>
        <v>PAYER#14108430/PCT#4</v>
      </c>
    </row>
    <row r="439" spans="1:8" x14ac:dyDescent="0.25">
      <c r="E439" t="str">
        <f>"201909171771"</f>
        <v>201909171771</v>
      </c>
      <c r="F439" t="str">
        <f>"PAYER#14108367/PCT#2"</f>
        <v>PAYER#14108367/PCT#2</v>
      </c>
      <c r="G439" s="2">
        <v>841.4</v>
      </c>
      <c r="H439" t="str">
        <f>"PAYER#14108367/PCT#2"</f>
        <v>PAYER#14108367/PCT#2</v>
      </c>
    </row>
    <row r="440" spans="1:8" x14ac:dyDescent="0.25">
      <c r="A440" t="s">
        <v>88</v>
      </c>
      <c r="B440">
        <v>83753</v>
      </c>
      <c r="C440" s="2">
        <v>61240.02</v>
      </c>
      <c r="D440" s="1">
        <v>43714</v>
      </c>
      <c r="E440" t="str">
        <f>"201909061545"</f>
        <v>201909061545</v>
      </c>
      <c r="F440" t="str">
        <f>"ACCT#02-2083-04 / 08292019"</f>
        <v>ACCT#02-2083-04 / 08292019</v>
      </c>
      <c r="G440" s="2">
        <v>7789.83</v>
      </c>
      <c r="H440" t="str">
        <f>"ACCT#02-2083-04 / 08292019"</f>
        <v>ACCT#02-2083-04 / 08292019</v>
      </c>
    </row>
    <row r="441" spans="1:8" x14ac:dyDescent="0.25">
      <c r="E441" t="str">
        <f>"201909061546"</f>
        <v>201909061546</v>
      </c>
      <c r="F441" t="str">
        <f>"BASTROP COURTHOUSE / 08292019"</f>
        <v>BASTROP COURTHOUSE / 08292019</v>
      </c>
      <c r="G441" s="2">
        <v>18556.87</v>
      </c>
      <c r="H441" t="str">
        <f>"BASTROP COURTHOUSE / 08292019"</f>
        <v>BASTROP COURTHOUSE / 08292019</v>
      </c>
    </row>
    <row r="442" spans="1:8" x14ac:dyDescent="0.25">
      <c r="E442" t="str">
        <f>"201909061547"</f>
        <v>201909061547</v>
      </c>
      <c r="F442" t="str">
        <f>"COUNTY LAW ENF CTR / 08292019"</f>
        <v>COUNTY LAW ENF CTR / 08292019</v>
      </c>
      <c r="G442" s="2">
        <v>32078.9</v>
      </c>
      <c r="H442" t="str">
        <f>"COUNTY LAW ENF CTR / 08292019"</f>
        <v>COUNTY LAW ENF CTR / 08292019</v>
      </c>
    </row>
    <row r="443" spans="1:8" x14ac:dyDescent="0.25">
      <c r="E443" t="str">
        <f>"201909061548"</f>
        <v>201909061548</v>
      </c>
      <c r="F443" t="str">
        <f>"COUNTY DEV CTR / 08292019"</f>
        <v>COUNTY DEV CTR / 08292019</v>
      </c>
      <c r="G443" s="2">
        <v>2814.42</v>
      </c>
      <c r="H443" t="str">
        <f>"COUNTY DEV CTR / 08292019"</f>
        <v>COUNTY DEV CTR / 08292019</v>
      </c>
    </row>
    <row r="444" spans="1:8" x14ac:dyDescent="0.25">
      <c r="A444" t="s">
        <v>88</v>
      </c>
      <c r="B444">
        <v>84006</v>
      </c>
      <c r="C444" s="2">
        <v>750</v>
      </c>
      <c r="D444" s="1">
        <v>43731</v>
      </c>
      <c r="E444" t="str">
        <f>"201909111653"</f>
        <v>201909111653</v>
      </c>
      <c r="F444" t="str">
        <f>"RENTAL-PARKING LOT"</f>
        <v>RENTAL-PARKING LOT</v>
      </c>
      <c r="G444" s="2">
        <v>750</v>
      </c>
      <c r="H444" t="str">
        <f>"RENTAL-PARKING LOT"</f>
        <v>RENTAL-PARKING LOT</v>
      </c>
    </row>
    <row r="445" spans="1:8" x14ac:dyDescent="0.25">
      <c r="A445" t="s">
        <v>88</v>
      </c>
      <c r="B445">
        <v>84160</v>
      </c>
      <c r="C445" s="2">
        <v>53391.97</v>
      </c>
      <c r="D445" s="1">
        <v>43738</v>
      </c>
      <c r="E445" t="str">
        <f>"201910082372"</f>
        <v>201910082372</v>
      </c>
      <c r="F445" t="str">
        <f>"ACCT#02-2083-04 / 09292019"</f>
        <v>ACCT#02-2083-04 / 09292019</v>
      </c>
      <c r="G445" s="2">
        <v>6803.22</v>
      </c>
      <c r="H445" t="str">
        <f>"ACCT#02-2083-04 / 09292019"</f>
        <v>ACCT#02-2083-04 / 09292019</v>
      </c>
    </row>
    <row r="446" spans="1:8" x14ac:dyDescent="0.25">
      <c r="E446" t="str">
        <f>"201910082373"</f>
        <v>201910082373</v>
      </c>
      <c r="F446" t="str">
        <f>"COUNTY DEV CTR / 09292019"</f>
        <v>COUNTY DEV CTR / 09292019</v>
      </c>
      <c r="G446" s="2">
        <v>2390.8000000000002</v>
      </c>
      <c r="H446" t="str">
        <f>"COUNTY DEV CTR / 09292019"</f>
        <v>COUNTY DEV CTR / 09292019</v>
      </c>
    </row>
    <row r="447" spans="1:8" x14ac:dyDescent="0.25">
      <c r="E447" t="str">
        <f>"201910082375"</f>
        <v>201910082375</v>
      </c>
      <c r="F447" t="str">
        <f>"COUNTY LAW ENF CTR / 09292019"</f>
        <v>COUNTY LAW ENF CTR / 09292019</v>
      </c>
      <c r="G447" s="2">
        <v>28005.27</v>
      </c>
      <c r="H447" t="str">
        <f>"COUNTY LAW ENF CTR / 09292019"</f>
        <v>COUNTY LAW ENF CTR / 09292019</v>
      </c>
    </row>
    <row r="448" spans="1:8" x14ac:dyDescent="0.25">
      <c r="E448" t="str">
        <f>"201910082376"</f>
        <v>201910082376</v>
      </c>
      <c r="F448" t="str">
        <f>"BASTROP COURTHOUSE / 09292019"</f>
        <v>BASTROP COURTHOUSE / 09292019</v>
      </c>
      <c r="G448" s="2">
        <v>16192.68</v>
      </c>
      <c r="H448" t="str">
        <f>"BASTROP COURTHOUSE / 09292019"</f>
        <v>BASTROP COURTHOUSE / 09292019</v>
      </c>
    </row>
    <row r="449" spans="1:8" x14ac:dyDescent="0.25">
      <c r="A449" t="s">
        <v>89</v>
      </c>
      <c r="B449">
        <v>83754</v>
      </c>
      <c r="C449" s="2">
        <v>2007.18</v>
      </c>
      <c r="D449" s="1">
        <v>43714</v>
      </c>
      <c r="E449" t="str">
        <f>"201909061549"</f>
        <v>201909061549</v>
      </c>
      <c r="F449" t="str">
        <f>"ACCT#007-0000388-000/08262019"</f>
        <v>ACCT#007-0000388-000/08262019</v>
      </c>
      <c r="G449" s="2">
        <v>760.35</v>
      </c>
      <c r="H449" t="str">
        <f>"ACCT#007-0000388-000/08262019"</f>
        <v>ACCT#007-0000388-000/08262019</v>
      </c>
    </row>
    <row r="450" spans="1:8" x14ac:dyDescent="0.25">
      <c r="E450" t="str">
        <f>"201909061550"</f>
        <v>201909061550</v>
      </c>
      <c r="F450" t="str">
        <f>"ACCT#007-0000389-000/08262019"</f>
        <v>ACCT#007-0000389-000/08262019</v>
      </c>
      <c r="G450" s="2">
        <v>140.75</v>
      </c>
      <c r="H450" t="str">
        <f>"ACCT#007-0000389-000/08262019"</f>
        <v>ACCT#007-0000389-000/08262019</v>
      </c>
    </row>
    <row r="451" spans="1:8" x14ac:dyDescent="0.25">
      <c r="E451" t="str">
        <f>"201909061551"</f>
        <v>201909061551</v>
      </c>
      <c r="F451" t="str">
        <f>"ACCT#044-0001240-000/08262019"</f>
        <v>ACCT#044-0001240-000/08262019</v>
      </c>
      <c r="G451" s="2">
        <v>494.12</v>
      </c>
      <c r="H451" t="str">
        <f>"ACCT#044-0001240-000/08262019"</f>
        <v>ACCT#044-0001240-000/08262019</v>
      </c>
    </row>
    <row r="452" spans="1:8" x14ac:dyDescent="0.25">
      <c r="E452" t="str">
        <f>"201909061552"</f>
        <v>201909061552</v>
      </c>
      <c r="F452" t="str">
        <f>"ACCT#044-0001250-000/08262019"</f>
        <v>ACCT#044-0001250-000/08262019</v>
      </c>
      <c r="G452" s="2">
        <v>67.739999999999995</v>
      </c>
      <c r="H452" t="str">
        <f>"ACCT#044-0001250-000/08262019"</f>
        <v>ACCT#044-0001250-000/08262019</v>
      </c>
    </row>
    <row r="453" spans="1:8" x14ac:dyDescent="0.25">
      <c r="E453" t="str">
        <f>"201909061553"</f>
        <v>201909061553</v>
      </c>
      <c r="F453" t="str">
        <f>"ACCT#044-0001252-000/08262019"</f>
        <v>ACCT#044-0001252-000/08262019</v>
      </c>
      <c r="G453" s="2">
        <v>476.91</v>
      </c>
      <c r="H453" t="str">
        <f>"ACCT#044-0001252-000/08262019"</f>
        <v>ACCT#044-0001252-000/08262019</v>
      </c>
    </row>
    <row r="454" spans="1:8" x14ac:dyDescent="0.25">
      <c r="E454" t="str">
        <f>"201909061554"</f>
        <v>201909061554</v>
      </c>
      <c r="F454" t="str">
        <f>"ACCT#044-0001253-000/08262019"</f>
        <v>ACCT#044-0001253-000/08262019</v>
      </c>
      <c r="G454" s="2">
        <v>67.31</v>
      </c>
      <c r="H454" t="str">
        <f>"ACCT#044-0001253-000/08262019"</f>
        <v>ACCT#044-0001253-000/08262019</v>
      </c>
    </row>
    <row r="455" spans="1:8" x14ac:dyDescent="0.25">
      <c r="A455" t="s">
        <v>90</v>
      </c>
      <c r="B455">
        <v>1372</v>
      </c>
      <c r="C455" s="2">
        <v>935</v>
      </c>
      <c r="D455" s="1">
        <v>43732</v>
      </c>
      <c r="E455" t="str">
        <f>"PMA-0054416"</f>
        <v>PMA-0054416</v>
      </c>
      <c r="F455" t="str">
        <f>"PMA-010644/GENERATOR/GEN SVCS"</f>
        <v>PMA-010644/GENERATOR/GEN SVCS</v>
      </c>
      <c r="G455" s="2">
        <v>438</v>
      </c>
      <c r="H455" t="str">
        <f>"PMA-010644/GENERATOR/GEN SVCS"</f>
        <v>PMA-010644/GENERATOR/GEN SVCS</v>
      </c>
    </row>
    <row r="456" spans="1:8" x14ac:dyDescent="0.25">
      <c r="E456" t="str">
        <f>"PMA-0054417"</f>
        <v>PMA-0054417</v>
      </c>
      <c r="F456" t="str">
        <f>"PMA-010648/GENERATOR/GEN SVCS"</f>
        <v>PMA-010648/GENERATOR/GEN SVCS</v>
      </c>
      <c r="G456" s="2">
        <v>497</v>
      </c>
      <c r="H456" t="str">
        <f>"PMA-010648/GENERATOR/GEN SVCS"</f>
        <v>PMA-010648/GENERATOR/GEN SVCS</v>
      </c>
    </row>
    <row r="457" spans="1:8" x14ac:dyDescent="0.25">
      <c r="A457" t="s">
        <v>91</v>
      </c>
      <c r="B457">
        <v>1406</v>
      </c>
      <c r="C457" s="2">
        <v>437.82</v>
      </c>
      <c r="D457" s="1">
        <v>43732</v>
      </c>
      <c r="E457" t="str">
        <f>"201908-0"</f>
        <v>201908-0</v>
      </c>
      <c r="F457" t="str">
        <f>"INV 201908-0"</f>
        <v>INV 201908-0</v>
      </c>
      <c r="G457" s="2">
        <v>144.80000000000001</v>
      </c>
      <c r="H457" t="str">
        <f>"INV 201908-0"</f>
        <v>INV 201908-0</v>
      </c>
    </row>
    <row r="458" spans="1:8" x14ac:dyDescent="0.25">
      <c r="E458" t="str">
        <f>"201909171886"</f>
        <v>201909171886</v>
      </c>
      <c r="F458" t="str">
        <f>"INDIGENT HEALTH"</f>
        <v>INDIGENT HEALTH</v>
      </c>
      <c r="G458" s="2">
        <v>293.02</v>
      </c>
      <c r="H458" t="str">
        <f>"INDIGENT HEALTH"</f>
        <v>INDIGENT HEALTH</v>
      </c>
    </row>
    <row r="459" spans="1:8" x14ac:dyDescent="0.25">
      <c r="A459" t="s">
        <v>92</v>
      </c>
      <c r="B459">
        <v>84007</v>
      </c>
      <c r="C459" s="2">
        <v>65.22</v>
      </c>
      <c r="D459" s="1">
        <v>43731</v>
      </c>
      <c r="E459" t="str">
        <f>"201909171885"</f>
        <v>201909171885</v>
      </c>
      <c r="F459" t="str">
        <f>"INDIGENT HEALTH"</f>
        <v>INDIGENT HEALTH</v>
      </c>
      <c r="G459" s="2">
        <v>65.22</v>
      </c>
      <c r="H459" t="str">
        <f>"INDIGENT HEALTH"</f>
        <v>INDIGENT HEALTH</v>
      </c>
    </row>
    <row r="460" spans="1:8" x14ac:dyDescent="0.25">
      <c r="A460" t="s">
        <v>93</v>
      </c>
      <c r="B460">
        <v>83786</v>
      </c>
      <c r="C460" s="2">
        <v>17453.52</v>
      </c>
      <c r="D460" s="1">
        <v>43717</v>
      </c>
      <c r="E460" t="str">
        <f>"274541"</f>
        <v>274541</v>
      </c>
      <c r="F460" t="str">
        <f>"CUST#1323/PCT#2"</f>
        <v>CUST#1323/PCT#2</v>
      </c>
      <c r="G460" s="2">
        <v>4462.71</v>
      </c>
      <c r="H460" t="str">
        <f>"CUST#1323/PCT#2"</f>
        <v>CUST#1323/PCT#2</v>
      </c>
    </row>
    <row r="461" spans="1:8" x14ac:dyDescent="0.25">
      <c r="E461" t="str">
        <f>"274918"</f>
        <v>274918</v>
      </c>
      <c r="F461" t="str">
        <f>"CUST#1323/PCT#2"</f>
        <v>CUST#1323/PCT#2</v>
      </c>
      <c r="G461" s="2">
        <v>9936.7800000000007</v>
      </c>
      <c r="H461" t="str">
        <f>"CUST#1323/PCT#2"</f>
        <v>CUST#1323/PCT#2</v>
      </c>
    </row>
    <row r="462" spans="1:8" x14ac:dyDescent="0.25">
      <c r="E462" t="str">
        <f>"275281"</f>
        <v>275281</v>
      </c>
      <c r="F462" t="str">
        <f>"CUST#1323/PCT#2"</f>
        <v>CUST#1323/PCT#2</v>
      </c>
      <c r="G462" s="2">
        <v>3054.03</v>
      </c>
      <c r="H462" t="str">
        <f>"CUST#1323/PCT#2"</f>
        <v>CUST#1323/PCT#2</v>
      </c>
    </row>
    <row r="463" spans="1:8" x14ac:dyDescent="0.25">
      <c r="A463" t="s">
        <v>93</v>
      </c>
      <c r="B463">
        <v>84008</v>
      </c>
      <c r="C463" s="2">
        <v>11632.74</v>
      </c>
      <c r="D463" s="1">
        <v>43731</v>
      </c>
      <c r="E463" t="str">
        <f>"275665"</f>
        <v>275665</v>
      </c>
      <c r="F463" t="str">
        <f>"CUST#1323/PCT#2"</f>
        <v>CUST#1323/PCT#2</v>
      </c>
      <c r="G463" s="2">
        <v>7076.79</v>
      </c>
      <c r="H463" t="str">
        <f>"CUST#1323/PCT#2"</f>
        <v>CUST#1323/PCT#2</v>
      </c>
    </row>
    <row r="464" spans="1:8" x14ac:dyDescent="0.25">
      <c r="E464" t="str">
        <f>"276012"</f>
        <v>276012</v>
      </c>
      <c r="F464" t="str">
        <f>"CUST#1323/PCT#2"</f>
        <v>CUST#1323/PCT#2</v>
      </c>
      <c r="G464" s="2">
        <v>4555.95</v>
      </c>
      <c r="H464" t="str">
        <f>"CUST#1323/PCT#2"</f>
        <v>CUST#1323/PCT#2</v>
      </c>
    </row>
    <row r="465" spans="1:8" x14ac:dyDescent="0.25">
      <c r="A465" t="s">
        <v>94</v>
      </c>
      <c r="B465">
        <v>1299</v>
      </c>
      <c r="C465" s="2">
        <v>282</v>
      </c>
      <c r="D465" s="1">
        <v>43718</v>
      </c>
      <c r="E465" t="str">
        <f>"12457924078"</f>
        <v>12457924078</v>
      </c>
      <c r="F465" t="str">
        <f>"INV 12457924078"</f>
        <v>INV 12457924078</v>
      </c>
      <c r="G465" s="2">
        <v>282</v>
      </c>
      <c r="H465" t="str">
        <f>"INV 12457924078"</f>
        <v>INV 12457924078</v>
      </c>
    </row>
    <row r="466" spans="1:8" x14ac:dyDescent="0.25">
      <c r="A466" t="s">
        <v>95</v>
      </c>
      <c r="B466">
        <v>1384</v>
      </c>
      <c r="C466" s="2">
        <v>574.96</v>
      </c>
      <c r="D466" s="1">
        <v>43732</v>
      </c>
      <c r="E466" t="str">
        <f>"201909171887"</f>
        <v>201909171887</v>
      </c>
      <c r="F466" t="str">
        <f>"INDIGENT HEALTH"</f>
        <v>INDIGENT HEALTH</v>
      </c>
      <c r="G466" s="2">
        <v>574.96</v>
      </c>
      <c r="H466" t="str">
        <f>"INDIGENT HEALTH"</f>
        <v>INDIGENT HEALTH</v>
      </c>
    </row>
    <row r="467" spans="1:8" x14ac:dyDescent="0.25">
      <c r="E467" t="str">
        <f>""</f>
        <v/>
      </c>
      <c r="F467" t="str">
        <f>""</f>
        <v/>
      </c>
      <c r="H467" t="str">
        <f>"INDIGENT HEALTH"</f>
        <v>INDIGENT HEALTH</v>
      </c>
    </row>
    <row r="468" spans="1:8" x14ac:dyDescent="0.25">
      <c r="E468" t="str">
        <f>""</f>
        <v/>
      </c>
      <c r="F468" t="str">
        <f>""</f>
        <v/>
      </c>
      <c r="H468" t="str">
        <f>"INDIGENT HEALTH"</f>
        <v>INDIGENT HEALTH</v>
      </c>
    </row>
    <row r="469" spans="1:8" x14ac:dyDescent="0.25">
      <c r="A469" t="s">
        <v>96</v>
      </c>
      <c r="B469">
        <v>83787</v>
      </c>
      <c r="C469" s="2">
        <v>19.04</v>
      </c>
      <c r="D469" s="1">
        <v>43717</v>
      </c>
      <c r="E469" t="str">
        <f>"201909041515"</f>
        <v>201909041515</v>
      </c>
      <c r="F469" t="str">
        <f>"REIMBURSE-WITNESS LUNCH"</f>
        <v>REIMBURSE-WITNESS LUNCH</v>
      </c>
      <c r="G469" s="2">
        <v>19.04</v>
      </c>
      <c r="H469" t="str">
        <f>"REIMBURSE-WITNESS LUNCH"</f>
        <v>REIMBURSE-WITNESS LUNCH</v>
      </c>
    </row>
    <row r="470" spans="1:8" x14ac:dyDescent="0.25">
      <c r="A470" t="s">
        <v>97</v>
      </c>
      <c r="B470">
        <v>84009</v>
      </c>
      <c r="C470" s="2">
        <v>558</v>
      </c>
      <c r="D470" s="1">
        <v>43731</v>
      </c>
      <c r="E470" t="str">
        <f>"20281"</f>
        <v>20281</v>
      </c>
      <c r="F470" t="str">
        <f>"CABLES/MATERIALS/LABOR"</f>
        <v>CABLES/MATERIALS/LABOR</v>
      </c>
      <c r="G470" s="2">
        <v>558</v>
      </c>
      <c r="H470" t="str">
        <f>"CABLES/MATERIALS/LABOR"</f>
        <v>CABLES/MATERIALS/LABOR</v>
      </c>
    </row>
    <row r="471" spans="1:8" x14ac:dyDescent="0.25">
      <c r="A471" t="s">
        <v>98</v>
      </c>
      <c r="B471">
        <v>1326</v>
      </c>
      <c r="C471" s="2">
        <v>2008</v>
      </c>
      <c r="D471" s="1">
        <v>43718</v>
      </c>
      <c r="E471" t="str">
        <f>"IN49764"</f>
        <v>IN49764</v>
      </c>
      <c r="F471" t="str">
        <f>"ACCT#353/PCT#3"</f>
        <v>ACCT#353/PCT#3</v>
      </c>
      <c r="G471" s="2">
        <v>363.37</v>
      </c>
      <c r="H471" t="str">
        <f>"ACCT#353/PCT#3"</f>
        <v>ACCT#353/PCT#3</v>
      </c>
    </row>
    <row r="472" spans="1:8" x14ac:dyDescent="0.25">
      <c r="E472" t="str">
        <f>"IN49878"</f>
        <v>IN49878</v>
      </c>
      <c r="F472" t="str">
        <f>"ACCT#353/PCT#2"</f>
        <v>ACCT#353/PCT#2</v>
      </c>
      <c r="G472" s="2">
        <v>936.5</v>
      </c>
      <c r="H472" t="str">
        <f>"ACCT#353/PCT#2"</f>
        <v>ACCT#353/PCT#2</v>
      </c>
    </row>
    <row r="473" spans="1:8" x14ac:dyDescent="0.25">
      <c r="E473" t="str">
        <f>"WS19477"</f>
        <v>WS19477</v>
      </c>
      <c r="F473" t="str">
        <f>"ACCT#353/REPAIR ENGINE/PCT#4"</f>
        <v>ACCT#353/REPAIR ENGINE/PCT#4</v>
      </c>
      <c r="G473" s="2">
        <v>708.13</v>
      </c>
      <c r="H473" t="str">
        <f>"ACCT#353/REPAIR ENGINE/PCT#4"</f>
        <v>ACCT#353/REPAIR ENGINE/PCT#4</v>
      </c>
    </row>
    <row r="474" spans="1:8" x14ac:dyDescent="0.25">
      <c r="A474" t="s">
        <v>98</v>
      </c>
      <c r="B474">
        <v>1405</v>
      </c>
      <c r="C474" s="2">
        <v>699.75</v>
      </c>
      <c r="D474" s="1">
        <v>43732</v>
      </c>
      <c r="E474" t="str">
        <f>"WG00623"</f>
        <v>WG00623</v>
      </c>
      <c r="F474" t="str">
        <f>"ACCT#353/PCT#4"</f>
        <v>ACCT#353/PCT#4</v>
      </c>
      <c r="G474" s="2">
        <v>699.75</v>
      </c>
      <c r="H474" t="str">
        <f>"ACCT#353/PCT#4"</f>
        <v>ACCT#353/PCT#4</v>
      </c>
    </row>
    <row r="475" spans="1:8" x14ac:dyDescent="0.25">
      <c r="A475" t="s">
        <v>99</v>
      </c>
      <c r="B475">
        <v>83788</v>
      </c>
      <c r="C475" s="2">
        <v>75</v>
      </c>
      <c r="D475" s="1">
        <v>43717</v>
      </c>
      <c r="E475" t="str">
        <f>"13118"</f>
        <v>13118</v>
      </c>
      <c r="F475" t="str">
        <f>"SERVICE"</f>
        <v>SERVICE</v>
      </c>
      <c r="G475" s="2">
        <v>75</v>
      </c>
      <c r="H475" t="str">
        <f>"SERVICE"</f>
        <v>SERVICE</v>
      </c>
    </row>
    <row r="476" spans="1:8" x14ac:dyDescent="0.25">
      <c r="A476" t="s">
        <v>100</v>
      </c>
      <c r="B476">
        <v>84010</v>
      </c>
      <c r="C476" s="2">
        <v>1200</v>
      </c>
      <c r="D476" s="1">
        <v>43731</v>
      </c>
      <c r="E476" t="str">
        <f>"34190"</f>
        <v>34190</v>
      </c>
      <c r="F476" t="str">
        <f>"Covert Track Renewal"</f>
        <v>Covert Track Renewal</v>
      </c>
      <c r="G476" s="2">
        <v>1200</v>
      </c>
      <c r="H476" t="str">
        <f>"ID 352739092416053"</f>
        <v>ID 352739092416053</v>
      </c>
    </row>
    <row r="477" spans="1:8" x14ac:dyDescent="0.25">
      <c r="E477" t="str">
        <f>""</f>
        <v/>
      </c>
      <c r="F477" t="str">
        <f>""</f>
        <v/>
      </c>
      <c r="H477" t="str">
        <f>"ID: 352739092427068"</f>
        <v>ID: 352739092427068</v>
      </c>
    </row>
    <row r="478" spans="1:8" x14ac:dyDescent="0.25">
      <c r="A478" t="s">
        <v>101</v>
      </c>
      <c r="B478">
        <v>83789</v>
      </c>
      <c r="C478" s="2">
        <v>300.47000000000003</v>
      </c>
      <c r="D478" s="1">
        <v>43717</v>
      </c>
      <c r="E478" t="str">
        <f>"RP93902"</f>
        <v>RP93902</v>
      </c>
      <c r="F478" t="str">
        <f>"ACCT#68930-000/ANIMAL SVCS"</f>
        <v>ACCT#68930-000/ANIMAL SVCS</v>
      </c>
      <c r="G478" s="2">
        <v>300.47000000000003</v>
      </c>
      <c r="H478" t="str">
        <f>"ACCT#68930-000/ANIMAL SVCS"</f>
        <v>ACCT#68930-000/ANIMAL SVCS</v>
      </c>
    </row>
    <row r="479" spans="1:8" x14ac:dyDescent="0.25">
      <c r="A479" t="s">
        <v>101</v>
      </c>
      <c r="B479">
        <v>84011</v>
      </c>
      <c r="C479" s="2">
        <v>2786.14</v>
      </c>
      <c r="D479" s="1">
        <v>43731</v>
      </c>
      <c r="E479" t="str">
        <f>"RS02082"</f>
        <v>RS02082</v>
      </c>
      <c r="F479" t="str">
        <f>"CUST#68930-000/ORD#RR58058"</f>
        <v>CUST#68930-000/ORD#RR58058</v>
      </c>
      <c r="G479" s="2">
        <v>-10.38</v>
      </c>
      <c r="H479" t="str">
        <f>"CUST#68930-000/ORD#RR58058"</f>
        <v>CUST#68930-000/ORD#RR58058</v>
      </c>
    </row>
    <row r="480" spans="1:8" x14ac:dyDescent="0.25">
      <c r="E480" t="str">
        <f>"RN00783"</f>
        <v>RN00783</v>
      </c>
      <c r="F480" t="str">
        <f>"ACCT#68930/ANIMAL SVCS"</f>
        <v>ACCT#68930/ANIMAL SVCS</v>
      </c>
      <c r="G480" s="2">
        <v>165.28</v>
      </c>
      <c r="H480" t="str">
        <f>"ACCT#68930/ANIMAL SVCS"</f>
        <v>ACCT#68930/ANIMAL SVCS</v>
      </c>
    </row>
    <row r="481" spans="1:8" x14ac:dyDescent="0.25">
      <c r="E481" t="str">
        <f>"RR58058"</f>
        <v>RR58058</v>
      </c>
      <c r="F481" t="str">
        <f>"ACCT#68930/ANIMAL SERVICES"</f>
        <v>ACCT#68930/ANIMAL SERVICES</v>
      </c>
      <c r="G481" s="2">
        <v>392.88</v>
      </c>
      <c r="H481" t="str">
        <f>"ACCT#68930/ANIMAL SERVICES"</f>
        <v>ACCT#68930/ANIMAL SERVICES</v>
      </c>
    </row>
    <row r="482" spans="1:8" x14ac:dyDescent="0.25">
      <c r="E482" t="str">
        <f>"RR58059"</f>
        <v>RR58059</v>
      </c>
      <c r="F482" t="str">
        <f>"ACCT#68930-000/ANIMAL SVCS"</f>
        <v>ACCT#68930-000/ANIMAL SVCS</v>
      </c>
      <c r="G482" s="2">
        <v>541.15</v>
      </c>
      <c r="H482" t="str">
        <f>"ACCT#68930-000/ANIMAL SVCS"</f>
        <v>ACCT#68930-000/ANIMAL SVCS</v>
      </c>
    </row>
    <row r="483" spans="1:8" x14ac:dyDescent="0.25">
      <c r="E483" t="str">
        <f>"RS03645"</f>
        <v>RS03645</v>
      </c>
      <c r="F483" t="str">
        <f>"ACCT#68930-000/ANIMAL SERVICES"</f>
        <v>ACCT#68930-000/ANIMAL SERVICES</v>
      </c>
      <c r="G483" s="2">
        <v>862</v>
      </c>
      <c r="H483" t="str">
        <f>"ACCT#68930-000/ANIMAL SERVICES"</f>
        <v>ACCT#68930-000/ANIMAL SERVICES</v>
      </c>
    </row>
    <row r="484" spans="1:8" x14ac:dyDescent="0.25">
      <c r="E484" t="str">
        <f>"RS89264"</f>
        <v>RS89264</v>
      </c>
      <c r="F484" t="str">
        <f>"ACCT#68930-000/ANIMAL SVCS"</f>
        <v>ACCT#68930-000/ANIMAL SVCS</v>
      </c>
      <c r="G484" s="2">
        <v>835.21</v>
      </c>
      <c r="H484" t="str">
        <f>"ACCT#68930-000/ANIMAL SVCS"</f>
        <v>ACCT#68930-000/ANIMAL SVCS</v>
      </c>
    </row>
    <row r="485" spans="1:8" x14ac:dyDescent="0.25">
      <c r="A485" t="s">
        <v>102</v>
      </c>
      <c r="B485">
        <v>83790</v>
      </c>
      <c r="C485" s="2">
        <v>1250</v>
      </c>
      <c r="D485" s="1">
        <v>43717</v>
      </c>
      <c r="E485" t="str">
        <f>"201909031421"</f>
        <v>201909031421</v>
      </c>
      <c r="F485" t="str">
        <f>"INV AUGUST 2019"</f>
        <v>INV AUGUST 2019</v>
      </c>
      <c r="G485" s="2">
        <v>1250</v>
      </c>
      <c r="H485" t="str">
        <f>"INV AUGUST 2019"</f>
        <v>INV AUGUST 2019</v>
      </c>
    </row>
    <row r="486" spans="1:8" x14ac:dyDescent="0.25">
      <c r="A486" t="s">
        <v>103</v>
      </c>
      <c r="B486">
        <v>84012</v>
      </c>
      <c r="C486" s="2">
        <v>800</v>
      </c>
      <c r="D486" s="1">
        <v>43731</v>
      </c>
      <c r="E486" t="str">
        <f>"19-23505"</f>
        <v>19-23505</v>
      </c>
      <c r="F486" t="str">
        <f>"TRAINING"</f>
        <v>TRAINING</v>
      </c>
      <c r="G486" s="2">
        <v>800</v>
      </c>
      <c r="H486" t="str">
        <f>"TRAINING"</f>
        <v>TRAINING</v>
      </c>
    </row>
    <row r="487" spans="1:8" x14ac:dyDescent="0.25">
      <c r="A487" t="s">
        <v>104</v>
      </c>
      <c r="B487">
        <v>83791</v>
      </c>
      <c r="C487" s="2">
        <v>1550.4</v>
      </c>
      <c r="D487" s="1">
        <v>43717</v>
      </c>
      <c r="E487" t="str">
        <f>"324030"</f>
        <v>324030</v>
      </c>
      <c r="F487" t="str">
        <f>"Sign Shop Materials"</f>
        <v>Sign Shop Materials</v>
      </c>
      <c r="G487" s="2">
        <v>1550.4</v>
      </c>
      <c r="H487" t="str">
        <f>"18x24 Reflect. White"</f>
        <v>18x24 Reflect. White</v>
      </c>
    </row>
    <row r="488" spans="1:8" x14ac:dyDescent="0.25">
      <c r="E488" t="str">
        <f>""</f>
        <v/>
      </c>
      <c r="F488" t="str">
        <f>""</f>
        <v/>
      </c>
      <c r="H488" t="str">
        <f>"30x30 Reflect Yellow"</f>
        <v>30x30 Reflect Yellow</v>
      </c>
    </row>
    <row r="489" spans="1:8" x14ac:dyDescent="0.25">
      <c r="E489" t="str">
        <f>""</f>
        <v/>
      </c>
      <c r="F489" t="str">
        <f>""</f>
        <v/>
      </c>
      <c r="H489" t="str">
        <f>"24x24 Reflect Yellow"</f>
        <v>24x24 Reflect Yellow</v>
      </c>
    </row>
    <row r="490" spans="1:8" x14ac:dyDescent="0.25">
      <c r="A490" t="s">
        <v>104</v>
      </c>
      <c r="B490">
        <v>84013</v>
      </c>
      <c r="C490" s="2">
        <v>1073.6099999999999</v>
      </c>
      <c r="D490" s="1">
        <v>43731</v>
      </c>
      <c r="E490" t="str">
        <f>"325078"</f>
        <v>325078</v>
      </c>
      <c r="F490" t="str">
        <f>"inv# 325078"</f>
        <v>inv# 325078</v>
      </c>
      <c r="G490" s="2">
        <v>1073.6099999999999</v>
      </c>
      <c r="H490" t="str">
        <f>"Item# RPMM290WW"</f>
        <v>Item# RPMM290WW</v>
      </c>
    </row>
    <row r="491" spans="1:8" x14ac:dyDescent="0.25">
      <c r="E491" t="str">
        <f>""</f>
        <v/>
      </c>
      <c r="F491" t="str">
        <f>""</f>
        <v/>
      </c>
      <c r="H491" t="str">
        <f>"BA080HOR3030D"</f>
        <v>BA080HOR3030D</v>
      </c>
    </row>
    <row r="492" spans="1:8" x14ac:dyDescent="0.25">
      <c r="E492" t="str">
        <f>""</f>
        <v/>
      </c>
      <c r="F492" t="str">
        <f>""</f>
        <v/>
      </c>
      <c r="H492" t="str">
        <f>"BA080HWH1206R"</f>
        <v>BA080HWH1206R</v>
      </c>
    </row>
    <row r="493" spans="1:8" x14ac:dyDescent="0.25">
      <c r="E493" t="str">
        <f>""</f>
        <v/>
      </c>
      <c r="F493" t="str">
        <f>""</f>
        <v/>
      </c>
      <c r="H493" t="str">
        <f>"Freight"</f>
        <v>Freight</v>
      </c>
    </row>
    <row r="494" spans="1:8" x14ac:dyDescent="0.25">
      <c r="A494" t="s">
        <v>105</v>
      </c>
      <c r="B494">
        <v>83792</v>
      </c>
      <c r="C494" s="2">
        <v>80</v>
      </c>
      <c r="D494" s="1">
        <v>43717</v>
      </c>
      <c r="E494" t="str">
        <f>"201908291353"</f>
        <v>201908291353</v>
      </c>
      <c r="F494" t="str">
        <f>"12400"</f>
        <v>12400</v>
      </c>
      <c r="G494" s="2">
        <v>80</v>
      </c>
      <c r="H494" t="str">
        <f>"12400"</f>
        <v>12400</v>
      </c>
    </row>
    <row r="495" spans="1:8" x14ac:dyDescent="0.25">
      <c r="A495" t="s">
        <v>105</v>
      </c>
      <c r="B495">
        <v>84014</v>
      </c>
      <c r="C495" s="2">
        <v>80</v>
      </c>
      <c r="D495" s="1">
        <v>43731</v>
      </c>
      <c r="E495" t="str">
        <f>"13233"</f>
        <v>13233</v>
      </c>
      <c r="F495" t="str">
        <f>"SERVICE"</f>
        <v>SERVICE</v>
      </c>
      <c r="G495" s="2">
        <v>80</v>
      </c>
      <c r="H495" t="str">
        <f>"SERVICE"</f>
        <v>SERVICE</v>
      </c>
    </row>
    <row r="496" spans="1:8" x14ac:dyDescent="0.25">
      <c r="A496" t="s">
        <v>106</v>
      </c>
      <c r="B496">
        <v>84015</v>
      </c>
      <c r="C496" s="2">
        <v>186</v>
      </c>
      <c r="D496" s="1">
        <v>43731</v>
      </c>
      <c r="E496" t="str">
        <f>"201909171774"</f>
        <v>201909171774</v>
      </c>
      <c r="F496" t="str">
        <f>"REIMBURSE DL RENEWAL/PCT#2"</f>
        <v>REIMBURSE DL RENEWAL/PCT#2</v>
      </c>
      <c r="G496" s="2">
        <v>61</v>
      </c>
      <c r="H496" t="str">
        <f>"REIMBURSE DL RENEWAL/PCT#2"</f>
        <v>REIMBURSE DL RENEWAL/PCT#2</v>
      </c>
    </row>
    <row r="497" spans="1:8" x14ac:dyDescent="0.25">
      <c r="E497" t="str">
        <f>"201909171775"</f>
        <v>201909171775</v>
      </c>
      <c r="F497" t="str">
        <f>"REIMBURSE DRUG SCREENING"</f>
        <v>REIMBURSE DRUG SCREENING</v>
      </c>
      <c r="G497" s="2">
        <v>125</v>
      </c>
      <c r="H497" t="str">
        <f>"REIMBURSE DRUG SCREENING"</f>
        <v>REIMBURSE DRUG SCREENING</v>
      </c>
    </row>
    <row r="498" spans="1:8" x14ac:dyDescent="0.25">
      <c r="A498" t="s">
        <v>107</v>
      </c>
      <c r="B498">
        <v>84016</v>
      </c>
      <c r="C498" s="2">
        <v>100</v>
      </c>
      <c r="D498" s="1">
        <v>43731</v>
      </c>
      <c r="E498" t="str">
        <f>"201909121671"</f>
        <v>201909121671</v>
      </c>
      <c r="F498" t="str">
        <f>"LEGAL CONSULTING SVCS-AUGUST"</f>
        <v>LEGAL CONSULTING SVCS-AUGUST</v>
      </c>
      <c r="G498" s="2">
        <v>100</v>
      </c>
      <c r="H498" t="str">
        <f>"LEGAL CONSULTING SVCS-AUGUST"</f>
        <v>LEGAL CONSULTING SVCS-AUGUST</v>
      </c>
    </row>
    <row r="499" spans="1:8" x14ac:dyDescent="0.25">
      <c r="A499" t="s">
        <v>108</v>
      </c>
      <c r="B499">
        <v>84017</v>
      </c>
      <c r="C499" s="2">
        <v>533.04</v>
      </c>
      <c r="D499" s="1">
        <v>43731</v>
      </c>
      <c r="E499" t="str">
        <f>"201909171889"</f>
        <v>201909171889</v>
      </c>
      <c r="F499" t="str">
        <f>"INDIGENT HEALTH"</f>
        <v>INDIGENT HEALTH</v>
      </c>
      <c r="G499" s="2">
        <v>533.04</v>
      </c>
      <c r="H499" t="str">
        <f>"INDIGENT HEALTH"</f>
        <v>INDIGENT HEALTH</v>
      </c>
    </row>
    <row r="500" spans="1:8" x14ac:dyDescent="0.25">
      <c r="A500" t="s">
        <v>109</v>
      </c>
      <c r="B500">
        <v>83793</v>
      </c>
      <c r="C500" s="2">
        <v>575</v>
      </c>
      <c r="D500" s="1">
        <v>43717</v>
      </c>
      <c r="E500" t="str">
        <f>"201909031422"</f>
        <v>201909031422</v>
      </c>
      <c r="F500" t="str">
        <f>"EXHUMEATION"</f>
        <v>EXHUMEATION</v>
      </c>
      <c r="G500" s="2">
        <v>575</v>
      </c>
      <c r="H500" t="str">
        <f>"EXHUMEATION"</f>
        <v>EXHUMEATION</v>
      </c>
    </row>
    <row r="501" spans="1:8" x14ac:dyDescent="0.25">
      <c r="A501" t="s">
        <v>110</v>
      </c>
      <c r="B501">
        <v>1303</v>
      </c>
      <c r="C501" s="2">
        <v>1026</v>
      </c>
      <c r="D501" s="1">
        <v>43718</v>
      </c>
      <c r="E501" t="str">
        <f>"201909041456"</f>
        <v>201909041456</v>
      </c>
      <c r="F501" t="str">
        <f>"19-19763"</f>
        <v>19-19763</v>
      </c>
      <c r="G501" s="2">
        <v>202.5</v>
      </c>
      <c r="H501" t="str">
        <f>"19-19763"</f>
        <v>19-19763</v>
      </c>
    </row>
    <row r="502" spans="1:8" x14ac:dyDescent="0.25">
      <c r="E502" t="str">
        <f>"201909041457"</f>
        <v>201909041457</v>
      </c>
      <c r="F502" t="str">
        <f>"19-19572"</f>
        <v>19-19572</v>
      </c>
      <c r="G502" s="2">
        <v>100</v>
      </c>
      <c r="H502" t="str">
        <f>"19-19572"</f>
        <v>19-19572</v>
      </c>
    </row>
    <row r="503" spans="1:8" x14ac:dyDescent="0.25">
      <c r="E503" t="str">
        <f>"201909041458"</f>
        <v>201909041458</v>
      </c>
      <c r="F503" t="str">
        <f>"19-19713"</f>
        <v>19-19713</v>
      </c>
      <c r="G503" s="2">
        <v>103.5</v>
      </c>
      <c r="H503" t="str">
        <f>"19-19713"</f>
        <v>19-19713</v>
      </c>
    </row>
    <row r="504" spans="1:8" x14ac:dyDescent="0.25">
      <c r="E504" t="str">
        <f>"201909041475"</f>
        <v>201909041475</v>
      </c>
      <c r="F504" t="str">
        <f>"19-19679"</f>
        <v>19-19679</v>
      </c>
      <c r="G504" s="2">
        <v>137.5</v>
      </c>
      <c r="H504" t="str">
        <f>"19-19679"</f>
        <v>19-19679</v>
      </c>
    </row>
    <row r="505" spans="1:8" x14ac:dyDescent="0.25">
      <c r="E505" t="str">
        <f>"201909041477"</f>
        <v>201909041477</v>
      </c>
      <c r="F505" t="str">
        <f>"18-19190"</f>
        <v>18-19190</v>
      </c>
      <c r="G505" s="2">
        <v>250</v>
      </c>
      <c r="H505" t="str">
        <f>"18-19190"</f>
        <v>18-19190</v>
      </c>
    </row>
    <row r="506" spans="1:8" x14ac:dyDescent="0.25">
      <c r="E506" t="str">
        <f>"201909041478"</f>
        <v>201909041478</v>
      </c>
      <c r="F506" t="str">
        <f>"19-19445"</f>
        <v>19-19445</v>
      </c>
      <c r="G506" s="2">
        <v>232.5</v>
      </c>
      <c r="H506" t="str">
        <f>"19-19445"</f>
        <v>19-19445</v>
      </c>
    </row>
    <row r="507" spans="1:8" x14ac:dyDescent="0.25">
      <c r="A507" t="s">
        <v>110</v>
      </c>
      <c r="B507">
        <v>1377</v>
      </c>
      <c r="C507" s="2">
        <v>1665</v>
      </c>
      <c r="D507" s="1">
        <v>43732</v>
      </c>
      <c r="E507" t="str">
        <f>"201909171854"</f>
        <v>201909171854</v>
      </c>
      <c r="F507" t="str">
        <f>"19-19445"</f>
        <v>19-19445</v>
      </c>
      <c r="G507" s="2">
        <v>355</v>
      </c>
      <c r="H507" t="str">
        <f>"19-19445"</f>
        <v>19-19445</v>
      </c>
    </row>
    <row r="508" spans="1:8" x14ac:dyDescent="0.25">
      <c r="E508" t="str">
        <f>"201909171865"</f>
        <v>201909171865</v>
      </c>
      <c r="F508" t="str">
        <f>"18-19190"</f>
        <v>18-19190</v>
      </c>
      <c r="G508" s="2">
        <v>67.5</v>
      </c>
      <c r="H508" t="str">
        <f>"18-19190"</f>
        <v>18-19190</v>
      </c>
    </row>
    <row r="509" spans="1:8" x14ac:dyDescent="0.25">
      <c r="E509" t="str">
        <f>"201909171866"</f>
        <v>201909171866</v>
      </c>
      <c r="F509" t="str">
        <f>"17-18754"</f>
        <v>17-18754</v>
      </c>
      <c r="G509" s="2">
        <v>120</v>
      </c>
      <c r="H509" t="str">
        <f>"17-18754"</f>
        <v>17-18754</v>
      </c>
    </row>
    <row r="510" spans="1:8" x14ac:dyDescent="0.25">
      <c r="E510" t="str">
        <f>"201909171867"</f>
        <v>201909171867</v>
      </c>
      <c r="F510" t="str">
        <f>"18-18864"</f>
        <v>18-18864</v>
      </c>
      <c r="G510" s="2">
        <v>262.5</v>
      </c>
      <c r="H510" t="str">
        <f>"18-18864"</f>
        <v>18-18864</v>
      </c>
    </row>
    <row r="511" spans="1:8" x14ac:dyDescent="0.25">
      <c r="E511" t="str">
        <f>"201909171868"</f>
        <v>201909171868</v>
      </c>
      <c r="F511" t="str">
        <f>"19-19463"</f>
        <v>19-19463</v>
      </c>
      <c r="G511" s="2">
        <v>142.5</v>
      </c>
      <c r="H511" t="str">
        <f>"19-19463"</f>
        <v>19-19463</v>
      </c>
    </row>
    <row r="512" spans="1:8" x14ac:dyDescent="0.25">
      <c r="E512" t="str">
        <f>"201909171869"</f>
        <v>201909171869</v>
      </c>
      <c r="F512" t="str">
        <f>"19-19526"</f>
        <v>19-19526</v>
      </c>
      <c r="G512" s="2">
        <v>212.5</v>
      </c>
      <c r="H512" t="str">
        <f>"19-19526"</f>
        <v>19-19526</v>
      </c>
    </row>
    <row r="513" spans="1:8" x14ac:dyDescent="0.25">
      <c r="E513" t="str">
        <f>"201909171870"</f>
        <v>201909171870</v>
      </c>
      <c r="F513" t="str">
        <f>"19-19763"</f>
        <v>19-19763</v>
      </c>
      <c r="G513" s="2">
        <v>347.5</v>
      </c>
      <c r="H513" t="str">
        <f>"19-19763"</f>
        <v>19-19763</v>
      </c>
    </row>
    <row r="514" spans="1:8" x14ac:dyDescent="0.25">
      <c r="E514" t="str">
        <f>"201909171871"</f>
        <v>201909171871</v>
      </c>
      <c r="F514" t="str">
        <f>"19-19414"</f>
        <v>19-19414</v>
      </c>
      <c r="G514" s="2">
        <v>157.5</v>
      </c>
      <c r="H514" t="str">
        <f>"19-19414"</f>
        <v>19-19414</v>
      </c>
    </row>
    <row r="515" spans="1:8" x14ac:dyDescent="0.25">
      <c r="A515" t="s">
        <v>111</v>
      </c>
      <c r="B515">
        <v>83794</v>
      </c>
      <c r="C515" s="2">
        <v>37.79</v>
      </c>
      <c r="D515" s="1">
        <v>43717</v>
      </c>
      <c r="E515" t="str">
        <f>"10337939282"</f>
        <v>10337939282</v>
      </c>
      <c r="F515" t="str">
        <f>"Speaker for Leon Comp"</f>
        <v>Speaker for Leon Comp</v>
      </c>
      <c r="G515" s="2">
        <v>37.79</v>
      </c>
      <c r="H515" t="str">
        <f>"Part# : MCR24"</f>
        <v>Part# : MCR24</v>
      </c>
    </row>
    <row r="516" spans="1:8" x14ac:dyDescent="0.25">
      <c r="E516" t="str">
        <f>""</f>
        <v/>
      </c>
      <c r="F516" t="str">
        <f>""</f>
        <v/>
      </c>
      <c r="H516" t="str">
        <f>"Discount"</f>
        <v>Discount</v>
      </c>
    </row>
    <row r="517" spans="1:8" x14ac:dyDescent="0.25">
      <c r="A517" t="s">
        <v>111</v>
      </c>
      <c r="B517">
        <v>84018</v>
      </c>
      <c r="C517" s="2">
        <v>131.38999999999999</v>
      </c>
      <c r="D517" s="1">
        <v>43731</v>
      </c>
      <c r="E517" t="str">
        <f>"10337340174"</f>
        <v>10337340174</v>
      </c>
      <c r="F517" t="str">
        <f>"Battery for Jessica Marti"</f>
        <v>Battery for Jessica Marti</v>
      </c>
      <c r="G517" s="2">
        <v>92.39</v>
      </c>
      <c r="H517" t="str">
        <f>"Part# : 451-BBZT"</f>
        <v>Part# : 451-BBZT</v>
      </c>
    </row>
    <row r="518" spans="1:8" x14ac:dyDescent="0.25">
      <c r="E518" t="str">
        <f>""</f>
        <v/>
      </c>
      <c r="F518" t="str">
        <f>""</f>
        <v/>
      </c>
      <c r="H518" t="str">
        <f>"Discount"</f>
        <v>Discount</v>
      </c>
    </row>
    <row r="519" spans="1:8" x14ac:dyDescent="0.25">
      <c r="E519" t="str">
        <f>"10339312305"</f>
        <v>10339312305</v>
      </c>
      <c r="F519" t="str">
        <f>"Dell Order"</f>
        <v>Dell Order</v>
      </c>
      <c r="G519" s="2">
        <v>39</v>
      </c>
      <c r="H519" t="str">
        <f>"DW316"</f>
        <v>DW316</v>
      </c>
    </row>
    <row r="520" spans="1:8" x14ac:dyDescent="0.25">
      <c r="A520" t="s">
        <v>112</v>
      </c>
      <c r="B520">
        <v>1407</v>
      </c>
      <c r="C520" s="2">
        <v>1700</v>
      </c>
      <c r="D520" s="1">
        <v>43732</v>
      </c>
      <c r="E520" t="str">
        <f>"BATX016322"</f>
        <v>BATX016322</v>
      </c>
      <c r="F520" t="str">
        <f>"INV BATX016322"</f>
        <v>INV BATX016322</v>
      </c>
      <c r="G520" s="2">
        <v>1700</v>
      </c>
      <c r="H520" t="str">
        <f>"INV BATX016322"</f>
        <v>INV BATX016322</v>
      </c>
    </row>
    <row r="521" spans="1:8" x14ac:dyDescent="0.25">
      <c r="A521" t="s">
        <v>113</v>
      </c>
      <c r="B521">
        <v>83795</v>
      </c>
      <c r="C521" s="2">
        <v>22.5</v>
      </c>
      <c r="D521" s="1">
        <v>43717</v>
      </c>
      <c r="E521" t="str">
        <f>"25874"</f>
        <v>25874</v>
      </c>
      <c r="F521" t="str">
        <f>"INV 25874"</f>
        <v>INV 25874</v>
      </c>
      <c r="G521" s="2">
        <v>22.5</v>
      </c>
      <c r="H521" t="str">
        <f>"INV 25874"</f>
        <v>INV 25874</v>
      </c>
    </row>
    <row r="522" spans="1:8" x14ac:dyDescent="0.25">
      <c r="A522" t="s">
        <v>113</v>
      </c>
      <c r="B522">
        <v>84019</v>
      </c>
      <c r="C522" s="2">
        <v>175</v>
      </c>
      <c r="D522" s="1">
        <v>43731</v>
      </c>
      <c r="E522" t="str">
        <f>"25945"</f>
        <v>25945</v>
      </c>
      <c r="F522" t="str">
        <f>"SERVICE CALL/REKEY LOCKS/HR"</f>
        <v>SERVICE CALL/REKEY LOCKS/HR</v>
      </c>
      <c r="G522" s="2">
        <v>175</v>
      </c>
      <c r="H522" t="str">
        <f>"SERVICE CALL/REKEY LOCKS/HR"</f>
        <v>SERVICE CALL/REKEY LOCKS/HR</v>
      </c>
    </row>
    <row r="523" spans="1:8" x14ac:dyDescent="0.25">
      <c r="A523" t="s">
        <v>114</v>
      </c>
      <c r="B523">
        <v>83796</v>
      </c>
      <c r="C523" s="2">
        <v>2920.13</v>
      </c>
      <c r="D523" s="1">
        <v>43717</v>
      </c>
      <c r="E523" t="str">
        <f>"19071121N"</f>
        <v>19071121N</v>
      </c>
      <c r="F523" t="str">
        <f>"CUST CODE:PKE5000/JULY 2019"</f>
        <v>CUST CODE:PKE5000/JULY 2019</v>
      </c>
      <c r="G523" s="2">
        <v>2920.13</v>
      </c>
      <c r="H523" t="str">
        <f>"CUST CODE:PKE5000/JULY 2019"</f>
        <v>CUST CODE:PKE5000/JULY 2019</v>
      </c>
    </row>
    <row r="524" spans="1:8" x14ac:dyDescent="0.25">
      <c r="E524" t="str">
        <f>""</f>
        <v/>
      </c>
      <c r="F524" t="str">
        <f>""</f>
        <v/>
      </c>
      <c r="H524" t="str">
        <f>"CUST CODE:PKE5000/JULY 2019"</f>
        <v>CUST CODE:PKE5000/JULY 2019</v>
      </c>
    </row>
    <row r="525" spans="1:8" x14ac:dyDescent="0.25">
      <c r="A525" t="s">
        <v>115</v>
      </c>
      <c r="B525">
        <v>84020</v>
      </c>
      <c r="C525" s="2">
        <v>3.5</v>
      </c>
      <c r="D525" s="1">
        <v>43731</v>
      </c>
      <c r="E525" t="str">
        <f>"8471"</f>
        <v>8471</v>
      </c>
      <c r="F525" t="str">
        <f>"DOME/CAP/PCT#3"</f>
        <v>DOME/CAP/PCT#3</v>
      </c>
      <c r="G525" s="2">
        <v>3.5</v>
      </c>
      <c r="H525" t="str">
        <f>"DOME/CAP/PCT#3"</f>
        <v>DOME/CAP/PCT#3</v>
      </c>
    </row>
    <row r="526" spans="1:8" x14ac:dyDescent="0.25">
      <c r="A526" t="s">
        <v>116</v>
      </c>
      <c r="B526">
        <v>83797</v>
      </c>
      <c r="C526" s="2">
        <v>127.51</v>
      </c>
      <c r="D526" s="1">
        <v>43717</v>
      </c>
      <c r="E526" t="str">
        <f>"1618"</f>
        <v>1618</v>
      </c>
      <c r="F526" t="str">
        <f>"INV 1618"</f>
        <v>INV 1618</v>
      </c>
      <c r="G526" s="2">
        <v>127.51</v>
      </c>
      <c r="H526" t="str">
        <f>"INV 1618"</f>
        <v>INV 1618</v>
      </c>
    </row>
    <row r="527" spans="1:8" x14ac:dyDescent="0.25">
      <c r="E527" t="str">
        <f>""</f>
        <v/>
      </c>
      <c r="F527" t="str">
        <f>""</f>
        <v/>
      </c>
      <c r="H527" t="str">
        <f>"INV 1618"</f>
        <v>INV 1618</v>
      </c>
    </row>
    <row r="528" spans="1:8" x14ac:dyDescent="0.25">
      <c r="A528" t="s">
        <v>117</v>
      </c>
      <c r="B528">
        <v>84021</v>
      </c>
      <c r="C528" s="2">
        <v>872</v>
      </c>
      <c r="D528" s="1">
        <v>43731</v>
      </c>
      <c r="E528" t="str">
        <f>"25524"</f>
        <v>25524</v>
      </c>
      <c r="F528" t="str">
        <f>"roll up signs"</f>
        <v>roll up signs</v>
      </c>
      <c r="G528" s="2">
        <v>872</v>
      </c>
      <c r="H528" t="str">
        <f>" Road  reflective"</f>
        <v xml:space="preserve"> Road  reflective</v>
      </c>
    </row>
    <row r="529" spans="1:8" x14ac:dyDescent="0.25">
      <c r="E529" t="str">
        <f>""</f>
        <v/>
      </c>
      <c r="F529" t="str">
        <f>""</f>
        <v/>
      </c>
      <c r="H529" t="str">
        <f>" road  Non-Reflectiv"</f>
        <v xml:space="preserve"> road  Non-Reflectiv</v>
      </c>
    </row>
    <row r="530" spans="1:8" x14ac:dyDescent="0.25">
      <c r="E530" t="str">
        <f>""</f>
        <v/>
      </c>
      <c r="F530" t="str">
        <f>""</f>
        <v/>
      </c>
      <c r="H530" t="str">
        <f>" Mower  Reflective"</f>
        <v xml:space="preserve"> Mower  Reflective</v>
      </c>
    </row>
    <row r="531" spans="1:8" x14ac:dyDescent="0.25">
      <c r="E531" t="str">
        <f>""</f>
        <v/>
      </c>
      <c r="F531" t="str">
        <f>""</f>
        <v/>
      </c>
      <c r="H531" t="str">
        <f>" Mower  Non Reflecti"</f>
        <v xml:space="preserve"> Mower  Non Reflecti</v>
      </c>
    </row>
    <row r="532" spans="1:8" x14ac:dyDescent="0.25">
      <c r="A532" t="s">
        <v>118</v>
      </c>
      <c r="B532">
        <v>84022</v>
      </c>
      <c r="C532" s="2">
        <v>80</v>
      </c>
      <c r="D532" s="1">
        <v>43731</v>
      </c>
      <c r="E532" t="str">
        <f>"201909181927"</f>
        <v>201909181927</v>
      </c>
      <c r="F532" t="str">
        <f>"PER DIEM"</f>
        <v>PER DIEM</v>
      </c>
      <c r="G532" s="2">
        <v>80</v>
      </c>
      <c r="H532" t="str">
        <f>"PER DIEM"</f>
        <v>PER DIEM</v>
      </c>
    </row>
    <row r="533" spans="1:8" x14ac:dyDescent="0.25">
      <c r="A533" t="s">
        <v>119</v>
      </c>
      <c r="B533">
        <v>1393</v>
      </c>
      <c r="C533" s="2">
        <v>912.5</v>
      </c>
      <c r="D533" s="1">
        <v>43732</v>
      </c>
      <c r="E533" t="str">
        <f>"29171A"</f>
        <v>29171A</v>
      </c>
      <c r="F533" t="str">
        <f>"INV 29171A"</f>
        <v>INV 29171A</v>
      </c>
      <c r="G533" s="2">
        <v>912.5</v>
      </c>
      <c r="H533" t="str">
        <f>"INV 29171A"</f>
        <v>INV 29171A</v>
      </c>
    </row>
    <row r="534" spans="1:8" x14ac:dyDescent="0.25">
      <c r="A534" t="s">
        <v>120</v>
      </c>
      <c r="B534">
        <v>1355</v>
      </c>
      <c r="C534" s="2">
        <v>4575</v>
      </c>
      <c r="D534" s="1">
        <v>43718</v>
      </c>
      <c r="E534" t="str">
        <f>"201908281307"</f>
        <v>201908281307</v>
      </c>
      <c r="F534" t="str">
        <f>"20180291"</f>
        <v>20180291</v>
      </c>
      <c r="G534" s="2">
        <v>600</v>
      </c>
      <c r="H534" t="str">
        <f>"20180291"</f>
        <v>20180291</v>
      </c>
    </row>
    <row r="535" spans="1:8" x14ac:dyDescent="0.25">
      <c r="E535" t="str">
        <f>"201908281308"</f>
        <v>201908281308</v>
      </c>
      <c r="F535" t="str">
        <f>"16765"</f>
        <v>16765</v>
      </c>
      <c r="G535" s="2">
        <v>400</v>
      </c>
      <c r="H535" t="str">
        <f>"16765"</f>
        <v>16765</v>
      </c>
    </row>
    <row r="536" spans="1:8" x14ac:dyDescent="0.25">
      <c r="E536" t="str">
        <f>"201908291338"</f>
        <v>201908291338</v>
      </c>
      <c r="F536" t="str">
        <f>"16044"</f>
        <v>16044</v>
      </c>
      <c r="G536" s="2">
        <v>1000</v>
      </c>
      <c r="H536" t="str">
        <f>"16044"</f>
        <v>16044</v>
      </c>
    </row>
    <row r="537" spans="1:8" x14ac:dyDescent="0.25">
      <c r="E537" t="str">
        <f>"201908291339"</f>
        <v>201908291339</v>
      </c>
      <c r="F537" t="str">
        <f>"16268"</f>
        <v>16268</v>
      </c>
      <c r="G537" s="2">
        <v>400</v>
      </c>
      <c r="H537" t="str">
        <f>"16268"</f>
        <v>16268</v>
      </c>
    </row>
    <row r="538" spans="1:8" x14ac:dyDescent="0.25">
      <c r="E538" t="str">
        <f>"201908291340"</f>
        <v>201908291340</v>
      </c>
      <c r="F538" t="str">
        <f>"1263-335"</f>
        <v>1263-335</v>
      </c>
      <c r="G538" s="2">
        <v>100</v>
      </c>
      <c r="H538" t="str">
        <f>"1263-335"</f>
        <v>1263-335</v>
      </c>
    </row>
    <row r="539" spans="1:8" x14ac:dyDescent="0.25">
      <c r="E539" t="str">
        <f>"201908291341"</f>
        <v>201908291341</v>
      </c>
      <c r="F539" t="str">
        <f>"1260-21"</f>
        <v>1260-21</v>
      </c>
      <c r="G539" s="2">
        <v>100</v>
      </c>
      <c r="H539" t="str">
        <f>"1260-21"</f>
        <v>1260-21</v>
      </c>
    </row>
    <row r="540" spans="1:8" x14ac:dyDescent="0.25">
      <c r="E540" t="str">
        <f>"201908291342"</f>
        <v>201908291342</v>
      </c>
      <c r="F540" t="str">
        <f>"16573  C190066  C190067"</f>
        <v>16573  C190066  C190067</v>
      </c>
      <c r="G540" s="2">
        <v>800</v>
      </c>
      <c r="H540" t="str">
        <f>"16573  C190066  C190067"</f>
        <v>16573  C190066  C190067</v>
      </c>
    </row>
    <row r="541" spans="1:8" x14ac:dyDescent="0.25">
      <c r="E541" t="str">
        <f>"201908291343"</f>
        <v>201908291343</v>
      </c>
      <c r="F541" t="str">
        <f>"C19-0076"</f>
        <v>C19-0076</v>
      </c>
      <c r="G541" s="2">
        <v>200</v>
      </c>
      <c r="H541" t="str">
        <f>"C19-0076"</f>
        <v>C19-0076</v>
      </c>
    </row>
    <row r="542" spans="1:8" x14ac:dyDescent="0.25">
      <c r="E542" t="str">
        <f>"201909041460"</f>
        <v>201909041460</v>
      </c>
      <c r="F542" t="str">
        <f>"19-19833"</f>
        <v>19-19833</v>
      </c>
      <c r="G542" s="2">
        <v>100</v>
      </c>
      <c r="H542" t="str">
        <f>"19-19833"</f>
        <v>19-19833</v>
      </c>
    </row>
    <row r="543" spans="1:8" x14ac:dyDescent="0.25">
      <c r="E543" t="str">
        <f>"201909041496"</f>
        <v>201909041496</v>
      </c>
      <c r="F543" t="str">
        <f>"56843"</f>
        <v>56843</v>
      </c>
      <c r="G543" s="2">
        <v>250</v>
      </c>
      <c r="H543" t="str">
        <f>"56843"</f>
        <v>56843</v>
      </c>
    </row>
    <row r="544" spans="1:8" x14ac:dyDescent="0.25">
      <c r="E544" t="str">
        <f>"201909041499"</f>
        <v>201909041499</v>
      </c>
      <c r="F544" t="str">
        <f>"C190068"</f>
        <v>C190068</v>
      </c>
      <c r="G544" s="2">
        <v>250</v>
      </c>
      <c r="H544" t="str">
        <f>"C190068"</f>
        <v>C190068</v>
      </c>
    </row>
    <row r="545" spans="1:8" x14ac:dyDescent="0.25">
      <c r="E545" t="str">
        <f>"201909041500"</f>
        <v>201909041500</v>
      </c>
      <c r="F545" t="str">
        <f>"C19-0075"</f>
        <v>C19-0075</v>
      </c>
      <c r="G545" s="2">
        <v>125</v>
      </c>
      <c r="H545" t="str">
        <f>"C19-0075"</f>
        <v>C19-0075</v>
      </c>
    </row>
    <row r="546" spans="1:8" x14ac:dyDescent="0.25">
      <c r="E546" t="str">
        <f>"201909041508"</f>
        <v>201909041508</v>
      </c>
      <c r="F546" t="str">
        <f>"55757"</f>
        <v>55757</v>
      </c>
      <c r="G546" s="2">
        <v>250</v>
      </c>
      <c r="H546" t="str">
        <f>"55757"</f>
        <v>55757</v>
      </c>
    </row>
    <row r="547" spans="1:8" x14ac:dyDescent="0.25">
      <c r="A547" t="s">
        <v>120</v>
      </c>
      <c r="B547">
        <v>1434</v>
      </c>
      <c r="C547" s="2">
        <v>3325</v>
      </c>
      <c r="D547" s="1">
        <v>43732</v>
      </c>
      <c r="E547" t="str">
        <f>"201909121735"</f>
        <v>201909121735</v>
      </c>
      <c r="F547" t="str">
        <f>"16384"</f>
        <v>16384</v>
      </c>
      <c r="G547" s="2">
        <v>400</v>
      </c>
      <c r="H547" t="str">
        <f>"16384"</f>
        <v>16384</v>
      </c>
    </row>
    <row r="548" spans="1:8" x14ac:dyDescent="0.25">
      <c r="E548" t="str">
        <f>"201909121736"</f>
        <v>201909121736</v>
      </c>
      <c r="F548" t="str">
        <f>"JP106032019A"</f>
        <v>JP106032019A</v>
      </c>
      <c r="G548" s="2">
        <v>100</v>
      </c>
      <c r="H548" t="str">
        <f>"JP106032019A"</f>
        <v>JP106032019A</v>
      </c>
    </row>
    <row r="549" spans="1:8" x14ac:dyDescent="0.25">
      <c r="E549" t="str">
        <f>"201909161764"</f>
        <v>201909161764</v>
      </c>
      <c r="F549" t="str">
        <f>"19501025"</f>
        <v>19501025</v>
      </c>
      <c r="G549" s="2">
        <v>400</v>
      </c>
      <c r="H549" t="str">
        <f>"19501025"</f>
        <v>19501025</v>
      </c>
    </row>
    <row r="550" spans="1:8" x14ac:dyDescent="0.25">
      <c r="E550" t="str">
        <f>"201909171804"</f>
        <v>201909171804</v>
      </c>
      <c r="F550" t="str">
        <f>"19-F-0382"</f>
        <v>19-F-0382</v>
      </c>
      <c r="G550" s="2">
        <v>250</v>
      </c>
      <c r="H550" t="str">
        <f>"19-F-0382"</f>
        <v>19-F-0382</v>
      </c>
    </row>
    <row r="551" spans="1:8" x14ac:dyDescent="0.25">
      <c r="E551" t="str">
        <f>"201909171807"</f>
        <v>201909171807</v>
      </c>
      <c r="F551" t="str">
        <f>"56997"</f>
        <v>56997</v>
      </c>
      <c r="G551" s="2">
        <v>250</v>
      </c>
      <c r="H551" t="str">
        <f>"56997"</f>
        <v>56997</v>
      </c>
    </row>
    <row r="552" spans="1:8" x14ac:dyDescent="0.25">
      <c r="E552" t="str">
        <f>"201909171816"</f>
        <v>201909171816</v>
      </c>
      <c r="F552" t="str">
        <f>"56994"</f>
        <v>56994</v>
      </c>
      <c r="G552" s="2">
        <v>250</v>
      </c>
      <c r="H552" t="str">
        <f>"56994"</f>
        <v>56994</v>
      </c>
    </row>
    <row r="553" spans="1:8" x14ac:dyDescent="0.25">
      <c r="E553" t="str">
        <f>"201909171817"</f>
        <v>201909171817</v>
      </c>
      <c r="F553" t="str">
        <f>"56576"</f>
        <v>56576</v>
      </c>
      <c r="G553" s="2">
        <v>250</v>
      </c>
      <c r="H553" t="str">
        <f>"56576"</f>
        <v>56576</v>
      </c>
    </row>
    <row r="554" spans="1:8" x14ac:dyDescent="0.25">
      <c r="E554" t="str">
        <f>"201909171819"</f>
        <v>201909171819</v>
      </c>
      <c r="F554" t="str">
        <f>"19-19445"</f>
        <v>19-19445</v>
      </c>
      <c r="G554" s="2">
        <v>412.5</v>
      </c>
      <c r="H554" t="str">
        <f>"19-19445"</f>
        <v>19-19445</v>
      </c>
    </row>
    <row r="555" spans="1:8" x14ac:dyDescent="0.25">
      <c r="E555" t="str">
        <f>"201909171824"</f>
        <v>201909171824</v>
      </c>
      <c r="F555" t="str">
        <f>"18-19299"</f>
        <v>18-19299</v>
      </c>
      <c r="G555" s="2">
        <v>450</v>
      </c>
      <c r="H555" t="str">
        <f>"18-19299"</f>
        <v>18-19299</v>
      </c>
    </row>
    <row r="556" spans="1:8" x14ac:dyDescent="0.25">
      <c r="E556" t="str">
        <f>"201909171843"</f>
        <v>201909171843</v>
      </c>
      <c r="F556" t="str">
        <f>"19-19739"</f>
        <v>19-19739</v>
      </c>
      <c r="G556" s="2">
        <v>100</v>
      </c>
      <c r="H556" t="str">
        <f>"19-19739"</f>
        <v>19-19739</v>
      </c>
    </row>
    <row r="557" spans="1:8" x14ac:dyDescent="0.25">
      <c r="E557" t="str">
        <f>"201909171844"</f>
        <v>201909171844</v>
      </c>
      <c r="F557" t="str">
        <f>"18-19166"</f>
        <v>18-19166</v>
      </c>
      <c r="G557" s="2">
        <v>325</v>
      </c>
      <c r="H557" t="str">
        <f>"18-19166"</f>
        <v>18-19166</v>
      </c>
    </row>
    <row r="558" spans="1:8" x14ac:dyDescent="0.25">
      <c r="E558" t="str">
        <f>"201909171845"</f>
        <v>201909171845</v>
      </c>
      <c r="F558" t="str">
        <f>"19-19628"</f>
        <v>19-19628</v>
      </c>
      <c r="G558" s="2">
        <v>137.5</v>
      </c>
      <c r="H558" t="str">
        <f>"19-19628"</f>
        <v>19-19628</v>
      </c>
    </row>
    <row r="559" spans="1:8" x14ac:dyDescent="0.25">
      <c r="A559" t="s">
        <v>121</v>
      </c>
      <c r="B559">
        <v>84023</v>
      </c>
      <c r="C559" s="2">
        <v>4490.59</v>
      </c>
      <c r="D559" s="1">
        <v>43731</v>
      </c>
      <c r="E559" t="str">
        <f>"84358"</f>
        <v>84358</v>
      </c>
      <c r="F559" t="str">
        <f>"new Plat Cabinet"</f>
        <v>new Plat Cabinet</v>
      </c>
      <c r="G559" s="2">
        <v>4490.59</v>
      </c>
      <c r="H559" t="str">
        <f>"Part# EF050-SB"</f>
        <v>Part# EF050-SB</v>
      </c>
    </row>
    <row r="560" spans="1:8" x14ac:dyDescent="0.25">
      <c r="E560" t="str">
        <f>""</f>
        <v/>
      </c>
      <c r="F560" t="str">
        <f>""</f>
        <v/>
      </c>
      <c r="H560" t="str">
        <f>"Item# EFB24X36"</f>
        <v>Item# EFB24X36</v>
      </c>
    </row>
    <row r="561" spans="1:8" x14ac:dyDescent="0.25">
      <c r="E561" t="str">
        <f>""</f>
        <v/>
      </c>
      <c r="F561" t="str">
        <f>""</f>
        <v/>
      </c>
      <c r="H561" t="str">
        <f>"Item# EFB2C"</f>
        <v>Item# EFB2C</v>
      </c>
    </row>
    <row r="562" spans="1:8" x14ac:dyDescent="0.25">
      <c r="E562" t="str">
        <f>""</f>
        <v/>
      </c>
      <c r="F562" t="str">
        <f>""</f>
        <v/>
      </c>
      <c r="H562" t="str">
        <f>"New Cust. Discount"</f>
        <v>New Cust. Discount</v>
      </c>
    </row>
    <row r="563" spans="1:8" x14ac:dyDescent="0.25">
      <c r="E563" t="str">
        <f>""</f>
        <v/>
      </c>
      <c r="F563" t="str">
        <f>""</f>
        <v/>
      </c>
      <c r="H563" t="str">
        <f>"Freight"</f>
        <v>Freight</v>
      </c>
    </row>
    <row r="564" spans="1:8" x14ac:dyDescent="0.25">
      <c r="E564" t="str">
        <f>""</f>
        <v/>
      </c>
      <c r="F564" t="str">
        <f>""</f>
        <v/>
      </c>
      <c r="H564" t="str">
        <f>"Liftgate"</f>
        <v>Liftgate</v>
      </c>
    </row>
    <row r="565" spans="1:8" x14ac:dyDescent="0.25">
      <c r="A565" t="s">
        <v>122</v>
      </c>
      <c r="B565">
        <v>1328</v>
      </c>
      <c r="C565" s="2">
        <v>874.14</v>
      </c>
      <c r="D565" s="1">
        <v>43718</v>
      </c>
      <c r="E565" t="str">
        <f>"6251464854"</f>
        <v>6251464854</v>
      </c>
      <c r="F565" t="str">
        <f>"INV 6251464854"</f>
        <v>INV 6251464854</v>
      </c>
      <c r="G565" s="2">
        <v>874.14</v>
      </c>
      <c r="H565" t="str">
        <f>"INV 6251464854"</f>
        <v>INV 6251464854</v>
      </c>
    </row>
    <row r="566" spans="1:8" x14ac:dyDescent="0.25">
      <c r="A566" t="s">
        <v>123</v>
      </c>
      <c r="B566">
        <v>84024</v>
      </c>
      <c r="C566" s="2">
        <v>3050</v>
      </c>
      <c r="D566" s="1">
        <v>43731</v>
      </c>
      <c r="E566" t="str">
        <f>"1097024"</f>
        <v>1097024</v>
      </c>
      <c r="F566" t="str">
        <f>"ACCT#B06875/ELECTIONS"</f>
        <v>ACCT#B06875/ELECTIONS</v>
      </c>
      <c r="G566" s="2">
        <v>3050</v>
      </c>
      <c r="H566" t="str">
        <f>"ACCT#B06875/ELECTIONS"</f>
        <v>ACCT#B06875/ELECTIONS</v>
      </c>
    </row>
    <row r="567" spans="1:8" x14ac:dyDescent="0.25">
      <c r="A567" t="s">
        <v>124</v>
      </c>
      <c r="B567">
        <v>1327</v>
      </c>
      <c r="C567" s="2">
        <v>667</v>
      </c>
      <c r="D567" s="1">
        <v>43718</v>
      </c>
      <c r="E567" t="str">
        <f>"52421-18943"</f>
        <v>52421-18943</v>
      </c>
      <c r="F567" t="str">
        <f>"BLACKLANDS PUBLICATIONS INC"</f>
        <v>BLACKLANDS PUBLICATIONS INC</v>
      </c>
      <c r="G567" s="2">
        <v>75</v>
      </c>
      <c r="H567" t="str">
        <f>"PCT 2 Auction Ad"</f>
        <v>PCT 2 Auction Ad</v>
      </c>
    </row>
    <row r="568" spans="1:8" x14ac:dyDescent="0.25">
      <c r="E568" t="str">
        <f>"52421-18957"</f>
        <v>52421-18957</v>
      </c>
      <c r="F568" t="str">
        <f>"indigent health implentat"</f>
        <v>indigent health implentat</v>
      </c>
      <c r="G568" s="2">
        <v>120</v>
      </c>
      <c r="H568" t="str">
        <f>"ad"</f>
        <v>ad</v>
      </c>
    </row>
    <row r="569" spans="1:8" x14ac:dyDescent="0.25">
      <c r="E569" t="str">
        <f>"52421-19094/19096"</f>
        <v>52421-19094/19096</v>
      </c>
      <c r="F569" t="str">
        <f>"19BCP08A &amp; 19BCP08B"</f>
        <v>19BCP08A &amp; 19BCP08B</v>
      </c>
      <c r="G569" s="2">
        <v>472</v>
      </c>
      <c r="H569" t="str">
        <f>"19BCP08A"</f>
        <v>19BCP08A</v>
      </c>
    </row>
    <row r="570" spans="1:8" x14ac:dyDescent="0.25">
      <c r="E570" t="str">
        <f>""</f>
        <v/>
      </c>
      <c r="F570" t="str">
        <f>""</f>
        <v/>
      </c>
      <c r="H570" t="str">
        <f>"19BCP08B"</f>
        <v>19BCP08B</v>
      </c>
    </row>
    <row r="571" spans="1:8" x14ac:dyDescent="0.25">
      <c r="A571" t="s">
        <v>125</v>
      </c>
      <c r="B571">
        <v>84025</v>
      </c>
      <c r="C571" s="2">
        <v>59.8</v>
      </c>
      <c r="D571" s="1">
        <v>43731</v>
      </c>
      <c r="E571" t="str">
        <f>"838173"</f>
        <v>838173</v>
      </c>
      <c r="F571" t="str">
        <f>"STATEMENT#12829/PROPANE/PCT#4"</f>
        <v>STATEMENT#12829/PROPANE/PCT#4</v>
      </c>
      <c r="G571" s="2">
        <v>59.8</v>
      </c>
      <c r="H571" t="str">
        <f>"STATEMENT#12829/PROPANE/PCT#4"</f>
        <v>STATEMENT#12829/PROPANE/PCT#4</v>
      </c>
    </row>
    <row r="572" spans="1:8" x14ac:dyDescent="0.25">
      <c r="A572" t="s">
        <v>126</v>
      </c>
      <c r="B572">
        <v>83755</v>
      </c>
      <c r="C572" s="2">
        <v>2483.42</v>
      </c>
      <c r="D572" s="1">
        <v>43714</v>
      </c>
      <c r="E572" t="str">
        <f>"201909061555"</f>
        <v>201909061555</v>
      </c>
      <c r="F572" t="str">
        <f>"ACCT#007-0008410-002/08312019"</f>
        <v>ACCT#007-0008410-002/08312019</v>
      </c>
      <c r="G572" s="2">
        <v>215.51</v>
      </c>
      <c r="H572" t="str">
        <f>"ACCT#007-0008410-002/08312019"</f>
        <v>ACCT#007-0008410-002/08312019</v>
      </c>
    </row>
    <row r="573" spans="1:8" x14ac:dyDescent="0.25">
      <c r="E573" t="str">
        <f>"201909061556"</f>
        <v>201909061556</v>
      </c>
      <c r="F573" t="str">
        <f>"ACCT#007-0011501-000/08312019"</f>
        <v>ACCT#007-0011501-000/08312019</v>
      </c>
      <c r="G573" s="2">
        <v>817.48</v>
      </c>
      <c r="H573" t="str">
        <f>"ACCT#007-0011501-000/08312019"</f>
        <v>ACCT#007-0011501-000/08312019</v>
      </c>
    </row>
    <row r="574" spans="1:8" x14ac:dyDescent="0.25">
      <c r="E574" t="str">
        <f>"201909061557"</f>
        <v>201909061557</v>
      </c>
      <c r="F574" t="str">
        <f>"ACCT#007-0011510-000/08312019"</f>
        <v>ACCT#007-0011510-000/08312019</v>
      </c>
      <c r="G574" s="2">
        <v>342.7</v>
      </c>
      <c r="H574" t="str">
        <f>"ACCT#007-0011510-000/08312019"</f>
        <v>ACCT#007-0011510-000/08312019</v>
      </c>
    </row>
    <row r="575" spans="1:8" x14ac:dyDescent="0.25">
      <c r="E575" t="str">
        <f>"201909061558"</f>
        <v>201909061558</v>
      </c>
      <c r="F575" t="str">
        <f>"ACCT#007-0011530-000/08312019"</f>
        <v>ACCT#007-0011530-000/08312019</v>
      </c>
      <c r="G575" s="2">
        <v>97.4</v>
      </c>
      <c r="H575" t="str">
        <f>"ACCT#007-0011530-000/08312019"</f>
        <v>ACCT#007-0011530-000/08312019</v>
      </c>
    </row>
    <row r="576" spans="1:8" x14ac:dyDescent="0.25">
      <c r="E576" t="str">
        <f>"201909061559"</f>
        <v>201909061559</v>
      </c>
      <c r="F576" t="str">
        <f>"ACCT#007-0011534-001/08312019"</f>
        <v>ACCT#007-0011534-001/08312019</v>
      </c>
      <c r="G576" s="2">
        <v>166.88</v>
      </c>
      <c r="H576" t="str">
        <f>"ACCT#007-0011534-001/08312019"</f>
        <v>ACCT#007-0011534-001/08312019</v>
      </c>
    </row>
    <row r="577" spans="1:8" x14ac:dyDescent="0.25">
      <c r="E577" t="str">
        <f>"201909061560"</f>
        <v>201909061560</v>
      </c>
      <c r="F577" t="str">
        <f>"ACCT#007-0011535-000/08312019"</f>
        <v>ACCT#007-0011535-000/08312019</v>
      </c>
      <c r="G577" s="2">
        <v>437.98</v>
      </c>
      <c r="H577" t="str">
        <f>"ACCT#007-0011535-000/08312019"</f>
        <v>ACCT#007-0011535-000/08312019</v>
      </c>
    </row>
    <row r="578" spans="1:8" x14ac:dyDescent="0.25">
      <c r="E578" t="str">
        <f>"201909061561"</f>
        <v>201909061561</v>
      </c>
      <c r="F578" t="str">
        <f>"ACCT#007-0011544-001/08312019"</f>
        <v>ACCT#007-0011544-001/08312019</v>
      </c>
      <c r="G578" s="2">
        <v>129.66999999999999</v>
      </c>
      <c r="H578" t="str">
        <f>"ACCT#007-0011544-001/08312019"</f>
        <v>ACCT#007-0011544-001/08312019</v>
      </c>
    </row>
    <row r="579" spans="1:8" x14ac:dyDescent="0.25">
      <c r="E579" t="str">
        <f>"201909061562"</f>
        <v>201909061562</v>
      </c>
      <c r="F579" t="str">
        <f>"ACCT#007-0071128-001/08312019"</f>
        <v>ACCT#007-0071128-001/08312019</v>
      </c>
      <c r="G579" s="2">
        <v>275.8</v>
      </c>
      <c r="H579" t="str">
        <f>"ACCT#007-0071128-001/08312019"</f>
        <v>ACCT#007-0071128-001/08312019</v>
      </c>
    </row>
    <row r="580" spans="1:8" x14ac:dyDescent="0.25">
      <c r="A580" t="s">
        <v>127</v>
      </c>
      <c r="B580">
        <v>83798</v>
      </c>
      <c r="C580" s="2">
        <v>559.29</v>
      </c>
      <c r="D580" s="1">
        <v>43717</v>
      </c>
      <c r="E580" t="str">
        <f>"145-30613-01"</f>
        <v>145-30613-01</v>
      </c>
      <c r="F580" t="str">
        <f>"CUST#0888336"</f>
        <v>CUST#0888336</v>
      </c>
      <c r="G580" s="2">
        <v>217</v>
      </c>
      <c r="H580" t="str">
        <f>"CUST#0888336"</f>
        <v>CUST#0888336</v>
      </c>
    </row>
    <row r="581" spans="1:8" x14ac:dyDescent="0.25">
      <c r="E581" t="str">
        <f>"145-30763-01"</f>
        <v>145-30763-01</v>
      </c>
      <c r="F581" t="str">
        <f>"CUST#0888336/GENERAL MAINT"</f>
        <v>CUST#0888336/GENERAL MAINT</v>
      </c>
      <c r="G581" s="2">
        <v>15.76</v>
      </c>
      <c r="H581" t="str">
        <f>"CUST#0888336/GENERAL MAINT"</f>
        <v>CUST#0888336/GENERAL MAINT</v>
      </c>
    </row>
    <row r="582" spans="1:8" x14ac:dyDescent="0.25">
      <c r="E582" t="str">
        <f>"145-30819-01"</f>
        <v>145-30819-01</v>
      </c>
      <c r="F582" t="str">
        <f>"CUST#0888336/IT DEPT"</f>
        <v>CUST#0888336/IT DEPT</v>
      </c>
      <c r="G582" s="2">
        <v>326.52999999999997</v>
      </c>
      <c r="H582" t="str">
        <f>"CUST#0888336/IT DEPT"</f>
        <v>CUST#0888336/IT DEPT</v>
      </c>
    </row>
    <row r="583" spans="1:8" x14ac:dyDescent="0.25">
      <c r="A583" t="s">
        <v>127</v>
      </c>
      <c r="B583">
        <v>84026</v>
      </c>
      <c r="C583" s="2">
        <v>577.98</v>
      </c>
      <c r="D583" s="1">
        <v>43731</v>
      </c>
      <c r="E583" t="str">
        <f>"145-31186-01"</f>
        <v>145-31186-01</v>
      </c>
      <c r="F583" t="str">
        <f>"CUST#0888336/GRADY TUCK BLDG"</f>
        <v>CUST#0888336/GRADY TUCK BLDG</v>
      </c>
      <c r="G583" s="2">
        <v>577.98</v>
      </c>
      <c r="H583" t="str">
        <f>"CUST#0888336/GRADY TUCK BLDG"</f>
        <v>CUST#0888336/GRADY TUCK BLDG</v>
      </c>
    </row>
    <row r="584" spans="1:8" x14ac:dyDescent="0.25">
      <c r="A584" t="s">
        <v>128</v>
      </c>
      <c r="B584">
        <v>83799</v>
      </c>
      <c r="C584" s="2">
        <v>62461.440000000002</v>
      </c>
      <c r="D584" s="1">
        <v>43717</v>
      </c>
      <c r="E584" t="str">
        <f>"9402104443"</f>
        <v>9402104443</v>
      </c>
      <c r="F584" t="str">
        <f>"ACCT#912904/BOL#25265/PCT#2"</f>
        <v>ACCT#912904/BOL#25265/PCT#2</v>
      </c>
      <c r="G584" s="2">
        <v>10554.69</v>
      </c>
      <c r="H584" t="str">
        <f>"ACCT#912904/BOL#25265/PCT#2"</f>
        <v>ACCT#912904/BOL#25265/PCT#2</v>
      </c>
    </row>
    <row r="585" spans="1:8" x14ac:dyDescent="0.25">
      <c r="E585" t="str">
        <f>"9402104625"</f>
        <v>9402104625</v>
      </c>
      <c r="F585" t="str">
        <f>"ACCT#912904/BOL#25272/PCT#2"</f>
        <v>ACCT#912904/BOL#25272/PCT#2</v>
      </c>
      <c r="G585" s="2">
        <v>16346.66</v>
      </c>
      <c r="H585" t="str">
        <f>"ACCT#912904/BOL#25272/PCT#2"</f>
        <v>ACCT#912904/BOL#25272/PCT#2</v>
      </c>
    </row>
    <row r="586" spans="1:8" x14ac:dyDescent="0.25">
      <c r="E586" t="str">
        <f>"9402105300"</f>
        <v>9402105300</v>
      </c>
      <c r="F586" t="str">
        <f>"ACCT#912923/PUMP CHRGS/PCT#4"</f>
        <v>ACCT#912923/PUMP CHRGS/PCT#4</v>
      </c>
      <c r="G586" s="2">
        <v>90</v>
      </c>
      <c r="H586" t="str">
        <f>"ACCT#912923/PUMP CHRGS/PCT#4"</f>
        <v>ACCT#912923/PUMP CHRGS/PCT#4</v>
      </c>
    </row>
    <row r="587" spans="1:8" x14ac:dyDescent="0.25">
      <c r="E587" t="str">
        <f>"9402109798"</f>
        <v>9402109798</v>
      </c>
      <c r="F587" t="str">
        <f>"ACCT#912923/BOL#25327/PCT#4"</f>
        <v>ACCT#912923/BOL#25327/PCT#4</v>
      </c>
      <c r="G587" s="2">
        <v>4820.93</v>
      </c>
      <c r="H587" t="str">
        <f>"ACCT#912923/BOL#25327/PCT#4"</f>
        <v>ACCT#912923/BOL#25327/PCT#4</v>
      </c>
    </row>
    <row r="588" spans="1:8" x14ac:dyDescent="0.25">
      <c r="E588" t="str">
        <f>"9402111008"</f>
        <v>9402111008</v>
      </c>
      <c r="F588" t="str">
        <f>"ACCT#912904/BOL#25340/PCT#2"</f>
        <v>ACCT#912904/BOL#25340/PCT#2</v>
      </c>
      <c r="G588" s="2">
        <v>17334.490000000002</v>
      </c>
      <c r="H588" t="str">
        <f>"ACCT#912904/BOL#25340/PCT#2"</f>
        <v>ACCT#912904/BOL#25340/PCT#2</v>
      </c>
    </row>
    <row r="589" spans="1:8" x14ac:dyDescent="0.25">
      <c r="E589" t="str">
        <f>"9402111638"</f>
        <v>9402111638</v>
      </c>
      <c r="F589" t="str">
        <f>"ACCT#912923/BOL#25344/PCT#4"</f>
        <v>ACCT#912923/BOL#25344/PCT#4</v>
      </c>
      <c r="G589" s="2">
        <v>4186.8999999999996</v>
      </c>
      <c r="H589" t="str">
        <f>"ACCT#912923/BOL#25344/PCT#4"</f>
        <v>ACCT#912923/BOL#25344/PCT#4</v>
      </c>
    </row>
    <row r="590" spans="1:8" x14ac:dyDescent="0.25">
      <c r="E590" t="str">
        <f>"9402111639"</f>
        <v>9402111639</v>
      </c>
      <c r="F590" t="str">
        <f>"ACCT#912923/BOL#25350/PCT#4"</f>
        <v>ACCT#912923/BOL#25350/PCT#4</v>
      </c>
      <c r="G590" s="2">
        <v>4632.43</v>
      </c>
      <c r="H590" t="str">
        <f>"ACCT#912923/BOL#25350/PCT#4"</f>
        <v>ACCT#912923/BOL#25350/PCT#4</v>
      </c>
    </row>
    <row r="591" spans="1:8" x14ac:dyDescent="0.25">
      <c r="E591" t="str">
        <f>"9402112098"</f>
        <v>9402112098</v>
      </c>
      <c r="F591" t="str">
        <f>"ACCT#912922/BOL#25351/PCT#1"</f>
        <v>ACCT#912922/BOL#25351/PCT#1</v>
      </c>
      <c r="G591" s="2">
        <v>4495.34</v>
      </c>
      <c r="H591" t="str">
        <f>"ACCT#912922/BOL#25351/PCT#1"</f>
        <v>ACCT#912922/BOL#25351/PCT#1</v>
      </c>
    </row>
    <row r="592" spans="1:8" x14ac:dyDescent="0.25">
      <c r="A592" t="s">
        <v>128</v>
      </c>
      <c r="B592">
        <v>84027</v>
      </c>
      <c r="C592" s="2">
        <v>91291.32</v>
      </c>
      <c r="D592" s="1">
        <v>43731</v>
      </c>
      <c r="E592" t="str">
        <f>"9402112968"</f>
        <v>9402112968</v>
      </c>
      <c r="F592" t="str">
        <f>"ACCT#912923/BOL#25361/PCT#4"</f>
        <v>ACCT#912923/BOL#25361/PCT#4</v>
      </c>
      <c r="G592" s="2">
        <v>4284</v>
      </c>
      <c r="H592" t="str">
        <f>"ACCT#912923/BOL#25361/PCT#4"</f>
        <v>ACCT#912923/BOL#25361/PCT#4</v>
      </c>
    </row>
    <row r="593" spans="1:8" x14ac:dyDescent="0.25">
      <c r="E593" t="str">
        <f>"9402115391"</f>
        <v>9402115391</v>
      </c>
      <c r="F593" t="str">
        <f>"ACCT#912904/BOL#25381/PCT#2"</f>
        <v>ACCT#912904/BOL#25381/PCT#2</v>
      </c>
      <c r="G593" s="2">
        <v>11556.33</v>
      </c>
      <c r="H593" t="str">
        <f>"ACCT#912904/BOL#25381/PCT#2"</f>
        <v>ACCT#912904/BOL#25381/PCT#2</v>
      </c>
    </row>
    <row r="594" spans="1:8" x14ac:dyDescent="0.25">
      <c r="E594" t="str">
        <f>"9402116233"</f>
        <v>9402116233</v>
      </c>
      <c r="F594" t="str">
        <f>"ACCT#912904/BOL#25391/PCT#2"</f>
        <v>ACCT#912904/BOL#25391/PCT#2</v>
      </c>
      <c r="G594" s="2">
        <v>12165.27</v>
      </c>
      <c r="H594" t="str">
        <f>"ACCT#912904/BOL#25391/PCT#2"</f>
        <v>ACCT#912904/BOL#25391/PCT#2</v>
      </c>
    </row>
    <row r="595" spans="1:8" x14ac:dyDescent="0.25">
      <c r="E595" t="str">
        <f>"9402118447"</f>
        <v>9402118447</v>
      </c>
      <c r="F595" t="str">
        <f>"ACCT#912922/BOL#25418/PCT#1"</f>
        <v>ACCT#912922/BOL#25418/PCT#1</v>
      </c>
      <c r="G595" s="2">
        <v>10845.18</v>
      </c>
      <c r="H595" t="str">
        <f>"ACCT#912922/BOL#25418/PCT#1"</f>
        <v>ACCT#912922/BOL#25418/PCT#1</v>
      </c>
    </row>
    <row r="596" spans="1:8" x14ac:dyDescent="0.25">
      <c r="E596" t="str">
        <f>"9402119340"</f>
        <v>9402119340</v>
      </c>
      <c r="F596" t="str">
        <f>"ACCT#912923/BOL#25425/PCT#4"</f>
        <v>ACCT#912923/BOL#25425/PCT#4</v>
      </c>
      <c r="G596" s="2">
        <v>4621.01</v>
      </c>
      <c r="H596" t="str">
        <f>"ACCT#912923/BOL#25425/PCT#4"</f>
        <v>ACCT#912923/BOL#25425/PCT#4</v>
      </c>
    </row>
    <row r="597" spans="1:8" x14ac:dyDescent="0.25">
      <c r="E597" t="str">
        <f>"9402119583"</f>
        <v>9402119583</v>
      </c>
      <c r="F597" t="str">
        <f>"ACCT#912923/BOL#25431/PCT#4"</f>
        <v>ACCT#912923/BOL#25431/PCT#4</v>
      </c>
      <c r="G597" s="2">
        <v>4712.3999999999996</v>
      </c>
      <c r="H597" t="str">
        <f>"ACCT#912923/BOL#25431/PCT#4"</f>
        <v>ACCT#912923/BOL#25431/PCT#4</v>
      </c>
    </row>
    <row r="598" spans="1:8" x14ac:dyDescent="0.25">
      <c r="E598" t="str">
        <f>"9402120508"</f>
        <v>9402120508</v>
      </c>
      <c r="F598" t="str">
        <f>"ACCT#912923/BOL#25443/PCT#4"</f>
        <v>ACCT#912923/BOL#25443/PCT#4</v>
      </c>
      <c r="G598" s="2">
        <v>4621.01</v>
      </c>
      <c r="H598" t="str">
        <f>"ACCT#912923/BOL#25443/PCT#4"</f>
        <v>ACCT#912923/BOL#25443/PCT#4</v>
      </c>
    </row>
    <row r="599" spans="1:8" x14ac:dyDescent="0.25">
      <c r="E599" t="str">
        <f>"9402121405"</f>
        <v>9402121405</v>
      </c>
      <c r="F599" t="str">
        <f>"ACCT#912923/BOL#25455/PCT#4"</f>
        <v>ACCT#912923/BOL#25455/PCT#4</v>
      </c>
      <c r="G599" s="2">
        <v>4723.82</v>
      </c>
      <c r="H599" t="str">
        <f>"ACCT#912923/BOL#25455/PCT#4"</f>
        <v>ACCT#912923/BOL#25455/PCT#4</v>
      </c>
    </row>
    <row r="600" spans="1:8" x14ac:dyDescent="0.25">
      <c r="E600" t="str">
        <f>"9402121406"</f>
        <v>9402121406</v>
      </c>
      <c r="F600" t="str">
        <f>"ACCT#912923/BOL#25458/PCT#4"</f>
        <v>ACCT#912923/BOL#25458/PCT#4</v>
      </c>
      <c r="G600" s="2">
        <v>4323.9799999999996</v>
      </c>
      <c r="H600" t="str">
        <f>"ACCT#912923/BOL#25458/PCT#4"</f>
        <v>ACCT#912923/BOL#25458/PCT#4</v>
      </c>
    </row>
    <row r="601" spans="1:8" x14ac:dyDescent="0.25">
      <c r="E601" t="str">
        <f>"9402121579"</f>
        <v>9402121579</v>
      </c>
      <c r="F601" t="str">
        <f>"ACCT#25456/BOL#25456/PCT#3"</f>
        <v>ACCT#25456/BOL#25456/PCT#3</v>
      </c>
      <c r="G601" s="2">
        <v>15353.92</v>
      </c>
      <c r="H601" t="str">
        <f>"ACCT#25456/BOL#25456/PCT#3"</f>
        <v>ACCT#25456/BOL#25456/PCT#3</v>
      </c>
    </row>
    <row r="602" spans="1:8" x14ac:dyDescent="0.25">
      <c r="E602" t="str">
        <f>"9402123576"</f>
        <v>9402123576</v>
      </c>
      <c r="F602" t="str">
        <f>"ACCT#912922/PUMP CHARGES/PCT#1"</f>
        <v>ACCT#912922/PUMP CHARGES/PCT#1</v>
      </c>
      <c r="G602" s="2">
        <v>90</v>
      </c>
      <c r="H602" t="str">
        <f>"ACCT#912922/PUMP CHARGES/PCT#1"</f>
        <v>ACCT#912922/PUMP CHARGES/PCT#1</v>
      </c>
    </row>
    <row r="603" spans="1:8" x14ac:dyDescent="0.25">
      <c r="E603" t="str">
        <f>"9402123670"</f>
        <v>9402123670</v>
      </c>
      <c r="F603" t="str">
        <f>"ACCT#912923/BOL#25479/PCT#4"</f>
        <v>ACCT#912923/BOL#25479/PCT#4</v>
      </c>
      <c r="G603" s="2">
        <v>4678.13</v>
      </c>
      <c r="H603" t="str">
        <f>"ACCT#912897/BOL#25479/PCT#4"</f>
        <v>ACCT#912897/BOL#25479/PCT#4</v>
      </c>
    </row>
    <row r="604" spans="1:8" x14ac:dyDescent="0.25">
      <c r="E604" t="str">
        <f>"9402124643"</f>
        <v>9402124643</v>
      </c>
      <c r="F604" t="str">
        <f>"ACCT#912922/BOL#25494/PCT#1"</f>
        <v>ACCT#912922/BOL#25494/PCT#1</v>
      </c>
      <c r="G604" s="2">
        <v>4695.26</v>
      </c>
      <c r="H604" t="str">
        <f>"ACCT#912922/BOL#25494/PCT#1"</f>
        <v>ACCT#912922/BOL#25494/PCT#1</v>
      </c>
    </row>
    <row r="605" spans="1:8" x14ac:dyDescent="0.25">
      <c r="E605" t="str">
        <f>"9402124793"</f>
        <v>9402124793</v>
      </c>
      <c r="F605" t="str">
        <f>"ACCT#912923/BOL#25496/PCT#4"</f>
        <v>ACCT#912923/BOL#25496/PCT#4</v>
      </c>
      <c r="G605" s="2">
        <v>4621.01</v>
      </c>
      <c r="H605" t="str">
        <f>"ACCT#912923/BOL#25496/PCT#4"</f>
        <v>ACCT#912923/BOL#25496/PCT#4</v>
      </c>
    </row>
    <row r="606" spans="1:8" x14ac:dyDescent="0.25">
      <c r="A606" t="s">
        <v>129</v>
      </c>
      <c r="B606">
        <v>1329</v>
      </c>
      <c r="C606" s="2">
        <v>9146.49</v>
      </c>
      <c r="D606" s="1">
        <v>43718</v>
      </c>
      <c r="E606" t="str">
        <f>"201908281323"</f>
        <v>201908281323</v>
      </c>
      <c r="F606" t="str">
        <f>"GRANT REIMBURSEMENT"</f>
        <v>GRANT REIMBURSEMENT</v>
      </c>
      <c r="G606" s="2">
        <v>7935.49</v>
      </c>
      <c r="H606" t="str">
        <f>"GRANT REIMBURSEMENT"</f>
        <v>GRANT REIMBURSEMENT</v>
      </c>
    </row>
    <row r="607" spans="1:8" x14ac:dyDescent="0.25">
      <c r="E607" t="str">
        <f>"201909041434"</f>
        <v>201909041434</v>
      </c>
      <c r="F607" t="str">
        <f>"SANE EXAM/19-S-03504"</f>
        <v>SANE EXAM/19-S-03504</v>
      </c>
      <c r="G607" s="2">
        <v>489</v>
      </c>
      <c r="H607" t="str">
        <f>"SANE EXAM/19-S-03504"</f>
        <v>SANE EXAM/19-S-03504</v>
      </c>
    </row>
    <row r="608" spans="1:8" x14ac:dyDescent="0.25">
      <c r="E608" t="str">
        <f>"201909041435"</f>
        <v>201909041435</v>
      </c>
      <c r="F608" t="str">
        <f>"SANE EXAM/19-S-03504"</f>
        <v>SANE EXAM/19-S-03504</v>
      </c>
      <c r="G608" s="2">
        <v>489</v>
      </c>
      <c r="H608" t="str">
        <f>"SANE EXAM/19-S-03504"</f>
        <v>SANE EXAM/19-S-03504</v>
      </c>
    </row>
    <row r="609" spans="1:8" x14ac:dyDescent="0.25">
      <c r="E609" t="str">
        <f>"201909041436"</f>
        <v>201909041436</v>
      </c>
      <c r="F609" t="str">
        <f>"SANE EXAM/19-S-04260"</f>
        <v>SANE EXAM/19-S-04260</v>
      </c>
      <c r="G609" s="2">
        <v>233</v>
      </c>
      <c r="H609" t="str">
        <f>"SANE EXAM/19-S-04260"</f>
        <v>SANE EXAM/19-S-04260</v>
      </c>
    </row>
    <row r="610" spans="1:8" x14ac:dyDescent="0.25">
      <c r="A610" t="s">
        <v>130</v>
      </c>
      <c r="B610">
        <v>84028</v>
      </c>
      <c r="C610" s="2">
        <v>46.73</v>
      </c>
      <c r="D610" s="1">
        <v>43731</v>
      </c>
      <c r="E610" t="str">
        <f>"201909171888"</f>
        <v>201909171888</v>
      </c>
      <c r="F610" t="str">
        <f>"INDIGENT HEALTH"</f>
        <v>INDIGENT HEALTH</v>
      </c>
      <c r="G610" s="2">
        <v>46.73</v>
      </c>
      <c r="H610" t="str">
        <f>"INDIGENT HEALTH"</f>
        <v>INDIGENT HEALTH</v>
      </c>
    </row>
    <row r="611" spans="1:8" x14ac:dyDescent="0.25">
      <c r="A611" t="s">
        <v>131</v>
      </c>
      <c r="B611">
        <v>84029</v>
      </c>
      <c r="C611" s="2">
        <v>40250</v>
      </c>
      <c r="D611" s="1">
        <v>43731</v>
      </c>
      <c r="E611" t="str">
        <f>"69986-P1"</f>
        <v>69986-P1</v>
      </c>
      <c r="F611" t="str">
        <f>"CUST#90875/CONCRETE CRUSH/P1"</f>
        <v>CUST#90875/CONCRETE CRUSH/P1</v>
      </c>
      <c r="G611" s="2">
        <v>20125</v>
      </c>
      <c r="H611" t="str">
        <f>"CUST#90875/CONCRETE CRUSH/P1"</f>
        <v>CUST#90875/CONCRETE CRUSH/P1</v>
      </c>
    </row>
    <row r="612" spans="1:8" x14ac:dyDescent="0.25">
      <c r="E612" t="str">
        <f>"69986-P2"</f>
        <v>69986-P2</v>
      </c>
      <c r="F612" t="str">
        <f>"CUST#90875/CONCRETE CRUSH/P2"</f>
        <v>CUST#90875/CONCRETE CRUSH/P2</v>
      </c>
      <c r="G612" s="2">
        <v>20125</v>
      </c>
      <c r="H612" t="str">
        <f>"CUST#90875/CONCRETE CRUSH/P2"</f>
        <v>CUST#90875/CONCRETE CRUSH/P2</v>
      </c>
    </row>
    <row r="613" spans="1:8" x14ac:dyDescent="0.25">
      <c r="A613" t="s">
        <v>132</v>
      </c>
      <c r="B613">
        <v>83800</v>
      </c>
      <c r="C613" s="2">
        <v>885</v>
      </c>
      <c r="D613" s="1">
        <v>43717</v>
      </c>
      <c r="E613" t="str">
        <f>"19971-6"</f>
        <v>19971-6</v>
      </c>
      <c r="F613" t="str">
        <f>"CLIENT ID:19971/DATA STORAGE"</f>
        <v>CLIENT ID:19971/DATA STORAGE</v>
      </c>
      <c r="G613" s="2">
        <v>885</v>
      </c>
      <c r="H613" t="str">
        <f>"CLIENT ID:19971/DATA STORAGE"</f>
        <v>CLIENT ID:19971/DATA STORAGE</v>
      </c>
    </row>
    <row r="614" spans="1:8" x14ac:dyDescent="0.25">
      <c r="A614" t="s">
        <v>133</v>
      </c>
      <c r="B614">
        <v>83801</v>
      </c>
      <c r="C614" s="2">
        <v>283.12</v>
      </c>
      <c r="D614" s="1">
        <v>43717</v>
      </c>
      <c r="E614" t="str">
        <f>"34269093"</f>
        <v>34269093</v>
      </c>
      <c r="F614" t="str">
        <f>"ACCT#80975/PCT#2"</f>
        <v>ACCT#80975/PCT#2</v>
      </c>
      <c r="G614" s="2">
        <v>283.12</v>
      </c>
      <c r="H614" t="str">
        <f>"ACCT#80975/PCT#2"</f>
        <v>ACCT#80975/PCT#2</v>
      </c>
    </row>
    <row r="615" spans="1:8" x14ac:dyDescent="0.25">
      <c r="A615" t="s">
        <v>134</v>
      </c>
      <c r="B615">
        <v>1369</v>
      </c>
      <c r="C615" s="2">
        <v>15</v>
      </c>
      <c r="D615" s="1">
        <v>43732</v>
      </c>
      <c r="E615" t="str">
        <f>"201909121720"</f>
        <v>201909121720</v>
      </c>
      <c r="F615" t="str">
        <f>"REFUND BAIL BOND STICKER#23681"</f>
        <v>REFUND BAIL BOND STICKER#23681</v>
      </c>
      <c r="G615" s="2">
        <v>15</v>
      </c>
      <c r="H615" t="str">
        <f>"REFUND BAIL BOND STICKER#23681"</f>
        <v>REFUND BAIL BOND STICKER#23681</v>
      </c>
    </row>
    <row r="616" spans="1:8" x14ac:dyDescent="0.25">
      <c r="A616" t="s">
        <v>135</v>
      </c>
      <c r="B616">
        <v>1330</v>
      </c>
      <c r="C616" s="2">
        <v>400</v>
      </c>
      <c r="D616" s="1">
        <v>43718</v>
      </c>
      <c r="E616" t="str">
        <f>"201908281314"</f>
        <v>201908281314</v>
      </c>
      <c r="F616" t="str">
        <f>"18S02988"</f>
        <v>18S02988</v>
      </c>
      <c r="G616" s="2">
        <v>400</v>
      </c>
      <c r="H616" t="str">
        <f>"18S02988"</f>
        <v>18S02988</v>
      </c>
    </row>
    <row r="617" spans="1:8" x14ac:dyDescent="0.25">
      <c r="A617" t="s">
        <v>135</v>
      </c>
      <c r="B617">
        <v>1408</v>
      </c>
      <c r="C617" s="2">
        <v>725</v>
      </c>
      <c r="D617" s="1">
        <v>43732</v>
      </c>
      <c r="E617" t="str">
        <f>"201909121740"</f>
        <v>201909121740</v>
      </c>
      <c r="F617" t="str">
        <f>"16 719"</f>
        <v>16 719</v>
      </c>
      <c r="G617" s="2">
        <v>400</v>
      </c>
      <c r="H617" t="str">
        <f>"16 719"</f>
        <v>16 719</v>
      </c>
    </row>
    <row r="618" spans="1:8" x14ac:dyDescent="0.25">
      <c r="E618" t="str">
        <f>"201909171813"</f>
        <v>201909171813</v>
      </c>
      <c r="F618" t="str">
        <f>"57 074  54 908"</f>
        <v>57 074  54 908</v>
      </c>
      <c r="G618" s="2">
        <v>325</v>
      </c>
      <c r="H618" t="str">
        <f>"57 074  54 908"</f>
        <v>57 074  54 908</v>
      </c>
    </row>
    <row r="619" spans="1:8" x14ac:dyDescent="0.25">
      <c r="A619" t="s">
        <v>136</v>
      </c>
      <c r="B619">
        <v>1319</v>
      </c>
      <c r="C619" s="2">
        <v>468.64</v>
      </c>
      <c r="D619" s="1">
        <v>43718</v>
      </c>
      <c r="E619" t="str">
        <f>"201908281324"</f>
        <v>201908281324</v>
      </c>
      <c r="F619" t="str">
        <f>"REIMBURSE LUNCHEON/POSTAGE"</f>
        <v>REIMBURSE LUNCHEON/POSTAGE</v>
      </c>
      <c r="G619" s="2">
        <v>36.200000000000003</v>
      </c>
      <c r="H619" t="str">
        <f>"REIMBURSE LUNCHEON/POSTAGE"</f>
        <v>REIMBURSE LUNCHEON/POSTAGE</v>
      </c>
    </row>
    <row r="620" spans="1:8" x14ac:dyDescent="0.25">
      <c r="E620" t="str">
        <f>"201908281325"</f>
        <v>201908281325</v>
      </c>
      <c r="F620" t="str">
        <f>"REIMBURSE MILEAGE"</f>
        <v>REIMBURSE MILEAGE</v>
      </c>
      <c r="G620" s="2">
        <v>387.44</v>
      </c>
      <c r="H620" t="str">
        <f>"REIMBURSE MILEAGE"</f>
        <v>REIMBURSE MILEAGE</v>
      </c>
    </row>
    <row r="621" spans="1:8" x14ac:dyDescent="0.25">
      <c r="E621" t="str">
        <f>"201908301369"</f>
        <v>201908301369</v>
      </c>
      <c r="F621" t="str">
        <f>"TRAVEL ADVANCE-PER DIEM"</f>
        <v>TRAVEL ADVANCE-PER DIEM</v>
      </c>
      <c r="G621" s="2">
        <v>45</v>
      </c>
      <c r="H621" t="str">
        <f>"TRAVEL ADVANCE-PER DIEM"</f>
        <v>TRAVEL ADVANCE-PER DIEM</v>
      </c>
    </row>
    <row r="622" spans="1:8" x14ac:dyDescent="0.25">
      <c r="A622" t="s">
        <v>136</v>
      </c>
      <c r="B622">
        <v>1401</v>
      </c>
      <c r="C622" s="2">
        <v>59.65</v>
      </c>
      <c r="D622" s="1">
        <v>43732</v>
      </c>
      <c r="E622" t="str">
        <f>"201909161757"</f>
        <v>201909161757</v>
      </c>
      <c r="F622" t="str">
        <f>"REIMBURSE WKSHP/MAILOUT"</f>
        <v>REIMBURSE WKSHP/MAILOUT</v>
      </c>
      <c r="G622" s="2">
        <v>33.549999999999997</v>
      </c>
      <c r="H622" t="str">
        <f>"REIMBURSE WKSHP/MAILOUT"</f>
        <v>REIMBURSE WKSHP/MAILOUT</v>
      </c>
    </row>
    <row r="623" spans="1:8" x14ac:dyDescent="0.25">
      <c r="E623" t="str">
        <f>"201909161758"</f>
        <v>201909161758</v>
      </c>
      <c r="F623" t="str">
        <f>"REIMBURSE MILEAGE"</f>
        <v>REIMBURSE MILEAGE</v>
      </c>
      <c r="G623" s="2">
        <v>26.1</v>
      </c>
      <c r="H623" t="str">
        <f>"REIMBURSE MILEAGE"</f>
        <v>REIMBURSE MILEAGE</v>
      </c>
    </row>
    <row r="624" spans="1:8" x14ac:dyDescent="0.25">
      <c r="A624" t="s">
        <v>137</v>
      </c>
      <c r="B624">
        <v>1323</v>
      </c>
      <c r="C624" s="2">
        <v>647.80999999999995</v>
      </c>
      <c r="D624" s="1">
        <v>43718</v>
      </c>
      <c r="E624" t="str">
        <f>"AP408600"</f>
        <v>AP408600</v>
      </c>
      <c r="F624" t="str">
        <f>"ACCT#3324/VALVE/PCT#3"</f>
        <v>ACCT#3324/VALVE/PCT#3</v>
      </c>
      <c r="G624" s="2">
        <v>57.57</v>
      </c>
      <c r="H624" t="str">
        <f>"ACCT#3324/VALVE/PCT#3"</f>
        <v>ACCT#3324/VALVE/PCT#3</v>
      </c>
    </row>
    <row r="625" spans="1:8" x14ac:dyDescent="0.25">
      <c r="E625" t="str">
        <f>"AP408646"</f>
        <v>AP408646</v>
      </c>
      <c r="F625" t="str">
        <f>"ACCT#3325/PCT#1"</f>
        <v>ACCT#3325/PCT#1</v>
      </c>
      <c r="G625" s="2">
        <v>590.24</v>
      </c>
      <c r="H625" t="str">
        <f>"ACCT#3325/PCT#1"</f>
        <v>ACCT#3325/PCT#1</v>
      </c>
    </row>
    <row r="626" spans="1:8" x14ac:dyDescent="0.25">
      <c r="A626" t="s">
        <v>137</v>
      </c>
      <c r="B626">
        <v>1404</v>
      </c>
      <c r="C626" s="2">
        <v>4933.59</v>
      </c>
      <c r="D626" s="1">
        <v>43732</v>
      </c>
      <c r="E626" t="str">
        <f>"AP409347"</f>
        <v>AP409347</v>
      </c>
      <c r="F626" t="str">
        <f>"ACCT#3325/PCT#2"</f>
        <v>ACCT#3325/PCT#2</v>
      </c>
      <c r="G626" s="2">
        <v>3620.69</v>
      </c>
      <c r="H626" t="str">
        <f>"ACCT#3325/PCT#2"</f>
        <v>ACCT#3325/PCT#2</v>
      </c>
    </row>
    <row r="627" spans="1:8" x14ac:dyDescent="0.25">
      <c r="E627" t="str">
        <f>"AP409706"</f>
        <v>AP409706</v>
      </c>
      <c r="F627" t="str">
        <f>"ACCT#3325/PCT#1"</f>
        <v>ACCT#3325/PCT#1</v>
      </c>
      <c r="G627" s="2">
        <v>794.42</v>
      </c>
      <c r="H627" t="str">
        <f>"ACCT#3325/PCT#1"</f>
        <v>ACCT#3325/PCT#1</v>
      </c>
    </row>
    <row r="628" spans="1:8" x14ac:dyDescent="0.25">
      <c r="E628" t="str">
        <f>"AP410307"</f>
        <v>AP410307</v>
      </c>
      <c r="F628" t="str">
        <f>"ACCT#3326/PCT#4"</f>
        <v>ACCT#3326/PCT#4</v>
      </c>
      <c r="G628" s="2">
        <v>378.62</v>
      </c>
      <c r="H628" t="str">
        <f>"ACCT#3326/PCT#4"</f>
        <v>ACCT#3326/PCT#4</v>
      </c>
    </row>
    <row r="629" spans="1:8" x14ac:dyDescent="0.25">
      <c r="E629" t="str">
        <f>"AP410392"</f>
        <v>AP410392</v>
      </c>
      <c r="F629" t="str">
        <f>"ACCT#3325/PCT#2"</f>
        <v>ACCT#3325/PCT#2</v>
      </c>
      <c r="G629" s="2">
        <v>139.86000000000001</v>
      </c>
      <c r="H629" t="str">
        <f>"ACCT#3325/PCT#2"</f>
        <v>ACCT#3325/PCT#2</v>
      </c>
    </row>
    <row r="630" spans="1:8" x14ac:dyDescent="0.25">
      <c r="A630" t="s">
        <v>138</v>
      </c>
      <c r="B630">
        <v>1331</v>
      </c>
      <c r="C630" s="2">
        <v>288.01</v>
      </c>
      <c r="D630" s="1">
        <v>43718</v>
      </c>
      <c r="E630" t="str">
        <f>"109541"</f>
        <v>109541</v>
      </c>
      <c r="F630" t="str">
        <f>"INV GC 109541"</f>
        <v>INV GC 109541</v>
      </c>
      <c r="G630" s="2">
        <v>206.09</v>
      </c>
      <c r="H630" t="str">
        <f>"INV GC 109541"</f>
        <v>INV GC 109541</v>
      </c>
    </row>
    <row r="631" spans="1:8" x14ac:dyDescent="0.25">
      <c r="E631" t="str">
        <f>"109590"</f>
        <v>109590</v>
      </c>
      <c r="F631" t="str">
        <f>"INV GC 109590"</f>
        <v>INV GC 109590</v>
      </c>
      <c r="G631" s="2">
        <v>81.92</v>
      </c>
      <c r="H631" t="str">
        <f>"INV GC 109590"</f>
        <v>INV GC 109590</v>
      </c>
    </row>
    <row r="632" spans="1:8" x14ac:dyDescent="0.25">
      <c r="A632" t="s">
        <v>138</v>
      </c>
      <c r="B632">
        <v>1409</v>
      </c>
      <c r="C632" s="2">
        <v>153.68</v>
      </c>
      <c r="D632" s="1">
        <v>43732</v>
      </c>
      <c r="E632" t="str">
        <f>"109633"</f>
        <v>109633</v>
      </c>
      <c r="F632" t="str">
        <f>"ORDER OF THE CT/WARRANT RECALL"</f>
        <v>ORDER OF THE CT/WARRANT RECALL</v>
      </c>
      <c r="G632" s="2">
        <v>153.68</v>
      </c>
      <c r="H632" t="str">
        <f>"ORDER OF THE CT/WARRANT RECALL"</f>
        <v>ORDER OF THE CT/WARRANT RECALL</v>
      </c>
    </row>
    <row r="633" spans="1:8" x14ac:dyDescent="0.25">
      <c r="A633" t="s">
        <v>139</v>
      </c>
      <c r="B633">
        <v>83802</v>
      </c>
      <c r="C633" s="2">
        <v>914.5</v>
      </c>
      <c r="D633" s="1">
        <v>43717</v>
      </c>
      <c r="E633" t="str">
        <f>"012621960"</f>
        <v>012621960</v>
      </c>
      <c r="F633" t="str">
        <f>"INV 012621960"</f>
        <v>INV 012621960</v>
      </c>
      <c r="G633" s="2">
        <v>574.5</v>
      </c>
      <c r="H633" t="str">
        <f>"INV 012621960"</f>
        <v>INV 012621960</v>
      </c>
    </row>
    <row r="634" spans="1:8" x14ac:dyDescent="0.25">
      <c r="E634" t="str">
        <f>"013373033 01317891"</f>
        <v>013373033 01317891</v>
      </c>
      <c r="F634" t="str">
        <f>"INV 013373033/013178916/0"</f>
        <v>INV 013373033/013178916/0</v>
      </c>
      <c r="G634" s="2">
        <v>304</v>
      </c>
      <c r="H634" t="str">
        <f>"INV 013373033"</f>
        <v>INV 013373033</v>
      </c>
    </row>
    <row r="635" spans="1:8" x14ac:dyDescent="0.25">
      <c r="E635" t="str">
        <f>""</f>
        <v/>
      </c>
      <c r="F635" t="str">
        <f>""</f>
        <v/>
      </c>
      <c r="H635" t="str">
        <f>"INV 013178916"</f>
        <v>INV 013178916</v>
      </c>
    </row>
    <row r="636" spans="1:8" x14ac:dyDescent="0.25">
      <c r="E636" t="str">
        <f>""</f>
        <v/>
      </c>
      <c r="F636" t="str">
        <f>""</f>
        <v/>
      </c>
      <c r="H636" t="str">
        <f>"INV 013373008"</f>
        <v>INV 013373008</v>
      </c>
    </row>
    <row r="637" spans="1:8" x14ac:dyDescent="0.25">
      <c r="E637" t="str">
        <f>"013474692"</f>
        <v>013474692</v>
      </c>
      <c r="F637" t="str">
        <f>"INV 013474692"</f>
        <v>INV 013474692</v>
      </c>
      <c r="G637" s="2">
        <v>24</v>
      </c>
      <c r="H637" t="str">
        <f>"INV 013474692"</f>
        <v>INV 013474692</v>
      </c>
    </row>
    <row r="638" spans="1:8" x14ac:dyDescent="0.25">
      <c r="E638" t="str">
        <f>"013559622"</f>
        <v>013559622</v>
      </c>
      <c r="F638" t="str">
        <f>"INV 013559622"</f>
        <v>INV 013559622</v>
      </c>
      <c r="G638" s="2">
        <v>12</v>
      </c>
      <c r="H638" t="str">
        <f>"INV 013559622"</f>
        <v>INV 013559622</v>
      </c>
    </row>
    <row r="639" spans="1:8" x14ac:dyDescent="0.25">
      <c r="A639" t="s">
        <v>139</v>
      </c>
      <c r="B639">
        <v>84030</v>
      </c>
      <c r="C639" s="2">
        <v>2698.57</v>
      </c>
      <c r="D639" s="1">
        <v>43731</v>
      </c>
      <c r="E639" t="str">
        <f>"013178897"</f>
        <v>013178897</v>
      </c>
      <c r="F639" t="str">
        <f>"INV 013178897"</f>
        <v>INV 013178897</v>
      </c>
      <c r="G639" s="2">
        <v>285</v>
      </c>
      <c r="H639" t="str">
        <f>"INV 013178897"</f>
        <v>INV 013178897</v>
      </c>
    </row>
    <row r="640" spans="1:8" x14ac:dyDescent="0.25">
      <c r="E640" t="str">
        <f>"013178950 01337301"</f>
        <v>013178950 01337301</v>
      </c>
      <c r="F640" t="str">
        <f>"INV 013178950/013373013"</f>
        <v>INV 013178950/013373013</v>
      </c>
      <c r="G640" s="2">
        <v>304</v>
      </c>
      <c r="H640" t="str">
        <f>"INV 013178950"</f>
        <v>INV 013178950</v>
      </c>
    </row>
    <row r="641" spans="5:8" x14ac:dyDescent="0.25">
      <c r="E641" t="str">
        <f>""</f>
        <v/>
      </c>
      <c r="F641" t="str">
        <f>""</f>
        <v/>
      </c>
      <c r="H641" t="str">
        <f>"INV 013373013"</f>
        <v>INV 013373013</v>
      </c>
    </row>
    <row r="642" spans="5:8" x14ac:dyDescent="0.25">
      <c r="E642" t="str">
        <f>"013236702 01323671"</f>
        <v>013236702 01323671</v>
      </c>
      <c r="F642" t="str">
        <f>"INV 013236702"</f>
        <v>INV 013236702</v>
      </c>
      <c r="G642" s="2">
        <v>375.67</v>
      </c>
      <c r="H642" t="str">
        <f>"INV 013236702"</f>
        <v>INV 013236702</v>
      </c>
    </row>
    <row r="643" spans="5:8" x14ac:dyDescent="0.25">
      <c r="E643" t="str">
        <f>""</f>
        <v/>
      </c>
      <c r="F643" t="str">
        <f>""</f>
        <v/>
      </c>
      <c r="H643" t="str">
        <f>"INV 013236717"</f>
        <v>INV 013236717</v>
      </c>
    </row>
    <row r="644" spans="5:8" x14ac:dyDescent="0.25">
      <c r="E644" t="str">
        <f>""</f>
        <v/>
      </c>
      <c r="F644" t="str">
        <f>""</f>
        <v/>
      </c>
      <c r="H644" t="str">
        <f>"INV 013348746"</f>
        <v>INV 013348746</v>
      </c>
    </row>
    <row r="645" spans="5:8" x14ac:dyDescent="0.25">
      <c r="E645" t="str">
        <f>""</f>
        <v/>
      </c>
      <c r="F645" t="str">
        <f>""</f>
        <v/>
      </c>
      <c r="H645" t="str">
        <f>"INV 013236645"</f>
        <v>INV 013236645</v>
      </c>
    </row>
    <row r="646" spans="5:8" x14ac:dyDescent="0.25">
      <c r="E646" t="str">
        <f>""</f>
        <v/>
      </c>
      <c r="F646" t="str">
        <f>""</f>
        <v/>
      </c>
      <c r="H646" t="str">
        <f>"INV 013236664"</f>
        <v>INV 013236664</v>
      </c>
    </row>
    <row r="647" spans="5:8" x14ac:dyDescent="0.25">
      <c r="E647" t="str">
        <f>""</f>
        <v/>
      </c>
      <c r="F647" t="str">
        <f>""</f>
        <v/>
      </c>
      <c r="H647" t="str">
        <f>"INV 013236666"</f>
        <v>INV 013236666</v>
      </c>
    </row>
    <row r="648" spans="5:8" x14ac:dyDescent="0.25">
      <c r="E648" t="str">
        <f>""</f>
        <v/>
      </c>
      <c r="F648" t="str">
        <f>""</f>
        <v/>
      </c>
      <c r="H648" t="str">
        <f>"INV 013236685"</f>
        <v>INV 013236685</v>
      </c>
    </row>
    <row r="649" spans="5:8" x14ac:dyDescent="0.25">
      <c r="E649" t="str">
        <f>"013236718 01323673"</f>
        <v>013236718 01323673</v>
      </c>
      <c r="F649" t="str">
        <f>"INV 013236718"</f>
        <v>INV 013236718</v>
      </c>
      <c r="G649" s="2">
        <v>333.7</v>
      </c>
      <c r="H649" t="str">
        <f>"INV 013236718"</f>
        <v>INV 013236718</v>
      </c>
    </row>
    <row r="650" spans="5:8" x14ac:dyDescent="0.25">
      <c r="E650" t="str">
        <f>""</f>
        <v/>
      </c>
      <c r="F650" t="str">
        <f>""</f>
        <v/>
      </c>
      <c r="H650" t="str">
        <f>"INV 013236731"</f>
        <v>INV 013236731</v>
      </c>
    </row>
    <row r="651" spans="5:8" x14ac:dyDescent="0.25">
      <c r="E651" t="str">
        <f>""</f>
        <v/>
      </c>
      <c r="F651" t="str">
        <f>""</f>
        <v/>
      </c>
      <c r="H651" t="str">
        <f>"INV 013236748"</f>
        <v>INV 013236748</v>
      </c>
    </row>
    <row r="652" spans="5:8" x14ac:dyDescent="0.25">
      <c r="E652" t="str">
        <f>""</f>
        <v/>
      </c>
      <c r="F652" t="str">
        <f>""</f>
        <v/>
      </c>
      <c r="H652" t="str">
        <f>"INV 013236643"</f>
        <v>INV 013236643</v>
      </c>
    </row>
    <row r="653" spans="5:8" x14ac:dyDescent="0.25">
      <c r="E653" t="str">
        <f>""</f>
        <v/>
      </c>
      <c r="F653" t="str">
        <f>""</f>
        <v/>
      </c>
      <c r="H653" t="str">
        <f>"INV 013236686"</f>
        <v>INV 013236686</v>
      </c>
    </row>
    <row r="654" spans="5:8" x14ac:dyDescent="0.25">
      <c r="E654" t="str">
        <f>"013362076"</f>
        <v>013362076</v>
      </c>
      <c r="F654" t="str">
        <f>"INV 013362076"</f>
        <v>INV 013362076</v>
      </c>
      <c r="G654" s="2">
        <v>221.25</v>
      </c>
      <c r="H654" t="str">
        <f>"INV 013362076"</f>
        <v>INV 013362076</v>
      </c>
    </row>
    <row r="655" spans="5:8" x14ac:dyDescent="0.25">
      <c r="E655" t="str">
        <f>"013373032 01337316"</f>
        <v>013373032 01337316</v>
      </c>
      <c r="F655" t="str">
        <f>"INV 013373032/013373162"</f>
        <v>INV 013373032/013373162</v>
      </c>
      <c r="G655" s="2">
        <v>297</v>
      </c>
      <c r="H655" t="str">
        <f>"INV 013373032"</f>
        <v>INV 013373032</v>
      </c>
    </row>
    <row r="656" spans="5:8" x14ac:dyDescent="0.25">
      <c r="E656" t="str">
        <f>""</f>
        <v/>
      </c>
      <c r="F656" t="str">
        <f>""</f>
        <v/>
      </c>
      <c r="H656" t="str">
        <f>"INV 013373162"</f>
        <v>INV 013373162</v>
      </c>
    </row>
    <row r="657" spans="1:8" x14ac:dyDescent="0.25">
      <c r="E657" t="str">
        <f>"013479547"</f>
        <v>013479547</v>
      </c>
      <c r="F657" t="str">
        <f>"INV 013479547"</f>
        <v>INV 013479547</v>
      </c>
      <c r="G657" s="2">
        <v>302</v>
      </c>
      <c r="H657" t="str">
        <f>"INV 013479547"</f>
        <v>INV 013479547</v>
      </c>
    </row>
    <row r="658" spans="1:8" x14ac:dyDescent="0.25">
      <c r="E658" t="str">
        <f>"013584685"</f>
        <v>013584685</v>
      </c>
      <c r="F658" t="str">
        <f>"INV 013584685"</f>
        <v>INV 013584685</v>
      </c>
      <c r="G658" s="2">
        <v>579.95000000000005</v>
      </c>
      <c r="H658" t="str">
        <f>"INV 013584685"</f>
        <v>INV 013584685</v>
      </c>
    </row>
    <row r="659" spans="1:8" x14ac:dyDescent="0.25">
      <c r="A659" t="s">
        <v>140</v>
      </c>
      <c r="B659">
        <v>84031</v>
      </c>
      <c r="C659" s="2">
        <v>25</v>
      </c>
      <c r="D659" s="1">
        <v>43731</v>
      </c>
      <c r="E659" t="str">
        <f>"201909171769"</f>
        <v>201909171769</v>
      </c>
      <c r="F659" t="str">
        <f>"DRIVEWAY PERMIT FEE REFUND"</f>
        <v>DRIVEWAY PERMIT FEE REFUND</v>
      </c>
      <c r="G659" s="2">
        <v>25</v>
      </c>
      <c r="H659" t="str">
        <f>"DRIVEWAY PERMIT FEE REFUND"</f>
        <v>DRIVEWAY PERMIT FEE REFUND</v>
      </c>
    </row>
    <row r="660" spans="1:8" x14ac:dyDescent="0.25">
      <c r="A660" t="s">
        <v>141</v>
      </c>
      <c r="B660">
        <v>83803</v>
      </c>
      <c r="C660" s="2">
        <v>100</v>
      </c>
      <c r="D660" s="1">
        <v>43717</v>
      </c>
      <c r="E660" t="str">
        <f>"12400"</f>
        <v>12400</v>
      </c>
      <c r="F660" t="str">
        <f>"SERVICE"</f>
        <v>SERVICE</v>
      </c>
      <c r="G660" s="2">
        <v>100</v>
      </c>
      <c r="H660" t="str">
        <f>"SERVICE"</f>
        <v>SERVICE</v>
      </c>
    </row>
    <row r="661" spans="1:8" x14ac:dyDescent="0.25">
      <c r="A661" t="s">
        <v>142</v>
      </c>
      <c r="B661">
        <v>83804</v>
      </c>
      <c r="C661" s="2">
        <v>709.84</v>
      </c>
      <c r="D661" s="1">
        <v>43717</v>
      </c>
      <c r="E661" t="str">
        <f>"0316637"</f>
        <v>0316637</v>
      </c>
      <c r="F661" t="str">
        <f>"BINDERS/LABELS/COUNTY CLERK"</f>
        <v>BINDERS/LABELS/COUNTY CLERK</v>
      </c>
      <c r="G661" s="2">
        <v>709.84</v>
      </c>
      <c r="H661" t="str">
        <f>"BINDERS/LABELS/COUNTY CLERK"</f>
        <v>BINDERS/LABELS/COUNTY CLERK</v>
      </c>
    </row>
    <row r="662" spans="1:8" x14ac:dyDescent="0.25">
      <c r="A662" t="s">
        <v>143</v>
      </c>
      <c r="B662">
        <v>83805</v>
      </c>
      <c r="C662" s="2">
        <v>41.38</v>
      </c>
      <c r="D662" s="1">
        <v>43717</v>
      </c>
      <c r="E662" t="str">
        <f>"9271336316"</f>
        <v>9271336316</v>
      </c>
      <c r="F662" t="str">
        <f>"INV 9271336316"</f>
        <v>INV 9271336316</v>
      </c>
      <c r="G662" s="2">
        <v>41.38</v>
      </c>
      <c r="H662" t="str">
        <f>"INV 9271336316"</f>
        <v>INV 9271336316</v>
      </c>
    </row>
    <row r="663" spans="1:8" x14ac:dyDescent="0.25">
      <c r="A663" t="s">
        <v>143</v>
      </c>
      <c r="B663">
        <v>84032</v>
      </c>
      <c r="C663" s="2">
        <v>144.79</v>
      </c>
      <c r="D663" s="1">
        <v>43731</v>
      </c>
      <c r="E663" t="str">
        <f>"9282414417 9282414"</f>
        <v>9282414417 9282414</v>
      </c>
      <c r="F663" t="str">
        <f>"INV 9282414417"</f>
        <v>INV 9282414417</v>
      </c>
      <c r="G663" s="2">
        <v>102.4</v>
      </c>
      <c r="H663" t="str">
        <f>"INV 9282414417"</f>
        <v>INV 9282414417</v>
      </c>
    </row>
    <row r="664" spans="1:8" x14ac:dyDescent="0.25">
      <c r="E664" t="str">
        <f>""</f>
        <v/>
      </c>
      <c r="F664" t="str">
        <f>""</f>
        <v/>
      </c>
      <c r="H664" t="str">
        <f>"INV 9282414425"</f>
        <v>INV 9282414425</v>
      </c>
    </row>
    <row r="665" spans="1:8" x14ac:dyDescent="0.25">
      <c r="E665" t="str">
        <f>"9288612030"</f>
        <v>9288612030</v>
      </c>
      <c r="F665" t="str">
        <f>"INV 9288612030"</f>
        <v>INV 9288612030</v>
      </c>
      <c r="G665" s="2">
        <v>42.39</v>
      </c>
      <c r="H665" t="str">
        <f>"INV 9288612030"</f>
        <v>INV 9288612030</v>
      </c>
    </row>
    <row r="666" spans="1:8" x14ac:dyDescent="0.25">
      <c r="A666" t="s">
        <v>144</v>
      </c>
      <c r="B666">
        <v>83806</v>
      </c>
      <c r="C666" s="2">
        <v>13090</v>
      </c>
      <c r="D666" s="1">
        <v>43717</v>
      </c>
      <c r="E666" t="str">
        <f>"9"</f>
        <v>9</v>
      </c>
      <c r="F666" t="str">
        <f>"EXPERT SVCD 07/01-08/31"</f>
        <v>EXPERT SVCD 07/01-08/31</v>
      </c>
      <c r="G666" s="2">
        <v>13090</v>
      </c>
      <c r="H666" t="str">
        <f>"EXPERT SVCD 07/01-08/31"</f>
        <v>EXPERT SVCD 07/01-08/31</v>
      </c>
    </row>
    <row r="667" spans="1:8" x14ac:dyDescent="0.25">
      <c r="A667" t="s">
        <v>145</v>
      </c>
      <c r="B667">
        <v>1332</v>
      </c>
      <c r="C667" s="2">
        <v>5847.7</v>
      </c>
      <c r="D667" s="1">
        <v>43718</v>
      </c>
      <c r="E667" t="str">
        <f>"0723615"</f>
        <v>0723615</v>
      </c>
      <c r="F667" t="str">
        <f>"INV 0723615"</f>
        <v>INV 0723615</v>
      </c>
      <c r="G667" s="2">
        <v>157</v>
      </c>
      <c r="H667" t="str">
        <f>"INV 0723615"</f>
        <v>INV 0723615</v>
      </c>
    </row>
    <row r="668" spans="1:8" x14ac:dyDescent="0.25">
      <c r="E668" t="str">
        <f>"0723713"</f>
        <v>0723713</v>
      </c>
      <c r="F668" t="str">
        <f>"INV 0723713"</f>
        <v>INV 0723713</v>
      </c>
      <c r="G668" s="2">
        <v>1258</v>
      </c>
      <c r="H668" t="str">
        <f>"INV 0723713"</f>
        <v>INV 0723713</v>
      </c>
    </row>
    <row r="669" spans="1:8" x14ac:dyDescent="0.25">
      <c r="E669" t="str">
        <f>"0724032"</f>
        <v>0724032</v>
      </c>
      <c r="F669" t="str">
        <f>"INV 0724032"</f>
        <v>INV 0724032</v>
      </c>
      <c r="G669" s="2">
        <v>850</v>
      </c>
      <c r="H669" t="str">
        <f>"INV 0724032"</f>
        <v>INV 0724032</v>
      </c>
    </row>
    <row r="670" spans="1:8" x14ac:dyDescent="0.25">
      <c r="E670" t="str">
        <f>""</f>
        <v/>
      </c>
      <c r="F670" t="str">
        <f>""</f>
        <v/>
      </c>
      <c r="H670" t="str">
        <f>"INV 0724032"</f>
        <v>INV 0724032</v>
      </c>
    </row>
    <row r="671" spans="1:8" x14ac:dyDescent="0.25">
      <c r="E671" t="str">
        <f>"201909031424"</f>
        <v>201909031424</v>
      </c>
      <c r="F671" t="str">
        <f>"INV"</f>
        <v>INV</v>
      </c>
      <c r="G671" s="2">
        <v>3582.7</v>
      </c>
      <c r="H671" t="str">
        <f>"INV"</f>
        <v>INV</v>
      </c>
    </row>
    <row r="672" spans="1:8" x14ac:dyDescent="0.25">
      <c r="A672" t="s">
        <v>145</v>
      </c>
      <c r="B672">
        <v>1410</v>
      </c>
      <c r="C672" s="2">
        <v>629.73</v>
      </c>
      <c r="D672" s="1">
        <v>43732</v>
      </c>
      <c r="E672" t="str">
        <f>"0717405"</f>
        <v>0717405</v>
      </c>
      <c r="F672" t="str">
        <f>"INV 0717405"</f>
        <v>INV 0717405</v>
      </c>
      <c r="G672" s="2">
        <v>387.05</v>
      </c>
      <c r="H672" t="str">
        <f>"INV 0717405"</f>
        <v>INV 0717405</v>
      </c>
    </row>
    <row r="673" spans="1:8" x14ac:dyDescent="0.25">
      <c r="E673" t="str">
        <f>"0718005"</f>
        <v>0718005</v>
      </c>
      <c r="F673" t="str">
        <f>"INV 0718005"</f>
        <v>INV 0718005</v>
      </c>
      <c r="G673" s="2">
        <v>242.68</v>
      </c>
      <c r="H673" t="str">
        <f>"INV 0718005"</f>
        <v>INV 0718005</v>
      </c>
    </row>
    <row r="674" spans="1:8" x14ac:dyDescent="0.25">
      <c r="A674" t="s">
        <v>146</v>
      </c>
      <c r="B674">
        <v>1347</v>
      </c>
      <c r="C674" s="2">
        <v>2744.7</v>
      </c>
      <c r="D674" s="1">
        <v>43718</v>
      </c>
      <c r="E674" t="str">
        <f>"1724481"</f>
        <v>1724481</v>
      </c>
      <c r="F674" t="str">
        <f>"INV 1724481"</f>
        <v>INV 1724481</v>
      </c>
      <c r="G674" s="2">
        <v>2744.7</v>
      </c>
      <c r="H674" t="str">
        <f>"INV 1724481"</f>
        <v>INV 1724481</v>
      </c>
    </row>
    <row r="675" spans="1:8" x14ac:dyDescent="0.25">
      <c r="A675" t="s">
        <v>147</v>
      </c>
      <c r="B675">
        <v>1422</v>
      </c>
      <c r="C675" s="2">
        <v>14415.55</v>
      </c>
      <c r="D675" s="1">
        <v>43732</v>
      </c>
      <c r="E675" t="str">
        <f>"00028505"</f>
        <v>00028505</v>
      </c>
      <c r="F675" t="str">
        <f>"PROJ:032318.003/PCT#1"</f>
        <v>PROJ:032318.003/PCT#1</v>
      </c>
      <c r="G675" s="2">
        <v>14415.55</v>
      </c>
      <c r="H675" t="str">
        <f>"PROJ:032318.003/PCT#1"</f>
        <v>PROJ:032318.003/PCT#1</v>
      </c>
    </row>
    <row r="676" spans="1:8" x14ac:dyDescent="0.25">
      <c r="A676" t="s">
        <v>148</v>
      </c>
      <c r="B676">
        <v>1333</v>
      </c>
      <c r="C676" s="2">
        <v>470.08</v>
      </c>
      <c r="D676" s="1">
        <v>43718</v>
      </c>
      <c r="E676" t="str">
        <f>"564990"</f>
        <v>564990</v>
      </c>
      <c r="F676" t="str">
        <f>"ORD#541005/MOTOR/GEN SVCS"</f>
        <v>ORD#541005/MOTOR/GEN SVCS</v>
      </c>
      <c r="G676" s="2">
        <v>470.08</v>
      </c>
      <c r="H676" t="str">
        <f>"ORD#541005/MOTOR/GEN SVCS"</f>
        <v>ORD#541005/MOTOR/GEN SVCS</v>
      </c>
    </row>
    <row r="677" spans="1:8" x14ac:dyDescent="0.25">
      <c r="A677" t="s">
        <v>149</v>
      </c>
      <c r="B677">
        <v>1314</v>
      </c>
      <c r="C677" s="2">
        <v>536.25</v>
      </c>
      <c r="D677" s="1">
        <v>43718</v>
      </c>
      <c r="E677" t="str">
        <f>"201909041516"</f>
        <v>201909041516</v>
      </c>
      <c r="F677" t="str">
        <f>"TRAVEL REIMBURSEMENT"</f>
        <v>TRAVEL REIMBURSEMENT</v>
      </c>
      <c r="G677" s="2">
        <v>165</v>
      </c>
      <c r="H677" t="str">
        <f>"TRAVEL REIMBURSEMENT"</f>
        <v>TRAVEL REIMBURSEMENT</v>
      </c>
    </row>
    <row r="678" spans="1:8" x14ac:dyDescent="0.25">
      <c r="E678" t="str">
        <f>"201909041517"</f>
        <v>201909041517</v>
      </c>
      <c r="F678" t="str">
        <f>"REIMBURSE MILEAGE-JULY 2019"</f>
        <v>REIMBURSE MILEAGE-JULY 2019</v>
      </c>
      <c r="G678" s="2">
        <v>371.25</v>
      </c>
      <c r="H678" t="str">
        <f>"REIMBURSE MILEAGE-JULY 2019"</f>
        <v>REIMBURSE MILEAGE-JULY 2019</v>
      </c>
    </row>
    <row r="679" spans="1:8" x14ac:dyDescent="0.25">
      <c r="A679" t="s">
        <v>150</v>
      </c>
      <c r="B679">
        <v>83807</v>
      </c>
      <c r="C679" s="2">
        <v>150</v>
      </c>
      <c r="D679" s="1">
        <v>43717</v>
      </c>
      <c r="E679" t="str">
        <f>"12524"</f>
        <v>12524</v>
      </c>
      <c r="F679" t="str">
        <f>"SERVICE"</f>
        <v>SERVICE</v>
      </c>
      <c r="G679" s="2">
        <v>150</v>
      </c>
      <c r="H679" t="str">
        <f>"SERVICE"</f>
        <v>SERVICE</v>
      </c>
    </row>
    <row r="680" spans="1:8" x14ac:dyDescent="0.25">
      <c r="A680" t="s">
        <v>151</v>
      </c>
      <c r="B680">
        <v>84033</v>
      </c>
      <c r="C680" s="2">
        <v>2495</v>
      </c>
      <c r="D680" s="1">
        <v>43731</v>
      </c>
      <c r="E680" t="str">
        <f>"INV23109"</f>
        <v>INV23109</v>
      </c>
      <c r="F680" t="str">
        <f>"Hawk Analytics for SO"</f>
        <v>Hawk Analytics for SO</v>
      </c>
      <c r="G680" s="2">
        <v>2495</v>
      </c>
      <c r="H680" t="str">
        <f>"CellHawk Subscriptio"</f>
        <v>CellHawk Subscriptio</v>
      </c>
    </row>
    <row r="681" spans="1:8" x14ac:dyDescent="0.25">
      <c r="A681" t="s">
        <v>152</v>
      </c>
      <c r="B681">
        <v>83808</v>
      </c>
      <c r="C681" s="2">
        <v>300</v>
      </c>
      <c r="D681" s="1">
        <v>43717</v>
      </c>
      <c r="E681" t="str">
        <f>"201908281319"</f>
        <v>201908281319</v>
      </c>
      <c r="F681" t="str">
        <f>"REIMBURSE HOTEL"</f>
        <v>REIMBURSE HOTEL</v>
      </c>
      <c r="G681" s="2">
        <v>300</v>
      </c>
      <c r="H681" t="str">
        <f>"REIMBURSE HOTEL"</f>
        <v>REIMBURSE HOTEL</v>
      </c>
    </row>
    <row r="682" spans="1:8" x14ac:dyDescent="0.25">
      <c r="A682" t="s">
        <v>153</v>
      </c>
      <c r="B682">
        <v>83809</v>
      </c>
      <c r="C682" s="2">
        <v>1919.1</v>
      </c>
      <c r="D682" s="1">
        <v>43717</v>
      </c>
      <c r="E682" t="str">
        <f>"566397-01"</f>
        <v>566397-01</v>
      </c>
      <c r="F682" t="str">
        <f>"CUST#180474-C/ORD#DAL055339/P3"</f>
        <v>CUST#180474-C/ORD#DAL055339/P3</v>
      </c>
      <c r="G682" s="2">
        <v>1919.1</v>
      </c>
      <c r="H682" t="str">
        <f>"CUST#180474-C/ORD#DAL055339/P3"</f>
        <v>CUST#180474-C/ORD#DAL055339/P3</v>
      </c>
    </row>
    <row r="683" spans="1:8" x14ac:dyDescent="0.25">
      <c r="A683" t="s">
        <v>154</v>
      </c>
      <c r="B683">
        <v>83810</v>
      </c>
      <c r="C683" s="2">
        <v>396</v>
      </c>
      <c r="D683" s="1">
        <v>43717</v>
      </c>
      <c r="E683" t="str">
        <f>"044332"</f>
        <v>044332</v>
      </c>
      <c r="F683" t="str">
        <f>"SCHEDULE OF FINES/JP1-4"</f>
        <v>SCHEDULE OF FINES/JP1-4</v>
      </c>
      <c r="G683" s="2">
        <v>396</v>
      </c>
      <c r="H683" t="str">
        <f>"SCHEDULE OF FINES/JP1-4"</f>
        <v>SCHEDULE OF FINES/JP1-4</v>
      </c>
    </row>
    <row r="684" spans="1:8" x14ac:dyDescent="0.25">
      <c r="E684" t="str">
        <f>""</f>
        <v/>
      </c>
      <c r="F684" t="str">
        <f>""</f>
        <v/>
      </c>
      <c r="H684" t="str">
        <f>"SCHEDULE OF FINES/JP1-4"</f>
        <v>SCHEDULE OF FINES/JP1-4</v>
      </c>
    </row>
    <row r="685" spans="1:8" x14ac:dyDescent="0.25">
      <c r="E685" t="str">
        <f>""</f>
        <v/>
      </c>
      <c r="F685" t="str">
        <f>""</f>
        <v/>
      </c>
      <c r="H685" t="str">
        <f>"SCHEDULE OF FINES/JP1-4"</f>
        <v>SCHEDULE OF FINES/JP1-4</v>
      </c>
    </row>
    <row r="686" spans="1:8" x14ac:dyDescent="0.25">
      <c r="E686" t="str">
        <f>""</f>
        <v/>
      </c>
      <c r="F686" t="str">
        <f>""</f>
        <v/>
      </c>
      <c r="H686" t="str">
        <f>"SCHEDULE OF FINES/JP1-4"</f>
        <v>SCHEDULE OF FINES/JP1-4</v>
      </c>
    </row>
    <row r="687" spans="1:8" x14ac:dyDescent="0.25">
      <c r="A687" t="s">
        <v>154</v>
      </c>
      <c r="B687">
        <v>84034</v>
      </c>
      <c r="C687" s="2">
        <v>21</v>
      </c>
      <c r="D687" s="1">
        <v>43731</v>
      </c>
      <c r="E687" t="str">
        <f>"44166"</f>
        <v>44166</v>
      </c>
      <c r="F687" t="str">
        <f>"STAMP"</f>
        <v>STAMP</v>
      </c>
      <c r="G687" s="2">
        <v>21</v>
      </c>
      <c r="H687" t="str">
        <f>"STAMP"</f>
        <v>STAMP</v>
      </c>
    </row>
    <row r="688" spans="1:8" x14ac:dyDescent="0.25">
      <c r="A688" t="s">
        <v>155</v>
      </c>
      <c r="B688">
        <v>83811</v>
      </c>
      <c r="C688" s="2">
        <v>241.6</v>
      </c>
      <c r="D688" s="1">
        <v>43717</v>
      </c>
      <c r="E688" t="str">
        <f>"201909041524"</f>
        <v>201909041524</v>
      </c>
      <c r="F688" t="str">
        <f>"Trip to Maryland"</f>
        <v>Trip to Maryland</v>
      </c>
      <c r="G688" s="2">
        <v>241.6</v>
      </c>
      <c r="H688" t="str">
        <f>"rental- SUV"</f>
        <v>rental- SUV</v>
      </c>
    </row>
    <row r="689" spans="1:8" x14ac:dyDescent="0.25">
      <c r="A689" t="s">
        <v>155</v>
      </c>
      <c r="B689">
        <v>84035</v>
      </c>
      <c r="C689" s="2">
        <v>135.9</v>
      </c>
      <c r="D689" s="1">
        <v>43731</v>
      </c>
      <c r="E689" t="str">
        <f>"J06811278A1"</f>
        <v>J06811278A1</v>
      </c>
      <c r="F689" t="str">
        <f>"CAR RENTAL FOR CONFERENCE"</f>
        <v>CAR RENTAL FOR CONFERENCE</v>
      </c>
      <c r="G689" s="2">
        <v>135.9</v>
      </c>
      <c r="H689" t="str">
        <f>"DAY RENTAL"</f>
        <v>DAY RENTAL</v>
      </c>
    </row>
    <row r="690" spans="1:8" x14ac:dyDescent="0.25">
      <c r="E690" t="str">
        <f>""</f>
        <v/>
      </c>
      <c r="F690" t="str">
        <f>""</f>
        <v/>
      </c>
      <c r="H690" t="str">
        <f>"STATE SURCHARGE"</f>
        <v>STATE SURCHARGE</v>
      </c>
    </row>
    <row r="691" spans="1:8" x14ac:dyDescent="0.25">
      <c r="E691" t="str">
        <f>""</f>
        <v/>
      </c>
      <c r="F691" t="str">
        <f>""</f>
        <v/>
      </c>
      <c r="H691" t="str">
        <f>"VEHICLE LICENSING"</f>
        <v>VEHICLE LICENSING</v>
      </c>
    </row>
    <row r="692" spans="1:8" x14ac:dyDescent="0.25">
      <c r="A692" t="s">
        <v>156</v>
      </c>
      <c r="B692">
        <v>83812</v>
      </c>
      <c r="C692" s="2">
        <v>221.15</v>
      </c>
      <c r="D692" s="1">
        <v>43717</v>
      </c>
      <c r="E692" t="str">
        <f>"10724567"</f>
        <v>10724567</v>
      </c>
      <c r="F692" t="str">
        <f>"ACCT#0083705/PCT#4"</f>
        <v>ACCT#0083705/PCT#4</v>
      </c>
      <c r="G692" s="2">
        <v>221.15</v>
      </c>
      <c r="H692" t="str">
        <f>"ACCT#0083705/PCT#4"</f>
        <v>ACCT#0083705/PCT#4</v>
      </c>
    </row>
    <row r="693" spans="1:8" x14ac:dyDescent="0.25">
      <c r="A693" t="s">
        <v>157</v>
      </c>
      <c r="B693">
        <v>1411</v>
      </c>
      <c r="C693" s="2">
        <v>650</v>
      </c>
      <c r="D693" s="1">
        <v>43732</v>
      </c>
      <c r="E693" t="str">
        <f>"201909181925"</f>
        <v>201909181925</v>
      </c>
      <c r="F693" t="str">
        <f>"BASCOM L HODGES JR"</f>
        <v>BASCOM L HODGES JR</v>
      </c>
      <c r="G693" s="2">
        <v>650</v>
      </c>
      <c r="H693" t="str">
        <f>""</f>
        <v/>
      </c>
    </row>
    <row r="694" spans="1:8" x14ac:dyDescent="0.25">
      <c r="A694" t="s">
        <v>158</v>
      </c>
      <c r="B694">
        <v>83813</v>
      </c>
      <c r="C694" s="2">
        <v>1225</v>
      </c>
      <c r="D694" s="1">
        <v>43717</v>
      </c>
      <c r="E694" t="str">
        <f>"201909041465"</f>
        <v>201909041465</v>
      </c>
      <c r="F694" t="str">
        <f>"18-19336"</f>
        <v>18-19336</v>
      </c>
      <c r="G694" s="2">
        <v>175</v>
      </c>
      <c r="H694" t="str">
        <f>"18-19336"</f>
        <v>18-19336</v>
      </c>
    </row>
    <row r="695" spans="1:8" x14ac:dyDescent="0.25">
      <c r="E695" t="str">
        <f>"201909041466"</f>
        <v>201909041466</v>
      </c>
      <c r="F695" t="str">
        <f>"18-19094"</f>
        <v>18-19094</v>
      </c>
      <c r="G695" s="2">
        <v>175</v>
      </c>
      <c r="H695" t="str">
        <f>"18-19094"</f>
        <v>18-19094</v>
      </c>
    </row>
    <row r="696" spans="1:8" x14ac:dyDescent="0.25">
      <c r="E696" t="str">
        <f>"201909041495"</f>
        <v>201909041495</v>
      </c>
      <c r="F696" t="str">
        <f>"57 070"</f>
        <v>57 070</v>
      </c>
      <c r="G696" s="2">
        <v>250</v>
      </c>
      <c r="H696" t="str">
        <f>"57 070"</f>
        <v>57 070</v>
      </c>
    </row>
    <row r="697" spans="1:8" x14ac:dyDescent="0.25">
      <c r="E697" t="str">
        <f>"201909041504"</f>
        <v>201909041504</v>
      </c>
      <c r="F697" t="str">
        <f>"56 978"</f>
        <v>56 978</v>
      </c>
      <c r="G697" s="2">
        <v>250</v>
      </c>
      <c r="H697" t="str">
        <f>"56 978"</f>
        <v>56 978</v>
      </c>
    </row>
    <row r="698" spans="1:8" x14ac:dyDescent="0.25">
      <c r="E698" t="str">
        <f>"201909041505"</f>
        <v>201909041505</v>
      </c>
      <c r="F698" t="str">
        <f>"56 670  56 671"</f>
        <v>56 670  56 671</v>
      </c>
      <c r="G698" s="2">
        <v>375</v>
      </c>
      <c r="H698" t="str">
        <f>"56 670  56 671"</f>
        <v>56 670  56 671</v>
      </c>
    </row>
    <row r="699" spans="1:8" x14ac:dyDescent="0.25">
      <c r="A699" t="s">
        <v>158</v>
      </c>
      <c r="B699">
        <v>84036</v>
      </c>
      <c r="C699" s="2">
        <v>1575</v>
      </c>
      <c r="D699" s="1">
        <v>43731</v>
      </c>
      <c r="E699" t="str">
        <f>"201909171809"</f>
        <v>201909171809</v>
      </c>
      <c r="F699" t="str">
        <f>"57 009  57 010"</f>
        <v>57 009  57 010</v>
      </c>
      <c r="G699" s="2">
        <v>250</v>
      </c>
      <c r="H699" t="str">
        <f>"57 009  57 010"</f>
        <v>57 009  57 010</v>
      </c>
    </row>
    <row r="700" spans="1:8" x14ac:dyDescent="0.25">
      <c r="E700" t="str">
        <f>"201909171810"</f>
        <v>201909171810</v>
      </c>
      <c r="F700" t="str">
        <f>"56 477"</f>
        <v>56 477</v>
      </c>
      <c r="G700" s="2">
        <v>250</v>
      </c>
      <c r="H700" t="str">
        <f>"56 477"</f>
        <v>56 477</v>
      </c>
    </row>
    <row r="701" spans="1:8" x14ac:dyDescent="0.25">
      <c r="E701" t="str">
        <f>"201909171820"</f>
        <v>201909171820</v>
      </c>
      <c r="F701" t="str">
        <f>"03-8253"</f>
        <v>03-8253</v>
      </c>
      <c r="G701" s="2">
        <v>100</v>
      </c>
      <c r="H701" t="str">
        <f>"03-8253"</f>
        <v>03-8253</v>
      </c>
    </row>
    <row r="702" spans="1:8" x14ac:dyDescent="0.25">
      <c r="E702" t="str">
        <f>"201909171858"</f>
        <v>201909171858</v>
      </c>
      <c r="F702" t="str">
        <f>"18-19274"</f>
        <v>18-19274</v>
      </c>
      <c r="G702" s="2">
        <v>100</v>
      </c>
      <c r="H702" t="str">
        <f>"18-19274"</f>
        <v>18-19274</v>
      </c>
    </row>
    <row r="703" spans="1:8" x14ac:dyDescent="0.25">
      <c r="E703" t="str">
        <f>"201909171859"</f>
        <v>201909171859</v>
      </c>
      <c r="F703" t="str">
        <f>"18-19011"</f>
        <v>18-19011</v>
      </c>
      <c r="G703" s="2">
        <v>100</v>
      </c>
      <c r="H703" t="str">
        <f>"18-19011"</f>
        <v>18-19011</v>
      </c>
    </row>
    <row r="704" spans="1:8" x14ac:dyDescent="0.25">
      <c r="E704" t="str">
        <f>"201909171860"</f>
        <v>201909171860</v>
      </c>
      <c r="F704" t="str">
        <f>"19-19718"</f>
        <v>19-19718</v>
      </c>
      <c r="G704" s="2">
        <v>175</v>
      </c>
      <c r="H704" t="str">
        <f>"19-19718"</f>
        <v>19-19718</v>
      </c>
    </row>
    <row r="705" spans="1:8" x14ac:dyDescent="0.25">
      <c r="E705" t="str">
        <f>"201909171872"</f>
        <v>201909171872</v>
      </c>
      <c r="F705" t="str">
        <f>"18-19294"</f>
        <v>18-19294</v>
      </c>
      <c r="G705" s="2">
        <v>450</v>
      </c>
      <c r="H705" t="str">
        <f>"18-19294"</f>
        <v>18-19294</v>
      </c>
    </row>
    <row r="706" spans="1:8" x14ac:dyDescent="0.25">
      <c r="E706" t="str">
        <f>"201909171902"</f>
        <v>201909171902</v>
      </c>
      <c r="F706" t="str">
        <f>"18-18864"</f>
        <v>18-18864</v>
      </c>
      <c r="G706" s="2">
        <v>150</v>
      </c>
      <c r="H706" t="str">
        <f>"18-18864"</f>
        <v>18-18864</v>
      </c>
    </row>
    <row r="707" spans="1:8" x14ac:dyDescent="0.25">
      <c r="A707" t="s">
        <v>159</v>
      </c>
      <c r="B707">
        <v>84037</v>
      </c>
      <c r="C707" s="2">
        <v>287</v>
      </c>
      <c r="D707" s="1">
        <v>43731</v>
      </c>
      <c r="E707" t="str">
        <f>"201909171766"</f>
        <v>201909171766</v>
      </c>
      <c r="F707" t="str">
        <f>"COURT REPORTING EXPENSE"</f>
        <v>COURT REPORTING EXPENSE</v>
      </c>
      <c r="G707" s="2">
        <v>287</v>
      </c>
      <c r="H707" t="str">
        <f>"COURT REPORTING EXPENSE"</f>
        <v>COURT REPORTING EXPENSE</v>
      </c>
    </row>
    <row r="708" spans="1:8" x14ac:dyDescent="0.25">
      <c r="A708" t="s">
        <v>160</v>
      </c>
      <c r="B708">
        <v>84038</v>
      </c>
      <c r="C708" s="2">
        <v>75</v>
      </c>
      <c r="D708" s="1">
        <v>43731</v>
      </c>
      <c r="E708" t="str">
        <f>"201909181915"</f>
        <v>201909181915</v>
      </c>
      <c r="F708" t="str">
        <f>"PER DIEM"</f>
        <v>PER DIEM</v>
      </c>
      <c r="G708" s="2">
        <v>75</v>
      </c>
      <c r="H708" t="str">
        <f>"PER DIEM"</f>
        <v>PER DIEM</v>
      </c>
    </row>
    <row r="709" spans="1:8" x14ac:dyDescent="0.25">
      <c r="A709" t="s">
        <v>161</v>
      </c>
      <c r="B709">
        <v>83814</v>
      </c>
      <c r="C709" s="2">
        <v>10735.01</v>
      </c>
      <c r="D709" s="1">
        <v>43717</v>
      </c>
      <c r="E709" t="str">
        <f>"PIMA0314801"</f>
        <v>PIMA0314801</v>
      </c>
      <c r="F709" t="str">
        <f>"CUST#0129450/HANDLE/PCT#1"</f>
        <v>CUST#0129450/HANDLE/PCT#1</v>
      </c>
      <c r="G709" s="2">
        <v>217.25</v>
      </c>
      <c r="H709" t="str">
        <f>"CUST#0129450/HANDLE/PCT#1"</f>
        <v>CUST#0129450/HANDLE/PCT#1</v>
      </c>
    </row>
    <row r="710" spans="1:8" x14ac:dyDescent="0.25">
      <c r="E710" t="str">
        <f>"WIMA0123508"</f>
        <v>WIMA0123508</v>
      </c>
      <c r="F710" t="str">
        <f>"CUST#0129150/PCT#3"</f>
        <v>CUST#0129150/PCT#3</v>
      </c>
      <c r="G710" s="2">
        <v>1212.8699999999999</v>
      </c>
      <c r="H710" t="str">
        <f>"CUST#0129150/PCT#3"</f>
        <v>CUST#0129150/PCT#3</v>
      </c>
    </row>
    <row r="711" spans="1:8" x14ac:dyDescent="0.25">
      <c r="E711" t="str">
        <f>"WIVN0018522"</f>
        <v>WIVN0018522</v>
      </c>
      <c r="F711" t="str">
        <f>"CUST#0129200/PCT#4"</f>
        <v>CUST#0129200/PCT#4</v>
      </c>
      <c r="G711" s="2">
        <v>9304.89</v>
      </c>
      <c r="H711" t="str">
        <f>"CUST#0129200/PCT#4"</f>
        <v>CUST#0129200/PCT#4</v>
      </c>
    </row>
    <row r="712" spans="1:8" x14ac:dyDescent="0.25">
      <c r="A712" t="s">
        <v>161</v>
      </c>
      <c r="B712">
        <v>84039</v>
      </c>
      <c r="C712" s="2">
        <v>255.64</v>
      </c>
      <c r="D712" s="1">
        <v>43731</v>
      </c>
      <c r="E712" t="str">
        <f>"PCKP0019786"</f>
        <v>PCKP0019786</v>
      </c>
      <c r="F712" t="str">
        <f>"CUST#0129050/PCT#1"</f>
        <v>CUST#0129050/PCT#1</v>
      </c>
      <c r="G712" s="2">
        <v>-205.28</v>
      </c>
      <c r="H712" t="str">
        <f>"CUST#0129050/PCT#1"</f>
        <v>CUST#0129050/PCT#1</v>
      </c>
    </row>
    <row r="713" spans="1:8" x14ac:dyDescent="0.25">
      <c r="E713" t="str">
        <f>"PIKP0086138"</f>
        <v>PIKP0086138</v>
      </c>
      <c r="F713" t="str">
        <f>"CUST#0129050/PCT#1"</f>
        <v>CUST#0129050/PCT#1</v>
      </c>
      <c r="G713" s="2">
        <v>460.92</v>
      </c>
      <c r="H713" t="str">
        <f>"CUST#0129050/PCT#1"</f>
        <v>CUST#0129050/PCT#1</v>
      </c>
    </row>
    <row r="714" spans="1:8" x14ac:dyDescent="0.25">
      <c r="A714" t="s">
        <v>162</v>
      </c>
      <c r="B714">
        <v>84040</v>
      </c>
      <c r="C714" s="2">
        <v>430</v>
      </c>
      <c r="D714" s="1">
        <v>43731</v>
      </c>
      <c r="E714" t="str">
        <f>"0551223840"</f>
        <v>0551223840</v>
      </c>
      <c r="F714" t="str">
        <f>"CUST#212645/RENTAL/PCT#1"</f>
        <v>CUST#212645/RENTAL/PCT#1</v>
      </c>
      <c r="G714" s="2">
        <v>215</v>
      </c>
      <c r="H714" t="str">
        <f>"CUST#212645/RENTAL/PCT#1"</f>
        <v>CUST#212645/RENTAL/PCT#1</v>
      </c>
    </row>
    <row r="715" spans="1:8" x14ac:dyDescent="0.25">
      <c r="E715" t="str">
        <f>"0551223857"</f>
        <v>0551223857</v>
      </c>
      <c r="F715" t="str">
        <f>"CUST#212645/RENTAL/RIVERSIDE"</f>
        <v>CUST#212645/RENTAL/RIVERSIDE</v>
      </c>
      <c r="G715" s="2">
        <v>215</v>
      </c>
      <c r="H715" t="str">
        <f>"CUST#212645/RENTAL/RIVERSIDE"</f>
        <v>CUST#212645/RENTAL/RIVERSIDE</v>
      </c>
    </row>
    <row r="716" spans="1:8" x14ac:dyDescent="0.25">
      <c r="A716" t="s">
        <v>163</v>
      </c>
      <c r="B716">
        <v>83815</v>
      </c>
      <c r="C716" s="2">
        <v>1184</v>
      </c>
      <c r="D716" s="1">
        <v>43717</v>
      </c>
      <c r="E716" t="str">
        <f>"2335"</f>
        <v>2335</v>
      </c>
      <c r="F716" t="str">
        <f>"VACCINATIONS/ANIMAL CONTROL"</f>
        <v>VACCINATIONS/ANIMAL CONTROL</v>
      </c>
      <c r="G716" s="2">
        <v>1184</v>
      </c>
      <c r="H716" t="str">
        <f>"VACCINATIONS/ANIMAL CONTROL"</f>
        <v>VACCINATIONS/ANIMAL CONTROL</v>
      </c>
    </row>
    <row r="717" spans="1:8" x14ac:dyDescent="0.25">
      <c r="A717" t="s">
        <v>163</v>
      </c>
      <c r="B717">
        <v>84041</v>
      </c>
      <c r="C717" s="2">
        <v>1050</v>
      </c>
      <c r="D717" s="1">
        <v>43731</v>
      </c>
      <c r="E717" t="str">
        <f>"2350"</f>
        <v>2350</v>
      </c>
      <c r="F717" t="str">
        <f>"MINI MICROCHIPS/ANIMAL SVCS"</f>
        <v>MINI MICROCHIPS/ANIMAL SVCS</v>
      </c>
      <c r="G717" s="2">
        <v>1050</v>
      </c>
      <c r="H717" t="str">
        <f>"MINI MICROCHIPS/ANIMAL SVCS"</f>
        <v>MINI MICROCHIPS/ANIMAL SVCS</v>
      </c>
    </row>
    <row r="718" spans="1:8" x14ac:dyDescent="0.25">
      <c r="A718" t="s">
        <v>164</v>
      </c>
      <c r="B718">
        <v>84042</v>
      </c>
      <c r="C718" s="2">
        <v>615</v>
      </c>
      <c r="D718" s="1">
        <v>43731</v>
      </c>
      <c r="E718" t="str">
        <f>"SL2019-08_00009"</f>
        <v>SL2019-08_00009</v>
      </c>
      <c r="F718" t="str">
        <f>"SOFTWARE/ANIMAL SVCS"</f>
        <v>SOFTWARE/ANIMAL SVCS</v>
      </c>
      <c r="G718" s="2">
        <v>615</v>
      </c>
      <c r="H718" t="str">
        <f>"SOFTWARE/ANIMAL SVCS"</f>
        <v>SOFTWARE/ANIMAL SVCS</v>
      </c>
    </row>
    <row r="719" spans="1:8" x14ac:dyDescent="0.25">
      <c r="A719" t="s">
        <v>165</v>
      </c>
      <c r="B719">
        <v>84043</v>
      </c>
      <c r="C719" s="2">
        <v>83.03</v>
      </c>
      <c r="D719" s="1">
        <v>43731</v>
      </c>
      <c r="E719" t="str">
        <f>"14073"</f>
        <v>14073</v>
      </c>
      <c r="F719" t="str">
        <f>"INV 14073"</f>
        <v>INV 14073</v>
      </c>
      <c r="G719" s="2">
        <v>83.03</v>
      </c>
      <c r="H719" t="str">
        <f>"INV 14073"</f>
        <v>INV 14073</v>
      </c>
    </row>
    <row r="720" spans="1:8" x14ac:dyDescent="0.25">
      <c r="A720" t="s">
        <v>166</v>
      </c>
      <c r="B720">
        <v>83816</v>
      </c>
      <c r="C720" s="2">
        <v>134</v>
      </c>
      <c r="D720" s="1">
        <v>43717</v>
      </c>
      <c r="E720" t="str">
        <f>"3052119585"</f>
        <v>3052119585</v>
      </c>
      <c r="F720" t="str">
        <f>"ACCT#187947/ANIMAL CONTROL"</f>
        <v>ACCT#187947/ANIMAL CONTROL</v>
      </c>
      <c r="G720" s="2">
        <v>134</v>
      </c>
      <c r="H720" t="str">
        <f>"ACCT#187947/ANIMAL CONTROL"</f>
        <v>ACCT#187947/ANIMAL CONTROL</v>
      </c>
    </row>
    <row r="721" spans="1:8" x14ac:dyDescent="0.25">
      <c r="A721" t="s">
        <v>167</v>
      </c>
      <c r="B721">
        <v>1418</v>
      </c>
      <c r="C721" s="2">
        <v>2430</v>
      </c>
      <c r="D721" s="1">
        <v>43732</v>
      </c>
      <c r="E721" t="str">
        <f>"68386"</f>
        <v>68386</v>
      </c>
      <c r="F721" t="str">
        <f>"PROF SVCS-OCTOBER 2019"</f>
        <v>PROF SVCS-OCTOBER 2019</v>
      </c>
      <c r="G721" s="2">
        <v>2430</v>
      </c>
      <c r="H721" t="str">
        <f>"PROF SVCS-OCTOBER 2019"</f>
        <v>PROF SVCS-OCTOBER 2019</v>
      </c>
    </row>
    <row r="722" spans="1:8" x14ac:dyDescent="0.25">
      <c r="E722" t="str">
        <f>""</f>
        <v/>
      </c>
      <c r="F722" t="str">
        <f>""</f>
        <v/>
      </c>
      <c r="H722" t="str">
        <f>"PROF SVCS-OCTOBER 2019"</f>
        <v>PROF SVCS-OCTOBER 2019</v>
      </c>
    </row>
    <row r="723" spans="1:8" x14ac:dyDescent="0.25">
      <c r="A723" t="s">
        <v>168</v>
      </c>
      <c r="B723">
        <v>84044</v>
      </c>
      <c r="C723" s="2">
        <v>68.760000000000005</v>
      </c>
      <c r="D723" s="1">
        <v>43731</v>
      </c>
      <c r="E723" t="str">
        <f>"BXJZ361"</f>
        <v>BXJZ361</v>
      </c>
      <c r="F723" t="str">
        <f>"CUST ID:AX773/COUNTY CLERK"</f>
        <v>CUST ID:AX773/COUNTY CLERK</v>
      </c>
      <c r="G723" s="2">
        <v>68.760000000000005</v>
      </c>
      <c r="H723" t="str">
        <f>"CUST ID:AX773/COUNTY CLERK"</f>
        <v>CUST ID:AX773/COUNTY CLERK</v>
      </c>
    </row>
    <row r="724" spans="1:8" x14ac:dyDescent="0.25">
      <c r="A724" t="s">
        <v>169</v>
      </c>
      <c r="B724">
        <v>84045</v>
      </c>
      <c r="C724" s="2">
        <v>45</v>
      </c>
      <c r="D724" s="1">
        <v>43731</v>
      </c>
      <c r="E724" t="str">
        <f>"201909181909"</f>
        <v>201909181909</v>
      </c>
      <c r="F724" t="str">
        <f>"PER DIEM - CORRECTION"</f>
        <v>PER DIEM - CORRECTION</v>
      </c>
      <c r="G724" s="2">
        <v>45</v>
      </c>
      <c r="H724" t="str">
        <f>"PER DIEM - CORRECTION"</f>
        <v>PER DIEM - CORRECTION</v>
      </c>
    </row>
    <row r="725" spans="1:8" x14ac:dyDescent="0.25">
      <c r="A725" t="s">
        <v>170</v>
      </c>
      <c r="B725">
        <v>84046</v>
      </c>
      <c r="C725" s="2">
        <v>750</v>
      </c>
      <c r="D725" s="1">
        <v>43731</v>
      </c>
      <c r="E725" t="str">
        <f>"201909171798"</f>
        <v>201909171798</v>
      </c>
      <c r="F725" t="str">
        <f>"30721201914"</f>
        <v>30721201914</v>
      </c>
      <c r="G725" s="2">
        <v>250</v>
      </c>
      <c r="H725" t="str">
        <f>"30721201914"</f>
        <v>30721201914</v>
      </c>
    </row>
    <row r="726" spans="1:8" x14ac:dyDescent="0.25">
      <c r="E726" t="str">
        <f>"201909171799"</f>
        <v>201909171799</v>
      </c>
      <c r="F726" t="str">
        <f>"0020181128A"</f>
        <v>0020181128A</v>
      </c>
      <c r="G726" s="2">
        <v>250</v>
      </c>
      <c r="H726" t="str">
        <f>"0020181128A"</f>
        <v>0020181128A</v>
      </c>
    </row>
    <row r="727" spans="1:8" x14ac:dyDescent="0.25">
      <c r="E727" t="str">
        <f>"201909171800"</f>
        <v>201909171800</v>
      </c>
      <c r="F727" t="str">
        <f>"1JP1141714"</f>
        <v>1JP1141714</v>
      </c>
      <c r="G727" s="2">
        <v>250</v>
      </c>
      <c r="H727" t="str">
        <f>"1JP1141714"</f>
        <v>1JP1141714</v>
      </c>
    </row>
    <row r="728" spans="1:8" x14ac:dyDescent="0.25">
      <c r="A728" t="s">
        <v>171</v>
      </c>
      <c r="B728">
        <v>1399</v>
      </c>
      <c r="C728" s="2">
        <v>200.73</v>
      </c>
      <c r="D728" s="1">
        <v>43732</v>
      </c>
      <c r="E728" t="str">
        <f>"201909181958"</f>
        <v>201909181958</v>
      </c>
      <c r="F728" t="str">
        <f>"REIMBURSE FOOD TRAYS"</f>
        <v>REIMBURSE FOOD TRAYS</v>
      </c>
      <c r="G728" s="2">
        <v>153.56</v>
      </c>
      <c r="H728" t="str">
        <f>"REIMBURSE FOOD TRAYS"</f>
        <v>REIMBURSE FOOD TRAYS</v>
      </c>
    </row>
    <row r="729" spans="1:8" x14ac:dyDescent="0.25">
      <c r="E729" t="str">
        <f>"201909181959"</f>
        <v>201909181959</v>
      </c>
      <c r="F729" t="str">
        <f>"REIMBURSE-TRASH BAGS/TISSUE"</f>
        <v>REIMBURSE-TRASH BAGS/TISSUE</v>
      </c>
      <c r="G729" s="2">
        <v>47.17</v>
      </c>
      <c r="H729" t="str">
        <f>"REIMBURSE-TRASH BAGS/TISSUE"</f>
        <v>REIMBURSE-TRASH BAGS/TISSUE</v>
      </c>
    </row>
    <row r="730" spans="1:8" x14ac:dyDescent="0.25">
      <c r="A730" t="s">
        <v>172</v>
      </c>
      <c r="B730">
        <v>84047</v>
      </c>
      <c r="C730" s="2">
        <v>441.76</v>
      </c>
      <c r="D730" s="1">
        <v>43731</v>
      </c>
      <c r="E730" t="str">
        <f>"201909161763"</f>
        <v>201909161763</v>
      </c>
      <c r="F730" t="str">
        <f>"COURT REPORTING SVCS/MILEAGE"</f>
        <v>COURT REPORTING SVCS/MILEAGE</v>
      </c>
      <c r="G730" s="2">
        <v>441.76</v>
      </c>
      <c r="H730" t="str">
        <f>"COURT REPORTING SVCS/MILEAGE"</f>
        <v>COURT REPORTING SVCS/MILEAGE</v>
      </c>
    </row>
    <row r="731" spans="1:8" x14ac:dyDescent="0.25">
      <c r="A731" t="s">
        <v>173</v>
      </c>
      <c r="B731">
        <v>1353</v>
      </c>
      <c r="C731" s="2">
        <v>750</v>
      </c>
      <c r="D731" s="1">
        <v>43718</v>
      </c>
      <c r="E731" t="str">
        <f>"12524"</f>
        <v>12524</v>
      </c>
      <c r="F731" t="str">
        <f>"AD LITEM FEE"</f>
        <v>AD LITEM FEE</v>
      </c>
      <c r="G731" s="2">
        <v>150</v>
      </c>
      <c r="H731" t="str">
        <f>"AD LITEM FEE"</f>
        <v>AD LITEM FEE</v>
      </c>
    </row>
    <row r="732" spans="1:8" x14ac:dyDescent="0.25">
      <c r="E732" t="str">
        <f>"201909041469"</f>
        <v>201909041469</v>
      </c>
      <c r="F732" t="str">
        <f>"18-19411"</f>
        <v>18-19411</v>
      </c>
      <c r="G732" s="2">
        <v>100</v>
      </c>
      <c r="H732" t="str">
        <f>"18-19411"</f>
        <v>18-19411</v>
      </c>
    </row>
    <row r="733" spans="1:8" x14ac:dyDescent="0.25">
      <c r="E733" t="str">
        <f>"201909041470"</f>
        <v>201909041470</v>
      </c>
      <c r="F733" t="str">
        <f>"18-19190"</f>
        <v>18-19190</v>
      </c>
      <c r="G733" s="2">
        <v>100</v>
      </c>
      <c r="H733" t="str">
        <f>"18-19190"</f>
        <v>18-19190</v>
      </c>
    </row>
    <row r="734" spans="1:8" x14ac:dyDescent="0.25">
      <c r="E734" t="str">
        <f>"201909041471"</f>
        <v>201909041471</v>
      </c>
      <c r="F734" t="str">
        <f>"19-19572"</f>
        <v>19-19572</v>
      </c>
      <c r="G734" s="2">
        <v>100</v>
      </c>
      <c r="H734" t="str">
        <f>"19-19572"</f>
        <v>19-19572</v>
      </c>
    </row>
    <row r="735" spans="1:8" x14ac:dyDescent="0.25">
      <c r="E735" t="str">
        <f>"201909041472"</f>
        <v>201909041472</v>
      </c>
      <c r="F735" t="str">
        <f>"19-19465"</f>
        <v>19-19465</v>
      </c>
      <c r="G735" s="2">
        <v>100</v>
      </c>
      <c r="H735" t="str">
        <f>"19-19465"</f>
        <v>19-19465</v>
      </c>
    </row>
    <row r="736" spans="1:8" x14ac:dyDescent="0.25">
      <c r="E736" t="str">
        <f>"201909041473"</f>
        <v>201909041473</v>
      </c>
      <c r="F736" t="str">
        <f>"19-19684"</f>
        <v>19-19684</v>
      </c>
      <c r="G736" s="2">
        <v>100</v>
      </c>
      <c r="H736" t="str">
        <f>"19-19684"</f>
        <v>19-19684</v>
      </c>
    </row>
    <row r="737" spans="1:8" x14ac:dyDescent="0.25">
      <c r="E737" t="str">
        <f>"201909041474"</f>
        <v>201909041474</v>
      </c>
      <c r="F737" t="str">
        <f>"19-19734"</f>
        <v>19-19734</v>
      </c>
      <c r="G737" s="2">
        <v>100</v>
      </c>
      <c r="H737" t="str">
        <f>"19-19734"</f>
        <v>19-19734</v>
      </c>
    </row>
    <row r="738" spans="1:8" x14ac:dyDescent="0.25">
      <c r="A738" t="s">
        <v>173</v>
      </c>
      <c r="B738">
        <v>1430</v>
      </c>
      <c r="C738" s="2">
        <v>300</v>
      </c>
      <c r="D738" s="1">
        <v>43732</v>
      </c>
      <c r="E738" t="str">
        <f>"12823"</f>
        <v>12823</v>
      </c>
      <c r="F738" t="str">
        <f>"AD LITEM FEE"</f>
        <v>AD LITEM FEE</v>
      </c>
      <c r="G738" s="2">
        <v>150</v>
      </c>
      <c r="H738" t="str">
        <f>"AD LITEM FEE"</f>
        <v>AD LITEM FEE</v>
      </c>
    </row>
    <row r="739" spans="1:8" x14ac:dyDescent="0.25">
      <c r="E739" t="str">
        <f>"12946"</f>
        <v>12946</v>
      </c>
      <c r="F739" t="str">
        <f>"AD LITEM FEE"</f>
        <v>AD LITEM FEE</v>
      </c>
      <c r="G739" s="2">
        <v>150</v>
      </c>
      <c r="H739" t="str">
        <f>"AD LITEM FEE"</f>
        <v>AD LITEM FEE</v>
      </c>
    </row>
    <row r="740" spans="1:8" x14ac:dyDescent="0.25">
      <c r="A740" t="s">
        <v>174</v>
      </c>
      <c r="B740">
        <v>84048</v>
      </c>
      <c r="C740" s="2">
        <v>75</v>
      </c>
      <c r="D740" s="1">
        <v>43731</v>
      </c>
      <c r="E740" t="str">
        <f>"201909181913"</f>
        <v>201909181913</v>
      </c>
      <c r="F740" t="str">
        <f>"PER DIEM"</f>
        <v>PER DIEM</v>
      </c>
      <c r="G740" s="2">
        <v>75</v>
      </c>
      <c r="H740" t="str">
        <f>"PER DIEM"</f>
        <v>PER DIEM</v>
      </c>
    </row>
    <row r="741" spans="1:8" x14ac:dyDescent="0.25">
      <c r="A741" t="s">
        <v>175</v>
      </c>
      <c r="B741">
        <v>83817</v>
      </c>
      <c r="C741" s="2">
        <v>900</v>
      </c>
      <c r="D741" s="1">
        <v>43717</v>
      </c>
      <c r="E741" t="str">
        <f>"1154"</f>
        <v>1154</v>
      </c>
      <c r="F741" t="str">
        <f>"INV 1154"</f>
        <v>INV 1154</v>
      </c>
      <c r="G741" s="2">
        <v>900</v>
      </c>
      <c r="H741" t="str">
        <f>"INV 1154"</f>
        <v>INV 1154</v>
      </c>
    </row>
    <row r="742" spans="1:8" x14ac:dyDescent="0.25">
      <c r="A742" t="s">
        <v>175</v>
      </c>
      <c r="B742">
        <v>84049</v>
      </c>
      <c r="C742" s="2">
        <v>368.2</v>
      </c>
      <c r="D742" s="1">
        <v>43731</v>
      </c>
      <c r="E742" t="str">
        <f>"1146"</f>
        <v>1146</v>
      </c>
      <c r="F742" t="str">
        <f>"INV 1146 / UNIT 126"</f>
        <v>INV 1146 / UNIT 126</v>
      </c>
      <c r="G742" s="2">
        <v>193.2</v>
      </c>
      <c r="H742" t="str">
        <f>"INV 1146 / UNIT 126"</f>
        <v>INV 1146 / UNIT 126</v>
      </c>
    </row>
    <row r="743" spans="1:8" x14ac:dyDescent="0.25">
      <c r="E743" t="str">
        <f>"1164"</f>
        <v>1164</v>
      </c>
      <c r="F743" t="str">
        <f>"INV 1164 / UNIT 0121"</f>
        <v>INV 1164 / UNIT 0121</v>
      </c>
      <c r="G743" s="2">
        <v>175</v>
      </c>
      <c r="H743" t="str">
        <f>"INV 1164 / UNIT 0121"</f>
        <v>INV 1164 / UNIT 0121</v>
      </c>
    </row>
    <row r="744" spans="1:8" x14ac:dyDescent="0.25">
      <c r="A744" t="s">
        <v>176</v>
      </c>
      <c r="B744">
        <v>83818</v>
      </c>
      <c r="C744" s="2">
        <v>4325.76</v>
      </c>
      <c r="D744" s="1">
        <v>43717</v>
      </c>
      <c r="E744" t="str">
        <f>"201909041428"</f>
        <v>201909041428</v>
      </c>
      <c r="F744" t="str">
        <f>"ACCT#8850283308/PCT#1"</f>
        <v>ACCT#8850283308/PCT#1</v>
      </c>
      <c r="G744" s="2">
        <v>3149.26</v>
      </c>
      <c r="H744" t="str">
        <f>"ACCT#8850283308/PCT#1"</f>
        <v>ACCT#8850283308/PCT#1</v>
      </c>
    </row>
    <row r="745" spans="1:8" x14ac:dyDescent="0.25">
      <c r="E745" t="str">
        <f>"P89741"</f>
        <v>P89741</v>
      </c>
      <c r="F745" t="str">
        <f>"ACCT#8850283308/PCT#4"</f>
        <v>ACCT#8850283308/PCT#4</v>
      </c>
      <c r="G745" s="2">
        <v>285.83</v>
      </c>
      <c r="H745" t="str">
        <f>"ACCT#8850283308/PCT#4"</f>
        <v>ACCT#8850283308/PCT#4</v>
      </c>
    </row>
    <row r="746" spans="1:8" x14ac:dyDescent="0.25">
      <c r="E746" t="str">
        <f>"P91113 &amp; P91282"</f>
        <v>P91113 &amp; P91282</v>
      </c>
      <c r="F746" t="str">
        <f>"ACCT#8850283308/PCT#3"</f>
        <v>ACCT#8850283308/PCT#3</v>
      </c>
      <c r="G746" s="2">
        <v>890.67</v>
      </c>
      <c r="H746" t="str">
        <f>"ACCT#8850283308/PCT#3"</f>
        <v>ACCT#8850283308/PCT#3</v>
      </c>
    </row>
    <row r="747" spans="1:8" x14ac:dyDescent="0.25">
      <c r="A747" t="s">
        <v>177</v>
      </c>
      <c r="B747">
        <v>84050</v>
      </c>
      <c r="C747" s="2">
        <v>250</v>
      </c>
      <c r="D747" s="1">
        <v>43731</v>
      </c>
      <c r="E747" t="str">
        <f>"201909171842"</f>
        <v>201909171842</v>
      </c>
      <c r="F747" t="str">
        <f>"19-19741"</f>
        <v>19-19741</v>
      </c>
      <c r="G747" s="2">
        <v>250</v>
      </c>
      <c r="H747" t="str">
        <f>"19-19741"</f>
        <v>19-19741</v>
      </c>
    </row>
    <row r="748" spans="1:8" x14ac:dyDescent="0.25">
      <c r="A748" t="s">
        <v>178</v>
      </c>
      <c r="B748">
        <v>1297</v>
      </c>
      <c r="C748" s="2">
        <v>400</v>
      </c>
      <c r="D748" s="1">
        <v>43718</v>
      </c>
      <c r="E748" t="str">
        <f>"1905"</f>
        <v>1905</v>
      </c>
      <c r="F748" t="str">
        <f>"TOWER MOWING MAINT"</f>
        <v>TOWER MOWING MAINT</v>
      </c>
      <c r="G748" s="2">
        <v>400</v>
      </c>
      <c r="H748" t="str">
        <f>"TOWER MOWING MAINT"</f>
        <v>TOWER MOWING MAINT</v>
      </c>
    </row>
    <row r="749" spans="1:8" x14ac:dyDescent="0.25">
      <c r="A749" t="s">
        <v>179</v>
      </c>
      <c r="B749">
        <v>83819</v>
      </c>
      <c r="C749" s="2">
        <v>135</v>
      </c>
      <c r="D749" s="1">
        <v>43717</v>
      </c>
      <c r="E749" t="str">
        <f>"201909041513"</f>
        <v>201909041513</v>
      </c>
      <c r="F749" t="str">
        <f>"TRAVEL ADVANCE-PER DIEM"</f>
        <v>TRAVEL ADVANCE-PER DIEM</v>
      </c>
      <c r="G749" s="2">
        <v>135</v>
      </c>
      <c r="H749" t="str">
        <f>"TRAVEL ADVANCE-PER DIEM"</f>
        <v>TRAVEL ADVANCE-PER DIEM</v>
      </c>
    </row>
    <row r="750" spans="1:8" x14ac:dyDescent="0.25">
      <c r="A750" t="s">
        <v>180</v>
      </c>
      <c r="B750">
        <v>1346</v>
      </c>
      <c r="C750" s="2">
        <v>2200</v>
      </c>
      <c r="D750" s="1">
        <v>43718</v>
      </c>
      <c r="E750" t="str">
        <f>"201908291344"</f>
        <v>201908291344</v>
      </c>
      <c r="F750" t="str">
        <f>"1256-21"</f>
        <v>1256-21</v>
      </c>
      <c r="G750" s="2">
        <v>100</v>
      </c>
      <c r="H750" t="str">
        <f>"1256-21"</f>
        <v>1256-21</v>
      </c>
    </row>
    <row r="751" spans="1:8" x14ac:dyDescent="0.25">
      <c r="E751" t="str">
        <f>"201908291345"</f>
        <v>201908291345</v>
      </c>
      <c r="F751" t="str">
        <f>"16898  312152018A"</f>
        <v>16898  312152018A</v>
      </c>
      <c r="G751" s="2">
        <v>600</v>
      </c>
      <c r="H751" t="str">
        <f>"16898  312152018A"</f>
        <v>16898  312152018A</v>
      </c>
    </row>
    <row r="752" spans="1:8" x14ac:dyDescent="0.25">
      <c r="E752" t="str">
        <f>"201908291346"</f>
        <v>201908291346</v>
      </c>
      <c r="F752" t="str">
        <f>"16961"</f>
        <v>16961</v>
      </c>
      <c r="G752" s="2">
        <v>400</v>
      </c>
      <c r="H752" t="str">
        <f>"16961"</f>
        <v>16961</v>
      </c>
    </row>
    <row r="753" spans="1:8" x14ac:dyDescent="0.25">
      <c r="E753" t="str">
        <f>"201908291347"</f>
        <v>201908291347</v>
      </c>
      <c r="F753" t="str">
        <f>"16974"</f>
        <v>16974</v>
      </c>
      <c r="G753" s="2">
        <v>400</v>
      </c>
      <c r="H753" t="str">
        <f>"16974"</f>
        <v>16974</v>
      </c>
    </row>
    <row r="754" spans="1:8" x14ac:dyDescent="0.25">
      <c r="E754" t="str">
        <f>"201909041463"</f>
        <v>201909041463</v>
      </c>
      <c r="F754" t="str">
        <f>"19-19829"</f>
        <v>19-19829</v>
      </c>
      <c r="G754" s="2">
        <v>100</v>
      </c>
      <c r="H754" t="str">
        <f>"19-19829"</f>
        <v>19-19829</v>
      </c>
    </row>
    <row r="755" spans="1:8" x14ac:dyDescent="0.25">
      <c r="E755" t="str">
        <f>"201909041464"</f>
        <v>201909041464</v>
      </c>
      <c r="F755" t="str">
        <f>"19-19830"</f>
        <v>19-19830</v>
      </c>
      <c r="G755" s="2">
        <v>100</v>
      </c>
      <c r="H755" t="str">
        <f>"19-19830"</f>
        <v>19-19830</v>
      </c>
    </row>
    <row r="756" spans="1:8" x14ac:dyDescent="0.25">
      <c r="E756" t="str">
        <f>"201909041501"</f>
        <v>201909041501</v>
      </c>
      <c r="F756" t="str">
        <f>"JP104222019B"</f>
        <v>JP104222019B</v>
      </c>
      <c r="G756" s="2">
        <v>250</v>
      </c>
      <c r="H756" t="str">
        <f>"JP104222019B"</f>
        <v>JP104222019B</v>
      </c>
    </row>
    <row r="757" spans="1:8" x14ac:dyDescent="0.25">
      <c r="E757" t="str">
        <f>"201909041512"</f>
        <v>201909041512</v>
      </c>
      <c r="F757" t="str">
        <f>"56667"</f>
        <v>56667</v>
      </c>
      <c r="G757" s="2">
        <v>250</v>
      </c>
      <c r="H757" t="str">
        <f>"56667"</f>
        <v>56667</v>
      </c>
    </row>
    <row r="758" spans="1:8" x14ac:dyDescent="0.25">
      <c r="A758" t="s">
        <v>180</v>
      </c>
      <c r="B758">
        <v>1423</v>
      </c>
      <c r="C758" s="2">
        <v>2100</v>
      </c>
      <c r="D758" s="1">
        <v>43732</v>
      </c>
      <c r="E758" t="str">
        <f>"201909121737"</f>
        <v>201909121737</v>
      </c>
      <c r="F758" t="str">
        <f>"16737  20180370A  1JP41618G"</f>
        <v>16737  20180370A  1JP41618G</v>
      </c>
      <c r="G758" s="2">
        <v>800</v>
      </c>
      <c r="H758" t="str">
        <f>"16737  20180370A  1JP41618G"</f>
        <v>16737  20180370A  1JP41618G</v>
      </c>
    </row>
    <row r="759" spans="1:8" x14ac:dyDescent="0.25">
      <c r="E759" t="str">
        <f>"201909121738"</f>
        <v>201909121738</v>
      </c>
      <c r="F759" t="str">
        <f>"15761"</f>
        <v>15761</v>
      </c>
      <c r="G759" s="2">
        <v>400</v>
      </c>
      <c r="H759" t="str">
        <f>"15761"</f>
        <v>15761</v>
      </c>
    </row>
    <row r="760" spans="1:8" x14ac:dyDescent="0.25">
      <c r="E760" t="str">
        <f>"201909171768"</f>
        <v>201909171768</v>
      </c>
      <c r="F760" t="str">
        <f>"CCL-18-003"</f>
        <v>CCL-18-003</v>
      </c>
      <c r="G760" s="2">
        <v>400</v>
      </c>
      <c r="H760" t="str">
        <f>"CCL-18-003"</f>
        <v>CCL-18-003</v>
      </c>
    </row>
    <row r="761" spans="1:8" x14ac:dyDescent="0.25">
      <c r="E761" t="str">
        <f>"201909171802"</f>
        <v>201909171802</v>
      </c>
      <c r="F761" t="str">
        <f>"20180370"</f>
        <v>20180370</v>
      </c>
      <c r="G761" s="2">
        <v>250</v>
      </c>
      <c r="H761" t="str">
        <f>"20180370"</f>
        <v>20180370</v>
      </c>
    </row>
    <row r="762" spans="1:8" x14ac:dyDescent="0.25">
      <c r="E762" t="str">
        <f>"201909171803"</f>
        <v>201909171803</v>
      </c>
      <c r="F762" t="str">
        <f>"4062697"</f>
        <v>4062697</v>
      </c>
      <c r="G762" s="2">
        <v>250</v>
      </c>
      <c r="H762" t="str">
        <f>"4062697"</f>
        <v>4062697</v>
      </c>
    </row>
    <row r="763" spans="1:8" x14ac:dyDescent="0.25">
      <c r="A763" t="s">
        <v>181</v>
      </c>
      <c r="B763">
        <v>84051</v>
      </c>
      <c r="C763" s="2">
        <v>500</v>
      </c>
      <c r="D763" s="1">
        <v>43731</v>
      </c>
      <c r="E763" t="str">
        <f>"110519"</f>
        <v>110519</v>
      </c>
      <c r="F763" t="str">
        <f>"inv# 110519"</f>
        <v>inv# 110519</v>
      </c>
      <c r="G763" s="2">
        <v>500</v>
      </c>
      <c r="H763" t="str">
        <f>"Spanish"</f>
        <v>Spanish</v>
      </c>
    </row>
    <row r="764" spans="1:8" x14ac:dyDescent="0.25">
      <c r="E764" t="str">
        <f>""</f>
        <v/>
      </c>
      <c r="F764" t="str">
        <f>""</f>
        <v/>
      </c>
      <c r="H764" t="str">
        <f>"English"</f>
        <v>English</v>
      </c>
    </row>
    <row r="765" spans="1:8" x14ac:dyDescent="0.25">
      <c r="A765" t="s">
        <v>182</v>
      </c>
      <c r="B765">
        <v>84052</v>
      </c>
      <c r="C765" s="2">
        <v>2478.65</v>
      </c>
      <c r="D765" s="1">
        <v>43731</v>
      </c>
      <c r="E765" t="str">
        <f>"201909161760"</f>
        <v>201909161760</v>
      </c>
      <c r="F765" t="str">
        <f>"423-2327"</f>
        <v>423-2327</v>
      </c>
      <c r="G765" s="2">
        <v>145.5</v>
      </c>
      <c r="H765" t="str">
        <f>"423-2327"</f>
        <v>423-2327</v>
      </c>
    </row>
    <row r="766" spans="1:8" x14ac:dyDescent="0.25">
      <c r="E766" t="str">
        <f>"201909161761"</f>
        <v>201909161761</v>
      </c>
      <c r="F766" t="str">
        <f>"18-19013"</f>
        <v>18-19013</v>
      </c>
      <c r="G766" s="2">
        <v>105</v>
      </c>
      <c r="H766" t="str">
        <f>"18-19013"</f>
        <v>18-19013</v>
      </c>
    </row>
    <row r="767" spans="1:8" x14ac:dyDescent="0.25">
      <c r="E767" t="str">
        <f>"201909161762"</f>
        <v>201909161762</v>
      </c>
      <c r="F767" t="str">
        <f>"423-5815"</f>
        <v>423-5815</v>
      </c>
      <c r="G767" s="2">
        <v>352.7</v>
      </c>
      <c r="H767" t="str">
        <f>"423-5815"</f>
        <v>423-5815</v>
      </c>
    </row>
    <row r="768" spans="1:8" x14ac:dyDescent="0.25">
      <c r="E768" t="str">
        <f>"201909171874"</f>
        <v>201909171874</v>
      </c>
      <c r="F768" t="str">
        <f>"18-19237"</f>
        <v>18-19237</v>
      </c>
      <c r="G768" s="2">
        <v>257.5</v>
      </c>
      <c r="H768" t="str">
        <f>"18-19237"</f>
        <v>18-19237</v>
      </c>
    </row>
    <row r="769" spans="1:8" x14ac:dyDescent="0.25">
      <c r="E769" t="str">
        <f>"201909171875"</f>
        <v>201909171875</v>
      </c>
      <c r="F769" t="str">
        <f>"18-19299"</f>
        <v>18-19299</v>
      </c>
      <c r="G769" s="2">
        <v>535</v>
      </c>
      <c r="H769" t="str">
        <f>"18-19299"</f>
        <v>18-19299</v>
      </c>
    </row>
    <row r="770" spans="1:8" x14ac:dyDescent="0.25">
      <c r="E770" t="str">
        <f>"201909171876"</f>
        <v>201909171876</v>
      </c>
      <c r="F770" t="str">
        <f>"19-19739"</f>
        <v>19-19739</v>
      </c>
      <c r="G770" s="2">
        <v>535</v>
      </c>
      <c r="H770" t="str">
        <f>"19-19739"</f>
        <v>19-19739</v>
      </c>
    </row>
    <row r="771" spans="1:8" x14ac:dyDescent="0.25">
      <c r="E771" t="str">
        <f>"201909171877"</f>
        <v>201909171877</v>
      </c>
      <c r="F771" t="str">
        <f>"18-19156"</f>
        <v>18-19156</v>
      </c>
      <c r="G771" s="2">
        <v>220</v>
      </c>
      <c r="H771" t="str">
        <f>"18-19156"</f>
        <v>18-19156</v>
      </c>
    </row>
    <row r="772" spans="1:8" x14ac:dyDescent="0.25">
      <c r="E772" t="str">
        <f>"201909171878"</f>
        <v>201909171878</v>
      </c>
      <c r="F772" t="str">
        <f>"18-19240"</f>
        <v>18-19240</v>
      </c>
      <c r="G772" s="2">
        <v>327.95</v>
      </c>
      <c r="H772" t="str">
        <f>"18-19240"</f>
        <v>18-19240</v>
      </c>
    </row>
    <row r="773" spans="1:8" x14ac:dyDescent="0.25">
      <c r="A773" t="s">
        <v>183</v>
      </c>
      <c r="B773">
        <v>83820</v>
      </c>
      <c r="C773" s="2">
        <v>135</v>
      </c>
      <c r="D773" s="1">
        <v>43717</v>
      </c>
      <c r="E773" t="str">
        <f>"201908301376"</f>
        <v>201908301376</v>
      </c>
      <c r="F773" t="str">
        <f>"TRAVEL ADVANCE-PER DIEM"</f>
        <v>TRAVEL ADVANCE-PER DIEM</v>
      </c>
      <c r="G773" s="2">
        <v>135</v>
      </c>
      <c r="H773" t="str">
        <f>"TRAVEL ADVANCE-PER DIEM"</f>
        <v>TRAVEL ADVANCE-PER DIEM</v>
      </c>
    </row>
    <row r="774" spans="1:8" x14ac:dyDescent="0.25">
      <c r="A774" t="s">
        <v>184</v>
      </c>
      <c r="B774">
        <v>84053</v>
      </c>
      <c r="C774" s="2">
        <v>250</v>
      </c>
      <c r="D774" s="1">
        <v>43731</v>
      </c>
      <c r="E774" t="str">
        <f>"309402"</f>
        <v>309402</v>
      </c>
      <c r="F774" t="str">
        <f>"INV 309402"</f>
        <v>INV 309402</v>
      </c>
      <c r="G774" s="2">
        <v>250</v>
      </c>
      <c r="H774" t="str">
        <f>"INV 309402"</f>
        <v>INV 309402</v>
      </c>
    </row>
    <row r="775" spans="1:8" x14ac:dyDescent="0.25">
      <c r="A775" t="s">
        <v>185</v>
      </c>
      <c r="B775">
        <v>83821</v>
      </c>
      <c r="C775" s="2">
        <v>300</v>
      </c>
      <c r="D775" s="1">
        <v>43717</v>
      </c>
      <c r="E775" t="str">
        <f>"924811"</f>
        <v>924811</v>
      </c>
      <c r="F775" t="str">
        <f>"TRASH P/U/PCT#4"</f>
        <v>TRASH P/U/PCT#4</v>
      </c>
      <c r="G775" s="2">
        <v>300</v>
      </c>
      <c r="H775" t="str">
        <f>"TRASH P/U/PCT#4"</f>
        <v>TRASH P/U/PCT#4</v>
      </c>
    </row>
    <row r="776" spans="1:8" x14ac:dyDescent="0.25">
      <c r="A776" t="s">
        <v>186</v>
      </c>
      <c r="B776">
        <v>1334</v>
      </c>
      <c r="C776" s="2">
        <v>2617</v>
      </c>
      <c r="D776" s="1">
        <v>43718</v>
      </c>
      <c r="E776" t="str">
        <f>"225"</f>
        <v>225</v>
      </c>
      <c r="F776" t="str">
        <f>"TOWER RENTAL-SEPTEMBER"</f>
        <v>TOWER RENTAL-SEPTEMBER</v>
      </c>
      <c r="G776" s="2">
        <v>2617</v>
      </c>
      <c r="H776" t="str">
        <f>"TOWER RENTAL-SEPTEMBER"</f>
        <v>TOWER RENTAL-SEPTEMBER</v>
      </c>
    </row>
    <row r="777" spans="1:8" x14ac:dyDescent="0.25">
      <c r="A777" t="s">
        <v>187</v>
      </c>
      <c r="B777">
        <v>84054</v>
      </c>
      <c r="C777" s="2">
        <v>240</v>
      </c>
      <c r="D777" s="1">
        <v>43731</v>
      </c>
      <c r="E777" t="str">
        <f>"1702"</f>
        <v>1702</v>
      </c>
      <c r="F777" t="str">
        <f>"PORTABLE TOILET/HANDICAP"</f>
        <v>PORTABLE TOILET/HANDICAP</v>
      </c>
      <c r="G777" s="2">
        <v>240</v>
      </c>
      <c r="H777" t="str">
        <f>"PORTABLE TOILET/HANDICAP"</f>
        <v>PORTABLE TOILET/HANDICAP</v>
      </c>
    </row>
    <row r="778" spans="1:8" x14ac:dyDescent="0.25">
      <c r="A778" t="s">
        <v>188</v>
      </c>
      <c r="B778">
        <v>83822</v>
      </c>
      <c r="C778" s="2">
        <v>641.29999999999995</v>
      </c>
      <c r="D778" s="1">
        <v>43717</v>
      </c>
      <c r="E778" t="str">
        <f>"W096241"</f>
        <v>W096241</v>
      </c>
      <c r="F778" t="str">
        <f>"ACCT#BASCO1/PARTS/PCT#1"</f>
        <v>ACCT#BASCO1/PARTS/PCT#1</v>
      </c>
      <c r="G778" s="2">
        <v>641.29999999999995</v>
      </c>
      <c r="H778" t="str">
        <f>"ACCT#BASCO1/PARTS/PCT#1"</f>
        <v>ACCT#BASCO1/PARTS/PCT#1</v>
      </c>
    </row>
    <row r="779" spans="1:8" x14ac:dyDescent="0.25">
      <c r="A779" t="s">
        <v>189</v>
      </c>
      <c r="B779">
        <v>83823</v>
      </c>
      <c r="C779" s="2">
        <v>337.92</v>
      </c>
      <c r="D779" s="1">
        <v>43717</v>
      </c>
      <c r="E779" t="str">
        <f>"813484"</f>
        <v>813484</v>
      </c>
      <c r="F779" t="str">
        <f>"CUST#10222/IT DEPT"</f>
        <v>CUST#10222/IT DEPT</v>
      </c>
      <c r="G779" s="2">
        <v>337.92</v>
      </c>
      <c r="H779" t="str">
        <f>"CUST#10222/IT DEPT"</f>
        <v>CUST#10222/IT DEPT</v>
      </c>
    </row>
    <row r="780" spans="1:8" x14ac:dyDescent="0.25">
      <c r="A780" t="s">
        <v>189</v>
      </c>
      <c r="B780">
        <v>84055</v>
      </c>
      <c r="C780" s="2">
        <v>14584.01</v>
      </c>
      <c r="D780" s="1">
        <v>43731</v>
      </c>
      <c r="E780" t="str">
        <f>"201909181904"</f>
        <v>201909181904</v>
      </c>
      <c r="F780" t="str">
        <f>"IT-Call Center V2"</f>
        <v>IT-Call Center V2</v>
      </c>
      <c r="G780" s="2">
        <v>5991.46</v>
      </c>
      <c r="H780" t="str">
        <f>"IT-Call Center V2"</f>
        <v>IT-Call Center V2</v>
      </c>
    </row>
    <row r="781" spans="1:8" x14ac:dyDescent="0.25">
      <c r="E781" t="str">
        <f>"201909181905"</f>
        <v>201909181905</v>
      </c>
      <c r="F781" t="str">
        <f>"Cedar Creek V2"</f>
        <v>Cedar Creek V2</v>
      </c>
      <c r="G781" s="2">
        <v>8592.5499999999993</v>
      </c>
      <c r="H781" t="str">
        <f>"Cedar Creek V2"</f>
        <v>Cedar Creek V2</v>
      </c>
    </row>
    <row r="782" spans="1:8" x14ac:dyDescent="0.25">
      <c r="A782" t="s">
        <v>190</v>
      </c>
      <c r="B782">
        <v>1383</v>
      </c>
      <c r="C782" s="2">
        <v>3377</v>
      </c>
      <c r="D782" s="1">
        <v>43732</v>
      </c>
      <c r="E782" t="str">
        <f>"272179"</f>
        <v>272179</v>
      </c>
      <c r="F782" t="str">
        <f>"ORD#17070609/LABOR/GEN SVCS"</f>
        <v>ORD#17070609/LABOR/GEN SVCS</v>
      </c>
      <c r="G782" s="2">
        <v>525</v>
      </c>
      <c r="H782" t="str">
        <f>"ORD#17070609/LABOR/GEN SVCS"</f>
        <v>ORD#17070609/LABOR/GEN SVCS</v>
      </c>
    </row>
    <row r="783" spans="1:8" x14ac:dyDescent="0.25">
      <c r="E783" t="str">
        <f>"272406"</f>
        <v>272406</v>
      </c>
      <c r="F783" t="str">
        <f>"ORD#16676643/GEN SVCS"</f>
        <v>ORD#16676643/GEN SVCS</v>
      </c>
      <c r="G783" s="2">
        <v>2852</v>
      </c>
      <c r="H783" t="str">
        <f>"ORD#16676643/GEN SVCS"</f>
        <v>ORD#16676643/GEN SVCS</v>
      </c>
    </row>
    <row r="784" spans="1:8" x14ac:dyDescent="0.25">
      <c r="A784" t="s">
        <v>191</v>
      </c>
      <c r="B784">
        <v>1320</v>
      </c>
      <c r="C784" s="2">
        <v>55180.54</v>
      </c>
      <c r="D784" s="1">
        <v>43718</v>
      </c>
      <c r="E784" t="str">
        <f>"229292"</f>
        <v>229292</v>
      </c>
      <c r="F784" t="str">
        <f>"inv# 229292"</f>
        <v>inv# 229292</v>
      </c>
      <c r="G784" s="2">
        <v>55180.54</v>
      </c>
      <c r="H784" t="str">
        <f>"Archival Typescript"</f>
        <v>Archival Typescript</v>
      </c>
    </row>
    <row r="785" spans="1:8" x14ac:dyDescent="0.25">
      <c r="E785" t="str">
        <f>""</f>
        <v/>
      </c>
      <c r="F785" t="str">
        <f>""</f>
        <v/>
      </c>
      <c r="H785" t="str">
        <f>"Archival Manuscript"</f>
        <v>Archival Manuscript</v>
      </c>
    </row>
    <row r="786" spans="1:8" x14ac:dyDescent="0.25">
      <c r="E786" t="str">
        <f>""</f>
        <v/>
      </c>
      <c r="F786" t="str">
        <f>""</f>
        <v/>
      </c>
      <c r="H786" t="str">
        <f>"16MM Microfilm"</f>
        <v>16MM Microfilm</v>
      </c>
    </row>
    <row r="787" spans="1:8" x14ac:dyDescent="0.25">
      <c r="E787" t="str">
        <f>""</f>
        <v/>
      </c>
      <c r="F787" t="str">
        <f>""</f>
        <v/>
      </c>
      <c r="H787" t="str">
        <f>"Conservation"</f>
        <v>Conservation</v>
      </c>
    </row>
    <row r="788" spans="1:8" x14ac:dyDescent="0.25">
      <c r="A788" t="s">
        <v>192</v>
      </c>
      <c r="B788">
        <v>83824</v>
      </c>
      <c r="C788" s="2">
        <v>135</v>
      </c>
      <c r="D788" s="1">
        <v>43717</v>
      </c>
      <c r="E788" t="str">
        <f>"201908301378"</f>
        <v>201908301378</v>
      </c>
      <c r="F788" t="str">
        <f>"TRAVEL ADVANCE-PER DIEM"</f>
        <v>TRAVEL ADVANCE-PER DIEM</v>
      </c>
      <c r="G788" s="2">
        <v>135</v>
      </c>
      <c r="H788" t="str">
        <f>"TRAVEL ADVANCE-PER DIEM"</f>
        <v>TRAVEL ADVANCE-PER DIEM</v>
      </c>
    </row>
    <row r="789" spans="1:8" x14ac:dyDescent="0.25">
      <c r="A789" t="s">
        <v>193</v>
      </c>
      <c r="B789">
        <v>84056</v>
      </c>
      <c r="C789" s="2">
        <v>144.84</v>
      </c>
      <c r="D789" s="1">
        <v>43731</v>
      </c>
      <c r="E789" t="str">
        <f>"X301056148:01"</f>
        <v>X301056148:01</v>
      </c>
      <c r="F789" t="str">
        <f>"ACCT#104992/PCT#1"</f>
        <v>ACCT#104992/PCT#1</v>
      </c>
      <c r="G789" s="2">
        <v>144.84</v>
      </c>
      <c r="H789" t="str">
        <f>"ACCT#104992/PCT#1"</f>
        <v>ACCT#104992/PCT#1</v>
      </c>
    </row>
    <row r="790" spans="1:8" x14ac:dyDescent="0.25">
      <c r="A790" t="s">
        <v>194</v>
      </c>
      <c r="B790">
        <v>84057</v>
      </c>
      <c r="C790" s="2">
        <v>354.02</v>
      </c>
      <c r="D790" s="1">
        <v>43731</v>
      </c>
      <c r="E790" t="str">
        <f>"FOCS156257"</f>
        <v>FOCS156257</v>
      </c>
      <c r="F790" t="str">
        <f>"INV F0CS156257 /UNIT 0120"</f>
        <v>INV F0CS156257 /UNIT 0120</v>
      </c>
      <c r="G790" s="2">
        <v>354.02</v>
      </c>
      <c r="H790" t="str">
        <f>"INV F0CS156257 / UNIT 012"</f>
        <v>INV F0CS156257 / UNIT 012</v>
      </c>
    </row>
    <row r="791" spans="1:8" x14ac:dyDescent="0.25">
      <c r="A791" t="s">
        <v>195</v>
      </c>
      <c r="B791">
        <v>83825</v>
      </c>
      <c r="C791" s="2">
        <v>163.79</v>
      </c>
      <c r="D791" s="1">
        <v>43717</v>
      </c>
      <c r="E791" t="str">
        <f>"201909041519"</f>
        <v>201909041519</v>
      </c>
      <c r="F791" t="str">
        <f>"ACCT#1700/PCT#2"</f>
        <v>ACCT#1700/PCT#2</v>
      </c>
      <c r="G791" s="2">
        <v>4.84</v>
      </c>
      <c r="H791" t="str">
        <f>"ACCT#1700/PCT#2"</f>
        <v>ACCT#1700/PCT#2</v>
      </c>
    </row>
    <row r="792" spans="1:8" x14ac:dyDescent="0.25">
      <c r="E792" t="str">
        <f>"379-73480"</f>
        <v>379-73480</v>
      </c>
      <c r="F792" t="str">
        <f>"ACCT#1800/PCT#4"</f>
        <v>ACCT#1800/PCT#4</v>
      </c>
      <c r="G792" s="2">
        <v>158.94999999999999</v>
      </c>
      <c r="H792" t="str">
        <f>"ACCT#1800/PCT#4"</f>
        <v>ACCT#1800/PCT#4</v>
      </c>
    </row>
    <row r="793" spans="1:8" x14ac:dyDescent="0.25">
      <c r="A793" t="s">
        <v>195</v>
      </c>
      <c r="B793">
        <v>84058</v>
      </c>
      <c r="C793" s="2">
        <v>655.63</v>
      </c>
      <c r="D793" s="1">
        <v>43731</v>
      </c>
      <c r="E793" t="str">
        <f>"201909111646"</f>
        <v>201909111646</v>
      </c>
      <c r="F793" t="str">
        <f>"CUST#1650/GEN SVCS"</f>
        <v>CUST#1650/GEN SVCS</v>
      </c>
      <c r="G793" s="2">
        <v>229.93</v>
      </c>
      <c r="H793" t="str">
        <f>"CUST#1650/GEN SVCS"</f>
        <v>CUST#1650/GEN SVCS</v>
      </c>
    </row>
    <row r="794" spans="1:8" x14ac:dyDescent="0.25">
      <c r="E794" t="str">
        <f>"201909111654"</f>
        <v>201909111654</v>
      </c>
      <c r="F794" t="str">
        <f>"CUST#1650/PCT#1"</f>
        <v>CUST#1650/PCT#1</v>
      </c>
      <c r="G794" s="2">
        <v>269.61</v>
      </c>
      <c r="H794" t="str">
        <f>"CUST#1650/PCT#1"</f>
        <v>CUST#1650/PCT#1</v>
      </c>
    </row>
    <row r="795" spans="1:8" x14ac:dyDescent="0.25">
      <c r="E795" t="str">
        <f>"201909111659"</f>
        <v>201909111659</v>
      </c>
      <c r="F795" t="str">
        <f>"ACCT#1750/PCT#3"</f>
        <v>ACCT#1750/PCT#3</v>
      </c>
      <c r="G795" s="2">
        <v>156.09</v>
      </c>
      <c r="H795" t="str">
        <f>"ACCT#1750/PCT#3"</f>
        <v>ACCT#1750/PCT#3</v>
      </c>
    </row>
    <row r="796" spans="1:8" x14ac:dyDescent="0.25">
      <c r="A796" t="s">
        <v>196</v>
      </c>
      <c r="B796">
        <v>83826</v>
      </c>
      <c r="C796" s="2">
        <v>1780.17</v>
      </c>
      <c r="D796" s="1">
        <v>43717</v>
      </c>
      <c r="E796" t="str">
        <f>"082101489 08281443"</f>
        <v>082101489 08281443</v>
      </c>
      <c r="F796" t="str">
        <f>"INV 082101489"</f>
        <v>INV 082101489</v>
      </c>
      <c r="G796" s="2">
        <v>1780.17</v>
      </c>
      <c r="H796" t="str">
        <f>"INV 082101489"</f>
        <v>INV 082101489</v>
      </c>
    </row>
    <row r="797" spans="1:8" x14ac:dyDescent="0.25">
      <c r="E797" t="str">
        <f>""</f>
        <v/>
      </c>
      <c r="F797" t="str">
        <f>""</f>
        <v/>
      </c>
      <c r="H797" t="str">
        <f>"INV 08281443"</f>
        <v>INV 08281443</v>
      </c>
    </row>
    <row r="798" spans="1:8" x14ac:dyDescent="0.25">
      <c r="A798" t="s">
        <v>196</v>
      </c>
      <c r="B798">
        <v>84059</v>
      </c>
      <c r="C798" s="2">
        <v>1915.5</v>
      </c>
      <c r="D798" s="1">
        <v>43731</v>
      </c>
      <c r="E798" t="str">
        <f>"09040518 09111209"</f>
        <v>09040518 09111209</v>
      </c>
      <c r="F798" t="str">
        <f>"INV 09040518"</f>
        <v>INV 09040518</v>
      </c>
      <c r="G798" s="2">
        <v>1915.5</v>
      </c>
      <c r="H798" t="str">
        <f>"INV 09040518"</f>
        <v>INV 09040518</v>
      </c>
    </row>
    <row r="799" spans="1:8" x14ac:dyDescent="0.25">
      <c r="E799" t="str">
        <f>""</f>
        <v/>
      </c>
      <c r="F799" t="str">
        <f>""</f>
        <v/>
      </c>
      <c r="H799" t="str">
        <f>"INV 09111209"</f>
        <v>INV 09111209</v>
      </c>
    </row>
    <row r="800" spans="1:8" x14ac:dyDescent="0.25">
      <c r="A800" t="s">
        <v>197</v>
      </c>
      <c r="B800">
        <v>1402</v>
      </c>
      <c r="C800" s="2">
        <v>300</v>
      </c>
      <c r="D800" s="1">
        <v>43732</v>
      </c>
      <c r="E800" t="str">
        <f>"201909171772"</f>
        <v>201909171772</v>
      </c>
      <c r="F800" t="str">
        <f>"CLEANING 9-1-19/PCT#2"</f>
        <v>CLEANING 9-1-19/PCT#2</v>
      </c>
      <c r="G800" s="2">
        <v>150</v>
      </c>
      <c r="H800" t="str">
        <f>"CLEANING 9-1-19/PCT#2"</f>
        <v>CLEANING 9-1-19/PCT#2</v>
      </c>
    </row>
    <row r="801" spans="1:8" x14ac:dyDescent="0.25">
      <c r="E801" t="str">
        <f>"201909171773"</f>
        <v>201909171773</v>
      </c>
      <c r="F801" t="str">
        <f>"CLEANING 09/13/19/PCT#2"</f>
        <v>CLEANING 09/13/19/PCT#2</v>
      </c>
      <c r="G801" s="2">
        <v>150</v>
      </c>
      <c r="H801" t="str">
        <f>"CLEANING 09/13/19/PCT#2"</f>
        <v>CLEANING 09/13/19/PCT#2</v>
      </c>
    </row>
    <row r="802" spans="1:8" x14ac:dyDescent="0.25">
      <c r="A802" t="s">
        <v>198</v>
      </c>
      <c r="B802">
        <v>84060</v>
      </c>
      <c r="C802" s="2">
        <v>462.28</v>
      </c>
      <c r="D802" s="1">
        <v>43731</v>
      </c>
      <c r="E802" t="str">
        <f>"201909131751"</f>
        <v>201909131751</v>
      </c>
      <c r="F802" t="str">
        <f>"TIRE SVCS/PCT#4"</f>
        <v>TIRE SVCS/PCT#4</v>
      </c>
      <c r="G802" s="2">
        <v>462.28</v>
      </c>
      <c r="H802" t="str">
        <f>"TIRE SVCS/PCT#4"</f>
        <v>TIRE SVCS/PCT#4</v>
      </c>
    </row>
    <row r="803" spans="1:8" x14ac:dyDescent="0.25">
      <c r="A803" t="s">
        <v>199</v>
      </c>
      <c r="B803">
        <v>83756</v>
      </c>
      <c r="C803" s="2">
        <v>82.67</v>
      </c>
      <c r="D803" s="1">
        <v>43714</v>
      </c>
      <c r="E803" t="str">
        <f>"201909061563"</f>
        <v>201909061563</v>
      </c>
      <c r="F803" t="str">
        <f>"ACCT#1-09-00072-02 1/08232019"</f>
        <v>ACCT#1-09-00072-02 1/08232019</v>
      </c>
      <c r="G803" s="2">
        <v>82.67</v>
      </c>
      <c r="H803" t="str">
        <f>"ACCT#1-09-00072-02 1/08232019"</f>
        <v>ACCT#1-09-00072-02 1/08232019</v>
      </c>
    </row>
    <row r="804" spans="1:8" x14ac:dyDescent="0.25">
      <c r="A804" t="s">
        <v>200</v>
      </c>
      <c r="B804">
        <v>83827</v>
      </c>
      <c r="C804" s="2">
        <v>3718.1</v>
      </c>
      <c r="D804" s="1">
        <v>43717</v>
      </c>
      <c r="E804" t="str">
        <f>"11258"</f>
        <v>11258</v>
      </c>
      <c r="F804" t="str">
        <f>"CREOSOTE/FREIGHT/PCT#2"</f>
        <v>CREOSOTE/FREIGHT/PCT#2</v>
      </c>
      <c r="G804" s="2">
        <v>3718.1</v>
      </c>
      <c r="H804" t="str">
        <f>"CREOSOTE/FREIGHT/PCT#2"</f>
        <v>CREOSOTE/FREIGHT/PCT#2</v>
      </c>
    </row>
    <row r="805" spans="1:8" x14ac:dyDescent="0.25">
      <c r="A805" t="s">
        <v>201</v>
      </c>
      <c r="B805">
        <v>84061</v>
      </c>
      <c r="C805" s="2">
        <v>145</v>
      </c>
      <c r="D805" s="1">
        <v>43731</v>
      </c>
      <c r="E805" t="str">
        <f>"201909181916"</f>
        <v>201909181916</v>
      </c>
      <c r="F805" t="str">
        <f>"PER DIEM"</f>
        <v>PER DIEM</v>
      </c>
      <c r="G805" s="2">
        <v>145</v>
      </c>
      <c r="H805" t="str">
        <f>"PER DIEM"</f>
        <v>PER DIEM</v>
      </c>
    </row>
    <row r="806" spans="1:8" x14ac:dyDescent="0.25">
      <c r="A806" t="s">
        <v>202</v>
      </c>
      <c r="B806">
        <v>84062</v>
      </c>
      <c r="C806" s="2">
        <v>1661.35</v>
      </c>
      <c r="D806" s="1">
        <v>43731</v>
      </c>
      <c r="E806" t="str">
        <f>"1211621-20190831"</f>
        <v>1211621-20190831</v>
      </c>
      <c r="F806" t="str">
        <f>"BILL ID:1211621/HEALTH SVCS"</f>
        <v>BILL ID:1211621/HEALTH SVCS</v>
      </c>
      <c r="G806" s="2">
        <v>780.1</v>
      </c>
      <c r="H806" t="str">
        <f>"BILL ID:1211621/HEALTH SVCS"</f>
        <v>BILL ID:1211621/HEALTH SVCS</v>
      </c>
    </row>
    <row r="807" spans="1:8" x14ac:dyDescent="0.25">
      <c r="E807" t="str">
        <f>"1361725-20190831"</f>
        <v>1361725-20190831</v>
      </c>
      <c r="F807" t="str">
        <f>"BILL ID:1361725/INDIGENT HLTH"</f>
        <v>BILL ID:1361725/INDIGENT HLTH</v>
      </c>
      <c r="G807" s="2">
        <v>150</v>
      </c>
      <c r="H807" t="str">
        <f>"BILL ID:1361725/INDIGENT HLTH"</f>
        <v>BILL ID:1361725/INDIGENT HLTH</v>
      </c>
    </row>
    <row r="808" spans="1:8" x14ac:dyDescent="0.25">
      <c r="E808" t="str">
        <f>"1394645-20190831"</f>
        <v>1394645-20190831</v>
      </c>
      <c r="F808" t="str">
        <f>"BILL ID:1394645/COUNTY CLERK"</f>
        <v>BILL ID:1394645/COUNTY CLERK</v>
      </c>
      <c r="G808" s="2">
        <v>410.45</v>
      </c>
      <c r="H808" t="str">
        <f>"BILL ID:1394645/COUNTY CLERK"</f>
        <v>BILL ID:1394645/COUNTY CLERK</v>
      </c>
    </row>
    <row r="809" spans="1:8" x14ac:dyDescent="0.25">
      <c r="E809" t="str">
        <f>"1420944-20190831"</f>
        <v>1420944-20190831</v>
      </c>
      <c r="F809" t="str">
        <f>"BILL ID:1420944/SHERIFF'S OFF"</f>
        <v>BILL ID:1420944/SHERIFF'S OFF</v>
      </c>
      <c r="G809" s="2">
        <v>320.8</v>
      </c>
      <c r="H809" t="str">
        <f>"BILL ID:1420944/SHERIFF'S OFF"</f>
        <v>BILL ID:1420944/SHERIFF'S OFF</v>
      </c>
    </row>
    <row r="810" spans="1:8" x14ac:dyDescent="0.25">
      <c r="A810" t="s">
        <v>203</v>
      </c>
      <c r="B810">
        <v>1338</v>
      </c>
      <c r="C810" s="2">
        <v>280.26</v>
      </c>
      <c r="D810" s="1">
        <v>43718</v>
      </c>
      <c r="E810" t="str">
        <f>"201909041444"</f>
        <v>201909041444</v>
      </c>
      <c r="F810" t="str">
        <f>"FNB CHARGE FOR CHECKS"</f>
        <v>FNB CHARGE FOR CHECKS</v>
      </c>
      <c r="G810" s="2">
        <v>280.26</v>
      </c>
      <c r="H810" t="str">
        <f>"FNB CHARGE FOR CHECKS"</f>
        <v>FNB CHARGE FOR CHECKS</v>
      </c>
    </row>
    <row r="811" spans="1:8" x14ac:dyDescent="0.25">
      <c r="A811" t="s">
        <v>204</v>
      </c>
      <c r="B811">
        <v>1339</v>
      </c>
      <c r="C811" s="2">
        <v>224</v>
      </c>
      <c r="D811" s="1">
        <v>43718</v>
      </c>
      <c r="E811" t="str">
        <f>"201908281317"</f>
        <v>201908281317</v>
      </c>
      <c r="F811" t="str">
        <f>"VEHICLE REGISTRATION/SHERIFF"</f>
        <v>VEHICLE REGISTRATION/SHERIFF</v>
      </c>
      <c r="G811" s="2">
        <v>202</v>
      </c>
      <c r="H811" t="str">
        <f>"VEHICLE REGISTRATION/SHERIFF"</f>
        <v>VEHICLE REGISTRATION/SHERIFF</v>
      </c>
    </row>
    <row r="812" spans="1:8" x14ac:dyDescent="0.25">
      <c r="E812" t="str">
        <f>"201909041520"</f>
        <v>201909041520</v>
      </c>
      <c r="F812" t="str">
        <f>"2015 FORD REGIST/PCT#4"</f>
        <v>2015 FORD REGIST/PCT#4</v>
      </c>
      <c r="G812" s="2">
        <v>22</v>
      </c>
      <c r="H812" t="str">
        <f>"2015 FORD REGIST/PCT#4"</f>
        <v>2015 FORD REGIST/PCT#4</v>
      </c>
    </row>
    <row r="813" spans="1:8" x14ac:dyDescent="0.25">
      <c r="A813" t="s">
        <v>204</v>
      </c>
      <c r="B813">
        <v>1415</v>
      </c>
      <c r="C813" s="2">
        <v>66.75</v>
      </c>
      <c r="D813" s="1">
        <v>43732</v>
      </c>
      <c r="E813" t="str">
        <f>"201909121665"</f>
        <v>201909121665</v>
      </c>
      <c r="F813" t="str">
        <f>"VEHICLE REGISTRATION/PCT#3"</f>
        <v>VEHICLE REGISTRATION/PCT#3</v>
      </c>
      <c r="G813" s="2">
        <v>7.5</v>
      </c>
      <c r="H813" t="str">
        <f>"VEHICLE REGISTRATION/PCT#3"</f>
        <v>VEHICLE REGISTRATION/PCT#3</v>
      </c>
    </row>
    <row r="814" spans="1:8" x14ac:dyDescent="0.25">
      <c r="E814" t="str">
        <f>"201909121666"</f>
        <v>201909121666</v>
      </c>
      <c r="F814" t="str">
        <f>"VEHICLE REGISTRATION/PURCHASIN"</f>
        <v>VEHICLE REGISTRATION/PURCHASIN</v>
      </c>
      <c r="G814" s="2">
        <v>7.5</v>
      </c>
      <c r="H814" t="str">
        <f>"VEHICLE REGISTRATION/PURCHASIN"</f>
        <v>VEHICLE REGISTRATION/PURCHASIN</v>
      </c>
    </row>
    <row r="815" spans="1:8" x14ac:dyDescent="0.25">
      <c r="E815" t="str">
        <f>"201909161753"</f>
        <v>201909161753</v>
      </c>
      <c r="F815" t="str">
        <f>"VEHICLE REG/2017 FORD/PCT#1"</f>
        <v>VEHICLE REG/2017 FORD/PCT#1</v>
      </c>
      <c r="G815" s="2">
        <v>7.5</v>
      </c>
      <c r="H815" t="str">
        <f>"VEHICLE REG/2017 FORD/PCT#1"</f>
        <v>VEHICLE REG/2017 FORD/PCT#1</v>
      </c>
    </row>
    <row r="816" spans="1:8" x14ac:dyDescent="0.25">
      <c r="E816" t="str">
        <f>"201909171791"</f>
        <v>201909171791</v>
      </c>
      <c r="F816" t="str">
        <f>"VEHICLE REGISTRATIONS/PCT#4"</f>
        <v>VEHICLE REGISTRATIONS/PCT#4</v>
      </c>
      <c r="G816" s="2">
        <v>22.5</v>
      </c>
      <c r="H816" t="str">
        <f>"VEHICLE REGISTRATIONS/PCT#4"</f>
        <v>VEHICLE REGISTRATIONS/PCT#4</v>
      </c>
    </row>
    <row r="817" spans="1:8" x14ac:dyDescent="0.25">
      <c r="E817" t="str">
        <f>"201909181951"</f>
        <v>201909181951</v>
      </c>
      <c r="F817" t="str">
        <f>"TITLE TRANSFER/SHERIFF'S OFFIC"</f>
        <v>TITLE TRANSFER/SHERIFF'S OFFIC</v>
      </c>
      <c r="G817" s="2">
        <v>21.75</v>
      </c>
      <c r="H817" t="str">
        <f>"TITLE TRANSFER/SHERIFF'S OFFIC"</f>
        <v>TITLE TRANSFER/SHERIFF'S OFFIC</v>
      </c>
    </row>
    <row r="818" spans="1:8" x14ac:dyDescent="0.25">
      <c r="A818" t="s">
        <v>205</v>
      </c>
      <c r="B818">
        <v>1311</v>
      </c>
      <c r="C818" s="2">
        <v>135</v>
      </c>
      <c r="D818" s="1">
        <v>43718</v>
      </c>
      <c r="E818" t="str">
        <f>"201908301373"</f>
        <v>201908301373</v>
      </c>
      <c r="F818" t="str">
        <f>"TRAVEL ADVANCE-PER DIEM"</f>
        <v>TRAVEL ADVANCE-PER DIEM</v>
      </c>
      <c r="G818" s="2">
        <v>135</v>
      </c>
      <c r="H818" t="str">
        <f>"TRAVEL ADVANCE-PER DIEM"</f>
        <v>TRAVEL ADVANCE-PER DIEM</v>
      </c>
    </row>
    <row r="819" spans="1:8" x14ac:dyDescent="0.25">
      <c r="A819" t="s">
        <v>206</v>
      </c>
      <c r="B819">
        <v>84063</v>
      </c>
      <c r="C819" s="2">
        <v>29.77</v>
      </c>
      <c r="D819" s="1">
        <v>43731</v>
      </c>
      <c r="E819" t="str">
        <f>"17527"</f>
        <v>17527</v>
      </c>
      <c r="F819" t="str">
        <f>"INV 17527"</f>
        <v>INV 17527</v>
      </c>
      <c r="G819" s="2">
        <v>29.77</v>
      </c>
      <c r="H819" t="str">
        <f>"INV 17527"</f>
        <v>INV 17527</v>
      </c>
    </row>
    <row r="820" spans="1:8" x14ac:dyDescent="0.25">
      <c r="A820" t="s">
        <v>207</v>
      </c>
      <c r="B820">
        <v>1390</v>
      </c>
      <c r="C820" s="2">
        <v>19346.55</v>
      </c>
      <c r="D820" s="1">
        <v>43732</v>
      </c>
      <c r="E820" t="str">
        <f>"201909171891"</f>
        <v>201909171891</v>
      </c>
      <c r="F820" t="str">
        <f>"INDIGENT HEALTH"</f>
        <v>INDIGENT HEALTH</v>
      </c>
      <c r="G820" s="2">
        <v>871.84</v>
      </c>
      <c r="H820" t="str">
        <f>"INDIGENT HEALTH"</f>
        <v>INDIGENT HEALTH</v>
      </c>
    </row>
    <row r="821" spans="1:8" x14ac:dyDescent="0.25">
      <c r="E821" t="str">
        <f>""</f>
        <v/>
      </c>
      <c r="F821" t="str">
        <f>""</f>
        <v/>
      </c>
      <c r="H821" t="str">
        <f>"INDIGENT HEALTH"</f>
        <v>INDIGENT HEALTH</v>
      </c>
    </row>
    <row r="822" spans="1:8" x14ac:dyDescent="0.25">
      <c r="E822" t="str">
        <f>""</f>
        <v/>
      </c>
      <c r="F822" t="str">
        <f>""</f>
        <v/>
      </c>
      <c r="H822" t="str">
        <f>"INDIGENT HEALTH"</f>
        <v>INDIGENT HEALTH</v>
      </c>
    </row>
    <row r="823" spans="1:8" x14ac:dyDescent="0.25">
      <c r="E823" t="str">
        <f>"201909181955"</f>
        <v>201909181955</v>
      </c>
      <c r="F823" t="str">
        <f>"GRANT REIMBURSEMENT"</f>
        <v>GRANT REIMBURSEMENT</v>
      </c>
      <c r="G823" s="2">
        <v>18474.71</v>
      </c>
      <c r="H823" t="str">
        <f>"GRANT REIMBURSEMENT"</f>
        <v>GRANT REIMBURSEMENT</v>
      </c>
    </row>
    <row r="824" spans="1:8" x14ac:dyDescent="0.25">
      <c r="A824" t="s">
        <v>208</v>
      </c>
      <c r="B824">
        <v>1310</v>
      </c>
      <c r="C824" s="2">
        <v>310</v>
      </c>
      <c r="D824" s="1">
        <v>43718</v>
      </c>
      <c r="E824" t="str">
        <f>"GL-2014INTER-BCSO"</f>
        <v>GL-2014INTER-BCSO</v>
      </c>
      <c r="F824" t="str">
        <f>"INV GL-2014INTER-BCSO"</f>
        <v>INV GL-2014INTER-BCSO</v>
      </c>
      <c r="G824" s="2">
        <v>310</v>
      </c>
      <c r="H824" t="str">
        <f>"INV GL-2014INTER-BCSO"</f>
        <v>INV GL-2014INTER-BCSO</v>
      </c>
    </row>
    <row r="825" spans="1:8" x14ac:dyDescent="0.25">
      <c r="A825" t="s">
        <v>209</v>
      </c>
      <c r="B825">
        <v>1316</v>
      </c>
      <c r="C825" s="2">
        <v>832</v>
      </c>
      <c r="D825" s="1">
        <v>43718</v>
      </c>
      <c r="E825" t="str">
        <f>"201909031405"</f>
        <v>201909031405</v>
      </c>
      <c r="F825" t="str">
        <f>"TRASH REMOVAL 09/02-09/08/P4"</f>
        <v>TRASH REMOVAL 09/02-09/08/P4</v>
      </c>
      <c r="G825" s="2">
        <v>442</v>
      </c>
      <c r="H825" t="str">
        <f>"TRASH REMOVAL 09/02-09/08/P4"</f>
        <v>TRASH REMOVAL 09/02-09/08/P4</v>
      </c>
    </row>
    <row r="826" spans="1:8" x14ac:dyDescent="0.25">
      <c r="E826" t="str">
        <f>"201909031406"</f>
        <v>201909031406</v>
      </c>
      <c r="F826" t="str">
        <f>"TRASH REMOVAL 08/26-08/30/P4"</f>
        <v>TRASH REMOVAL 08/26-08/30/P4</v>
      </c>
      <c r="G826" s="2">
        <v>390</v>
      </c>
      <c r="H826" t="str">
        <f>"TRASH REMOVAL 08/26-08/30/P4"</f>
        <v>TRASH REMOVAL 08/26-08/30/P4</v>
      </c>
    </row>
    <row r="827" spans="1:8" x14ac:dyDescent="0.25">
      <c r="A827" t="s">
        <v>209</v>
      </c>
      <c r="B827">
        <v>1396</v>
      </c>
      <c r="C827" s="2">
        <v>799.5</v>
      </c>
      <c r="D827" s="1">
        <v>43732</v>
      </c>
      <c r="E827" t="str">
        <f>"201909181932"</f>
        <v>201909181932</v>
      </c>
      <c r="F827" t="str">
        <f>"TRASH REMOVAL 9/9-9/20/PCT#4"</f>
        <v>TRASH REMOVAL 9/9-9/20/PCT#4</v>
      </c>
      <c r="G827" s="2">
        <v>799.5</v>
      </c>
      <c r="H827" t="str">
        <f>"TRASH REMOVAL 9/9-9/20/PCT#4"</f>
        <v>TRASH REMOVAL 9/9-9/20/PCT#4</v>
      </c>
    </row>
    <row r="828" spans="1:8" x14ac:dyDescent="0.25">
      <c r="A828" t="s">
        <v>210</v>
      </c>
      <c r="B828">
        <v>1421</v>
      </c>
      <c r="C828" s="2">
        <v>107</v>
      </c>
      <c r="D828" s="1">
        <v>43732</v>
      </c>
      <c r="E828" t="str">
        <f>"201909181922"</f>
        <v>201909181922</v>
      </c>
      <c r="F828" t="str">
        <f>"STATEMENT 10-000349"</f>
        <v>STATEMENT 10-000349</v>
      </c>
      <c r="G828" s="2">
        <v>107</v>
      </c>
      <c r="H828" t="str">
        <f>"INV 10-0072953"</f>
        <v>INV 10-0072953</v>
      </c>
    </row>
    <row r="829" spans="1:8" x14ac:dyDescent="0.25">
      <c r="E829" t="str">
        <f>""</f>
        <v/>
      </c>
      <c r="F829" t="str">
        <f>""</f>
        <v/>
      </c>
      <c r="H829" t="str">
        <f>"INV 10-0072999"</f>
        <v>INV 10-0072999</v>
      </c>
    </row>
    <row r="830" spans="1:8" x14ac:dyDescent="0.25">
      <c r="E830" t="str">
        <f>""</f>
        <v/>
      </c>
      <c r="F830" t="str">
        <f>""</f>
        <v/>
      </c>
      <c r="H830" t="str">
        <f>"INV 10-0073251"</f>
        <v>INV 10-0073251</v>
      </c>
    </row>
    <row r="831" spans="1:8" x14ac:dyDescent="0.25">
      <c r="E831" t="str">
        <f>""</f>
        <v/>
      </c>
      <c r="F831" t="str">
        <f>""</f>
        <v/>
      </c>
      <c r="H831" t="str">
        <f>"INV 10-0073789"</f>
        <v>INV 10-0073789</v>
      </c>
    </row>
    <row r="832" spans="1:8" x14ac:dyDescent="0.25">
      <c r="E832" t="str">
        <f>""</f>
        <v/>
      </c>
      <c r="F832" t="str">
        <f>""</f>
        <v/>
      </c>
      <c r="H832" t="str">
        <f>"INV 10-074480"</f>
        <v>INV 10-074480</v>
      </c>
    </row>
    <row r="833" spans="1:8" x14ac:dyDescent="0.25">
      <c r="E833" t="str">
        <f>""</f>
        <v/>
      </c>
      <c r="F833" t="str">
        <f>""</f>
        <v/>
      </c>
      <c r="H833" t="str">
        <f>"INV 10-0074633"</f>
        <v>INV 10-0074633</v>
      </c>
    </row>
    <row r="834" spans="1:8" x14ac:dyDescent="0.25">
      <c r="E834" t="str">
        <f>""</f>
        <v/>
      </c>
      <c r="F834" t="str">
        <f>""</f>
        <v/>
      </c>
      <c r="H834" t="str">
        <f>"INV 10-0074765"</f>
        <v>INV 10-0074765</v>
      </c>
    </row>
    <row r="835" spans="1:8" x14ac:dyDescent="0.25">
      <c r="E835" t="str">
        <f>""</f>
        <v/>
      </c>
      <c r="F835" t="str">
        <f>""</f>
        <v/>
      </c>
      <c r="H835" t="str">
        <f>"INV 10-0075608"</f>
        <v>INV 10-0075608</v>
      </c>
    </row>
    <row r="836" spans="1:8" x14ac:dyDescent="0.25">
      <c r="A836" t="s">
        <v>211</v>
      </c>
      <c r="B836">
        <v>84064</v>
      </c>
      <c r="C836" s="2">
        <v>282.62</v>
      </c>
      <c r="D836" s="1">
        <v>43731</v>
      </c>
      <c r="E836" t="str">
        <f>"201909171879"</f>
        <v>201909171879</v>
      </c>
      <c r="F836" t="str">
        <f>"Acct# 8692"</f>
        <v>Acct# 8692</v>
      </c>
      <c r="G836" s="2">
        <v>282.62</v>
      </c>
      <c r="H836" t="str">
        <f>"Inv# 914077"</f>
        <v>Inv# 914077</v>
      </c>
    </row>
    <row r="837" spans="1:8" x14ac:dyDescent="0.25">
      <c r="E837" t="str">
        <f>""</f>
        <v/>
      </c>
      <c r="F837" t="str">
        <f>""</f>
        <v/>
      </c>
      <c r="H837" t="str">
        <f>"Inv# 912464"</f>
        <v>Inv# 912464</v>
      </c>
    </row>
    <row r="838" spans="1:8" x14ac:dyDescent="0.25">
      <c r="E838" t="str">
        <f>""</f>
        <v/>
      </c>
      <c r="F838" t="str">
        <f>""</f>
        <v/>
      </c>
      <c r="H838" t="str">
        <f>"Inv# 914676"</f>
        <v>Inv# 914676</v>
      </c>
    </row>
    <row r="839" spans="1:8" x14ac:dyDescent="0.25">
      <c r="E839" t="str">
        <f>""</f>
        <v/>
      </c>
      <c r="F839" t="str">
        <f>""</f>
        <v/>
      </c>
      <c r="H839" t="str">
        <f>"Inv# 920371"</f>
        <v>Inv# 920371</v>
      </c>
    </row>
    <row r="840" spans="1:8" x14ac:dyDescent="0.25">
      <c r="A840" t="s">
        <v>212</v>
      </c>
      <c r="B840">
        <v>84065</v>
      </c>
      <c r="C840" s="2">
        <v>672</v>
      </c>
      <c r="D840" s="1">
        <v>43731</v>
      </c>
      <c r="E840" t="str">
        <f>"LAB-0035206"</f>
        <v>LAB-0035206</v>
      </c>
      <c r="F840" t="str">
        <f>"Q1956573/WATER SAMPLES/GEN SVC"</f>
        <v>Q1956573/WATER SAMPLES/GEN SVC</v>
      </c>
      <c r="G840" s="2">
        <v>672</v>
      </c>
      <c r="H840" t="str">
        <f>"Q1956573/WATER SAMPLES/GEN SVC"</f>
        <v>Q1956573/WATER SAMPLES/GEN SVC</v>
      </c>
    </row>
    <row r="841" spans="1:8" x14ac:dyDescent="0.25">
      <c r="A841" t="s">
        <v>213</v>
      </c>
      <c r="B841">
        <v>83828</v>
      </c>
      <c r="C841" s="2">
        <v>135</v>
      </c>
      <c r="D841" s="1">
        <v>43717</v>
      </c>
      <c r="E841" t="str">
        <f>"201908301379"</f>
        <v>201908301379</v>
      </c>
      <c r="F841" t="str">
        <f>"TRAVEL ADVANCE-PER DIEM"</f>
        <v>TRAVEL ADVANCE-PER DIEM</v>
      </c>
      <c r="G841" s="2">
        <v>135</v>
      </c>
      <c r="H841" t="str">
        <f>"TRAVEL ADVANCE-PER DIEM"</f>
        <v>TRAVEL ADVANCE-PER DIEM</v>
      </c>
    </row>
    <row r="842" spans="1:8" x14ac:dyDescent="0.25">
      <c r="A842" t="s">
        <v>214</v>
      </c>
      <c r="B842">
        <v>1321</v>
      </c>
      <c r="C842" s="2">
        <v>135</v>
      </c>
      <c r="D842" s="1">
        <v>43718</v>
      </c>
      <c r="E842" t="str">
        <f>"201908301374"</f>
        <v>201908301374</v>
      </c>
      <c r="F842" t="str">
        <f>"TRAVEL ADVANCE-PER DIEM"</f>
        <v>TRAVEL ADVANCE-PER DIEM</v>
      </c>
      <c r="G842" s="2">
        <v>135</v>
      </c>
      <c r="H842" t="str">
        <f>"TRAVEL ADVANCE-PER DIEM"</f>
        <v>TRAVEL ADVANCE-PER DIEM</v>
      </c>
    </row>
    <row r="843" spans="1:8" x14ac:dyDescent="0.25">
      <c r="A843" t="s">
        <v>215</v>
      </c>
      <c r="B843">
        <v>84066</v>
      </c>
      <c r="C843" s="2">
        <v>34.39</v>
      </c>
      <c r="D843" s="1">
        <v>43731</v>
      </c>
      <c r="E843" t="str">
        <f>"201909181936"</f>
        <v>201909181936</v>
      </c>
      <c r="F843" t="str">
        <f>"REIMBURSE REQUEST FOR INFO"</f>
        <v>REIMBURSE REQUEST FOR INFO</v>
      </c>
      <c r="G843" s="2">
        <v>34.39</v>
      </c>
      <c r="H843" t="str">
        <f>"REIMBURSE REQUEST FOR INFO"</f>
        <v>REIMBURSE REQUEST FOR INFO</v>
      </c>
    </row>
    <row r="844" spans="1:8" x14ac:dyDescent="0.25">
      <c r="A844" t="s">
        <v>216</v>
      </c>
      <c r="B844">
        <v>84067</v>
      </c>
      <c r="C844" s="2">
        <v>260.62</v>
      </c>
      <c r="D844" s="1">
        <v>43731</v>
      </c>
      <c r="E844" t="str">
        <f>"201909171892"</f>
        <v>201909171892</v>
      </c>
      <c r="F844" t="str">
        <f>"INDIGENT HEALTH"</f>
        <v>INDIGENT HEALTH</v>
      </c>
      <c r="G844" s="2">
        <v>260.62</v>
      </c>
      <c r="H844" t="str">
        <f>"INDIGENT HEALTH"</f>
        <v>INDIGENT HEALTH</v>
      </c>
    </row>
    <row r="845" spans="1:8" x14ac:dyDescent="0.25">
      <c r="E845" t="str">
        <f>""</f>
        <v/>
      </c>
      <c r="F845" t="str">
        <f>""</f>
        <v/>
      </c>
      <c r="H845" t="str">
        <f>"INDIGENT HEALTH"</f>
        <v>INDIGENT HEALTH</v>
      </c>
    </row>
    <row r="846" spans="1:8" x14ac:dyDescent="0.25">
      <c r="A846" t="s">
        <v>217</v>
      </c>
      <c r="B846">
        <v>83829</v>
      </c>
      <c r="C846" s="2">
        <v>670</v>
      </c>
      <c r="D846" s="1">
        <v>43717</v>
      </c>
      <c r="E846" t="str">
        <f>"1824-002170"</f>
        <v>1824-002170</v>
      </c>
      <c r="F846" t="str">
        <f>"TRANSPORT-D. CHAMBERS"</f>
        <v>TRANSPORT-D. CHAMBERS</v>
      </c>
      <c r="G846" s="2">
        <v>670</v>
      </c>
      <c r="H846" t="str">
        <f>"TRANSPORT-D. CHAMBERS"</f>
        <v>TRANSPORT-D. CHAMBERS</v>
      </c>
    </row>
    <row r="847" spans="1:8" x14ac:dyDescent="0.25">
      <c r="A847" t="s">
        <v>218</v>
      </c>
      <c r="B847">
        <v>1309</v>
      </c>
      <c r="C847" s="2">
        <v>700</v>
      </c>
      <c r="D847" s="1">
        <v>43718</v>
      </c>
      <c r="E847" t="str">
        <f>"201909041459"</f>
        <v>201909041459</v>
      </c>
      <c r="F847" t="str">
        <f>"DETENTION HEARING"</f>
        <v>DETENTION HEARING</v>
      </c>
      <c r="G847" s="2">
        <v>100</v>
      </c>
      <c r="H847" t="str">
        <f>"DETENTION HEARING"</f>
        <v>DETENTION HEARING</v>
      </c>
    </row>
    <row r="848" spans="1:8" x14ac:dyDescent="0.25">
      <c r="E848" t="str">
        <f>"201909041467"</f>
        <v>201909041467</v>
      </c>
      <c r="F848" t="str">
        <f>"19-19548"</f>
        <v>19-19548</v>
      </c>
      <c r="G848" s="2">
        <v>100</v>
      </c>
      <c r="H848" t="str">
        <f>"19-19548"</f>
        <v>19-19548</v>
      </c>
    </row>
    <row r="849" spans="1:8" x14ac:dyDescent="0.25">
      <c r="E849" t="str">
        <f>"201909041468"</f>
        <v>201909041468</v>
      </c>
      <c r="F849" t="str">
        <f>"19-19734"</f>
        <v>19-19734</v>
      </c>
      <c r="G849" s="2">
        <v>100</v>
      </c>
      <c r="H849" t="str">
        <f>"19-19734"</f>
        <v>19-19734</v>
      </c>
    </row>
    <row r="850" spans="1:8" x14ac:dyDescent="0.25">
      <c r="E850" t="str">
        <f>"201909041476"</f>
        <v>201909041476</v>
      </c>
      <c r="F850" t="str">
        <f>"18-19237"</f>
        <v>18-19237</v>
      </c>
      <c r="G850" s="2">
        <v>100</v>
      </c>
      <c r="H850" t="str">
        <f>"18-19237"</f>
        <v>18-19237</v>
      </c>
    </row>
    <row r="851" spans="1:8" x14ac:dyDescent="0.25">
      <c r="E851" t="str">
        <f>"201909041479"</f>
        <v>201909041479</v>
      </c>
      <c r="F851" t="str">
        <f>"19-19680"</f>
        <v>19-19680</v>
      </c>
      <c r="G851" s="2">
        <v>100</v>
      </c>
      <c r="H851" t="str">
        <f>"19-19680"</f>
        <v>19-19680</v>
      </c>
    </row>
    <row r="852" spans="1:8" x14ac:dyDescent="0.25">
      <c r="E852" t="str">
        <f>"201909041485"</f>
        <v>201909041485</v>
      </c>
      <c r="F852" t="str">
        <f>"19-19465"</f>
        <v>19-19465</v>
      </c>
      <c r="G852" s="2">
        <v>100</v>
      </c>
      <c r="H852" t="str">
        <f>"19-19465"</f>
        <v>19-19465</v>
      </c>
    </row>
    <row r="853" spans="1:8" x14ac:dyDescent="0.25">
      <c r="E853" t="str">
        <f>"201909041486"</f>
        <v>201909041486</v>
      </c>
      <c r="F853" t="str">
        <f>"19-19521"</f>
        <v>19-19521</v>
      </c>
      <c r="G853" s="2">
        <v>100</v>
      </c>
      <c r="H853" t="str">
        <f>"19-19521"</f>
        <v>19-19521</v>
      </c>
    </row>
    <row r="854" spans="1:8" x14ac:dyDescent="0.25">
      <c r="A854" t="s">
        <v>218</v>
      </c>
      <c r="B854">
        <v>1387</v>
      </c>
      <c r="C854" s="2">
        <v>700</v>
      </c>
      <c r="D854" s="1">
        <v>43732</v>
      </c>
      <c r="E854" t="str">
        <f>"201909171814"</f>
        <v>201909171814</v>
      </c>
      <c r="F854" t="str">
        <f>"54 327"</f>
        <v>54 327</v>
      </c>
      <c r="G854" s="2">
        <v>250</v>
      </c>
      <c r="H854" t="str">
        <f>"54 327"</f>
        <v>54 327</v>
      </c>
    </row>
    <row r="855" spans="1:8" x14ac:dyDescent="0.25">
      <c r="E855" t="str">
        <f>"201909171815"</f>
        <v>201909171815</v>
      </c>
      <c r="F855" t="str">
        <f>"56 807"</f>
        <v>56 807</v>
      </c>
      <c r="G855" s="2">
        <v>250</v>
      </c>
      <c r="H855" t="str">
        <f>"56 807"</f>
        <v>56 807</v>
      </c>
    </row>
    <row r="856" spans="1:8" x14ac:dyDescent="0.25">
      <c r="E856" t="str">
        <f>"201909171826"</f>
        <v>201909171826</v>
      </c>
      <c r="F856" t="str">
        <f>"DETENTION HEARING"</f>
        <v>DETENTION HEARING</v>
      </c>
      <c r="G856" s="2">
        <v>100</v>
      </c>
      <c r="H856" t="str">
        <f>"DETENTION HEARING"</f>
        <v>DETENTION HEARING</v>
      </c>
    </row>
    <row r="857" spans="1:8" x14ac:dyDescent="0.25">
      <c r="E857" t="str">
        <f>"201909171827"</f>
        <v>201909171827</v>
      </c>
      <c r="F857" t="str">
        <f>"DETENTION HEARING"</f>
        <v>DETENTION HEARING</v>
      </c>
      <c r="G857" s="2">
        <v>100</v>
      </c>
      <c r="H857" t="str">
        <f>"DETENTION HEARING"</f>
        <v>DETENTION HEARING</v>
      </c>
    </row>
    <row r="858" spans="1:8" x14ac:dyDescent="0.25">
      <c r="A858" t="s">
        <v>219</v>
      </c>
      <c r="B858">
        <v>84068</v>
      </c>
      <c r="C858" s="2">
        <v>261.27999999999997</v>
      </c>
      <c r="D858" s="1">
        <v>43731</v>
      </c>
      <c r="E858" t="str">
        <f>"20297911"</f>
        <v>20297911</v>
      </c>
      <c r="F858" t="str">
        <f>"CUST#41472/PCT#1"</f>
        <v>CUST#41472/PCT#1</v>
      </c>
      <c r="G858" s="2">
        <v>25.23</v>
      </c>
      <c r="H858" t="str">
        <f>"CUST#41472/PCT#1"</f>
        <v>CUST#41472/PCT#1</v>
      </c>
    </row>
    <row r="859" spans="1:8" x14ac:dyDescent="0.25">
      <c r="E859" t="str">
        <f>"20297997"</f>
        <v>20297997</v>
      </c>
      <c r="F859" t="str">
        <f>"ACCT#45057/PCT#4"</f>
        <v>ACCT#45057/PCT#4</v>
      </c>
      <c r="G859" s="2">
        <v>45.73</v>
      </c>
      <c r="H859" t="str">
        <f>"ACCT#45057/PCT#4"</f>
        <v>ACCT#45057/PCT#4</v>
      </c>
    </row>
    <row r="860" spans="1:8" x14ac:dyDescent="0.25">
      <c r="E860" t="str">
        <f>"20298054"</f>
        <v>20298054</v>
      </c>
      <c r="F860" t="str">
        <f>"INV 20298054"</f>
        <v>INV 20298054</v>
      </c>
      <c r="G860" s="2">
        <v>55.32</v>
      </c>
      <c r="H860" t="str">
        <f>"INV 20298054"</f>
        <v>INV 20298054</v>
      </c>
    </row>
    <row r="861" spans="1:8" x14ac:dyDescent="0.25">
      <c r="E861" t="str">
        <f>"20305644"</f>
        <v>20305644</v>
      </c>
      <c r="F861" t="str">
        <f>"ACCT#S9549/PCT#1"</f>
        <v>ACCT#S9549/PCT#1</v>
      </c>
      <c r="G861" s="2">
        <v>135</v>
      </c>
      <c r="H861" t="str">
        <f>"ACCT#S9549/PCT#1"</f>
        <v>ACCT#S9549/PCT#1</v>
      </c>
    </row>
    <row r="862" spans="1:8" x14ac:dyDescent="0.25">
      <c r="A862" t="s">
        <v>220</v>
      </c>
      <c r="B862">
        <v>83830</v>
      </c>
      <c r="C862" s="2">
        <v>702.8</v>
      </c>
      <c r="D862" s="1">
        <v>43717</v>
      </c>
      <c r="E862" t="str">
        <f>"201909031416"</f>
        <v>201909031416</v>
      </c>
      <c r="F862" t="str">
        <f>"PER DIEM"</f>
        <v>PER DIEM</v>
      </c>
      <c r="G862" s="2">
        <v>120</v>
      </c>
      <c r="H862" t="str">
        <f>"PER DIEM"</f>
        <v>PER DIEM</v>
      </c>
    </row>
    <row r="863" spans="1:8" x14ac:dyDescent="0.25">
      <c r="E863" t="str">
        <f>"201909031419"</f>
        <v>201909031419</v>
      </c>
      <c r="F863" t="str">
        <f>"LODGING REIMBURSEMENT"</f>
        <v>LODGING REIMBURSEMENT</v>
      </c>
      <c r="G863" s="2">
        <v>512.79999999999995</v>
      </c>
      <c r="H863" t="str">
        <f>"LODGING REIMBURSEMENT"</f>
        <v>LODGING REIMBURSEMENT</v>
      </c>
    </row>
    <row r="864" spans="1:8" x14ac:dyDescent="0.25">
      <c r="E864" t="str">
        <f>"201909031420"</f>
        <v>201909031420</v>
      </c>
      <c r="F864" t="str">
        <f>"PER DIEM"</f>
        <v>PER DIEM</v>
      </c>
      <c r="G864" s="2">
        <v>70</v>
      </c>
      <c r="H864" t="str">
        <f>"PER DIEM"</f>
        <v>PER DIEM</v>
      </c>
    </row>
    <row r="865" spans="1:8" x14ac:dyDescent="0.25">
      <c r="A865" t="s">
        <v>221</v>
      </c>
      <c r="B865">
        <v>83831</v>
      </c>
      <c r="C865" s="2">
        <v>90</v>
      </c>
      <c r="D865" s="1">
        <v>43717</v>
      </c>
      <c r="E865" t="str">
        <f>"13118"</f>
        <v>13118</v>
      </c>
      <c r="F865" t="str">
        <f>"SERVICE"</f>
        <v>SERVICE</v>
      </c>
      <c r="G865" s="2">
        <v>90</v>
      </c>
      <c r="H865" t="str">
        <f>"SERVICE"</f>
        <v>SERVICE</v>
      </c>
    </row>
    <row r="866" spans="1:8" x14ac:dyDescent="0.25">
      <c r="A866" t="s">
        <v>222</v>
      </c>
      <c r="B866">
        <v>1335</v>
      </c>
      <c r="C866" s="2">
        <v>33.76</v>
      </c>
      <c r="D866" s="1">
        <v>43718</v>
      </c>
      <c r="E866" t="str">
        <f>"677123"</f>
        <v>677123</v>
      </c>
      <c r="F866" t="str">
        <f>"ACCT#0900-98011130-001/SIGN SH"</f>
        <v>ACCT#0900-98011130-001/SIGN SH</v>
      </c>
      <c r="G866" s="2">
        <v>33.76</v>
      </c>
      <c r="H866" t="str">
        <f>"ACCT#0900-98011130-001/SIGN SH"</f>
        <v>ACCT#0900-98011130-001/SIGN SH</v>
      </c>
    </row>
    <row r="867" spans="1:8" x14ac:dyDescent="0.25">
      <c r="A867" t="s">
        <v>223</v>
      </c>
      <c r="B867">
        <v>83832</v>
      </c>
      <c r="C867" s="2">
        <v>1755</v>
      </c>
      <c r="D867" s="1">
        <v>43717</v>
      </c>
      <c r="E867" t="str">
        <f>"12400"</f>
        <v>12400</v>
      </c>
      <c r="F867" t="str">
        <f>"ABST FEE-$175   SERVICE-$55"</f>
        <v>ABST FEE-$175   SERVICE-$55</v>
      </c>
      <c r="G867" s="2">
        <v>230</v>
      </c>
      <c r="H867" t="str">
        <f>"ABST FEE-$175   SERVICE-$55"</f>
        <v>ABST FEE-$175   SERVICE-$55</v>
      </c>
    </row>
    <row r="868" spans="1:8" x14ac:dyDescent="0.25">
      <c r="E868" t="str">
        <f>"12524"</f>
        <v>12524</v>
      </c>
      <c r="F868" t="str">
        <f t="shared" ref="F868:F880" si="4">"ABST FEE"</f>
        <v>ABST FEE</v>
      </c>
      <c r="G868" s="2">
        <v>175</v>
      </c>
      <c r="H868" t="str">
        <f t="shared" ref="H868:H880" si="5">"ABST FEE"</f>
        <v>ABST FEE</v>
      </c>
    </row>
    <row r="869" spans="1:8" x14ac:dyDescent="0.25">
      <c r="E869" t="str">
        <f>"12795"</f>
        <v>12795</v>
      </c>
      <c r="F869" t="str">
        <f t="shared" si="4"/>
        <v>ABST FEE</v>
      </c>
      <c r="G869" s="2">
        <v>225</v>
      </c>
      <c r="H869" t="str">
        <f t="shared" si="5"/>
        <v>ABST FEE</v>
      </c>
    </row>
    <row r="870" spans="1:8" x14ac:dyDescent="0.25">
      <c r="E870" t="str">
        <f>"12915"</f>
        <v>12915</v>
      </c>
      <c r="F870" t="str">
        <f t="shared" si="4"/>
        <v>ABST FEE</v>
      </c>
      <c r="G870" s="2">
        <v>225</v>
      </c>
      <c r="H870" t="str">
        <f t="shared" si="5"/>
        <v>ABST FEE</v>
      </c>
    </row>
    <row r="871" spans="1:8" x14ac:dyDescent="0.25">
      <c r="E871" t="str">
        <f>"13114"</f>
        <v>13114</v>
      </c>
      <c r="F871" t="str">
        <f t="shared" si="4"/>
        <v>ABST FEE</v>
      </c>
      <c r="G871" s="2">
        <v>225</v>
      </c>
      <c r="H871" t="str">
        <f t="shared" si="5"/>
        <v>ABST FEE</v>
      </c>
    </row>
    <row r="872" spans="1:8" x14ac:dyDescent="0.25">
      <c r="E872" t="str">
        <f>"13118"</f>
        <v>13118</v>
      </c>
      <c r="F872" t="str">
        <f t="shared" si="4"/>
        <v>ABST FEE</v>
      </c>
      <c r="G872" s="2">
        <v>225</v>
      </c>
      <c r="H872" t="str">
        <f t="shared" si="5"/>
        <v>ABST FEE</v>
      </c>
    </row>
    <row r="873" spans="1:8" x14ac:dyDescent="0.25">
      <c r="E873" t="str">
        <f>"13124"</f>
        <v>13124</v>
      </c>
      <c r="F873" t="str">
        <f t="shared" si="4"/>
        <v>ABST FEE</v>
      </c>
      <c r="G873" s="2">
        <v>225</v>
      </c>
      <c r="H873" t="str">
        <f t="shared" si="5"/>
        <v>ABST FEE</v>
      </c>
    </row>
    <row r="874" spans="1:8" x14ac:dyDescent="0.25">
      <c r="E874" t="str">
        <f>"13137"</f>
        <v>13137</v>
      </c>
      <c r="F874" t="str">
        <f t="shared" si="4"/>
        <v>ABST FEE</v>
      </c>
      <c r="G874" s="2">
        <v>225</v>
      </c>
      <c r="H874" t="str">
        <f t="shared" si="5"/>
        <v>ABST FEE</v>
      </c>
    </row>
    <row r="875" spans="1:8" x14ac:dyDescent="0.25">
      <c r="A875" t="s">
        <v>223</v>
      </c>
      <c r="B875">
        <v>84069</v>
      </c>
      <c r="C875" s="2">
        <v>25599.43</v>
      </c>
      <c r="D875" s="1">
        <v>43731</v>
      </c>
      <c r="E875" t="str">
        <f>"12823"</f>
        <v>12823</v>
      </c>
      <c r="F875" t="str">
        <f t="shared" si="4"/>
        <v>ABST FEE</v>
      </c>
      <c r="G875" s="2">
        <v>225</v>
      </c>
      <c r="H875" t="str">
        <f t="shared" si="5"/>
        <v>ABST FEE</v>
      </c>
    </row>
    <row r="876" spans="1:8" x14ac:dyDescent="0.25">
      <c r="E876" t="str">
        <f>"12946"</f>
        <v>12946</v>
      </c>
      <c r="F876" t="str">
        <f t="shared" si="4"/>
        <v>ABST FEE</v>
      </c>
      <c r="G876" s="2">
        <v>225</v>
      </c>
      <c r="H876" t="str">
        <f t="shared" si="5"/>
        <v>ABST FEE</v>
      </c>
    </row>
    <row r="877" spans="1:8" x14ac:dyDescent="0.25">
      <c r="E877" t="str">
        <f>"13007"</f>
        <v>13007</v>
      </c>
      <c r="F877" t="str">
        <f t="shared" si="4"/>
        <v>ABST FEE</v>
      </c>
      <c r="G877" s="2">
        <v>225</v>
      </c>
      <c r="H877" t="str">
        <f t="shared" si="5"/>
        <v>ABST FEE</v>
      </c>
    </row>
    <row r="878" spans="1:8" x14ac:dyDescent="0.25">
      <c r="E878" t="str">
        <f>"13223"</f>
        <v>13223</v>
      </c>
      <c r="F878" t="str">
        <f t="shared" si="4"/>
        <v>ABST FEE</v>
      </c>
      <c r="G878" s="2">
        <v>225</v>
      </c>
      <c r="H878" t="str">
        <f t="shared" si="5"/>
        <v>ABST FEE</v>
      </c>
    </row>
    <row r="879" spans="1:8" x14ac:dyDescent="0.25">
      <c r="E879" t="str">
        <f>"13233"</f>
        <v>13233</v>
      </c>
      <c r="F879" t="str">
        <f t="shared" si="4"/>
        <v>ABST FEE</v>
      </c>
      <c r="G879" s="2">
        <v>225</v>
      </c>
      <c r="H879" t="str">
        <f t="shared" si="5"/>
        <v>ABST FEE</v>
      </c>
    </row>
    <row r="880" spans="1:8" x14ac:dyDescent="0.25">
      <c r="E880" t="str">
        <f>"13250"</f>
        <v>13250</v>
      </c>
      <c r="F880" t="str">
        <f t="shared" si="4"/>
        <v>ABST FEE</v>
      </c>
      <c r="G880" s="2">
        <v>225</v>
      </c>
      <c r="H880" t="str">
        <f t="shared" si="5"/>
        <v>ABST FEE</v>
      </c>
    </row>
    <row r="881" spans="1:8" x14ac:dyDescent="0.25">
      <c r="E881" t="str">
        <f>"201909101638"</f>
        <v>201909101638</v>
      </c>
      <c r="F881" t="str">
        <f>"COLLECT OF DELIQ TAXES-AUG2019"</f>
        <v>COLLECT OF DELIQ TAXES-AUG2019</v>
      </c>
      <c r="G881" s="2">
        <v>24249.43</v>
      </c>
      <c r="H881" t="str">
        <f>"COLLECT OF DELIQ TAXES-AUG2019"</f>
        <v>COLLECT OF DELIQ TAXES-AUG2019</v>
      </c>
    </row>
    <row r="882" spans="1:8" x14ac:dyDescent="0.25">
      <c r="A882" t="s">
        <v>224</v>
      </c>
      <c r="B882">
        <v>83833</v>
      </c>
      <c r="C882" s="2">
        <v>2992.7</v>
      </c>
      <c r="D882" s="1">
        <v>43717</v>
      </c>
      <c r="E882" t="str">
        <f>"60316128 61994303"</f>
        <v>60316128 61994303</v>
      </c>
      <c r="F882" t="str">
        <f>"INV 60316128"</f>
        <v>INV 60316128</v>
      </c>
      <c r="G882" s="2">
        <v>1595.75</v>
      </c>
      <c r="H882" t="str">
        <f>"INV 60316128"</f>
        <v>INV 60316128</v>
      </c>
    </row>
    <row r="883" spans="1:8" x14ac:dyDescent="0.25">
      <c r="E883" t="str">
        <f>""</f>
        <v/>
      </c>
      <c r="F883" t="str">
        <f>""</f>
        <v/>
      </c>
      <c r="H883" t="str">
        <f>"INV 61994303"</f>
        <v>INV 61994303</v>
      </c>
    </row>
    <row r="884" spans="1:8" x14ac:dyDescent="0.25">
      <c r="E884" t="str">
        <f>""</f>
        <v/>
      </c>
      <c r="F884" t="str">
        <f>""</f>
        <v/>
      </c>
      <c r="H884" t="str">
        <f>"INV 62250070"</f>
        <v>INV 62250070</v>
      </c>
    </row>
    <row r="885" spans="1:8" x14ac:dyDescent="0.25">
      <c r="E885" t="str">
        <f>"61815765"</f>
        <v>61815765</v>
      </c>
      <c r="F885" t="str">
        <f>"INV 61815765"</f>
        <v>INV 61815765</v>
      </c>
      <c r="G885" s="2">
        <v>1396.95</v>
      </c>
      <c r="H885" t="str">
        <f>"INV 61815765"</f>
        <v>INV 61815765</v>
      </c>
    </row>
    <row r="886" spans="1:8" x14ac:dyDescent="0.25">
      <c r="A886" t="s">
        <v>225</v>
      </c>
      <c r="B886">
        <v>83834</v>
      </c>
      <c r="C886" s="2">
        <v>70</v>
      </c>
      <c r="D886" s="1">
        <v>43717</v>
      </c>
      <c r="E886" t="str">
        <f>"201909031414"</f>
        <v>201909031414</v>
      </c>
      <c r="F886" t="str">
        <f>"PER DIEM"</f>
        <v>PER DIEM</v>
      </c>
      <c r="G886" s="2">
        <v>70</v>
      </c>
      <c r="H886" t="str">
        <f>"PER DIEM"</f>
        <v>PER DIEM</v>
      </c>
    </row>
    <row r="887" spans="1:8" x14ac:dyDescent="0.25">
      <c r="A887" t="s">
        <v>226</v>
      </c>
      <c r="B887">
        <v>84070</v>
      </c>
      <c r="C887" s="2">
        <v>2299.14</v>
      </c>
      <c r="D887" s="1">
        <v>43731</v>
      </c>
      <c r="E887" t="str">
        <f>"201909171893"</f>
        <v>201909171893</v>
      </c>
      <c r="F887" t="str">
        <f>"INDIGENT HEALTH"</f>
        <v>INDIGENT HEALTH</v>
      </c>
      <c r="G887" s="2">
        <v>2299.14</v>
      </c>
      <c r="H887" t="str">
        <f>"INDIGENT HEALTH"</f>
        <v>INDIGENT HEALTH</v>
      </c>
    </row>
    <row r="888" spans="1:8" x14ac:dyDescent="0.25">
      <c r="A888" t="s">
        <v>227</v>
      </c>
      <c r="B888">
        <v>1400</v>
      </c>
      <c r="C888" s="2">
        <v>3500</v>
      </c>
      <c r="D888" s="1">
        <v>43732</v>
      </c>
      <c r="E888" t="str">
        <f>"201909181956"</f>
        <v>201909181956</v>
      </c>
      <c r="F888" t="str">
        <f>"SURGICAL SVCS 9/5 9/9 9/12 9/1"</f>
        <v>SURGICAL SVCS 9/5 9/9 9/12 9/1</v>
      </c>
      <c r="G888" s="2">
        <v>2000</v>
      </c>
      <c r="H888" t="str">
        <f>"SURGICAL SVCS/ANIMAL SVCS"</f>
        <v>SURGICAL SVCS/ANIMAL SVCS</v>
      </c>
    </row>
    <row r="889" spans="1:8" x14ac:dyDescent="0.25">
      <c r="E889" t="str">
        <f>"201909181957"</f>
        <v>201909181957</v>
      </c>
      <c r="F889" t="str">
        <f>"SURGICAL SVCS 8/22 8/26 8/29"</f>
        <v>SURGICAL SVCS 8/22 8/26 8/29</v>
      </c>
      <c r="G889" s="2">
        <v>1500</v>
      </c>
      <c r="H889" t="str">
        <f>"SURGICAL SVCS 8/22 8/26 8/29"</f>
        <v>SURGICAL SVCS 8/22 8/26 8/29</v>
      </c>
    </row>
    <row r="890" spans="1:8" x14ac:dyDescent="0.25">
      <c r="A890" t="s">
        <v>228</v>
      </c>
      <c r="B890">
        <v>1322</v>
      </c>
      <c r="C890" s="2">
        <v>1831.82</v>
      </c>
      <c r="D890" s="1">
        <v>43718</v>
      </c>
      <c r="E890" t="str">
        <f>"201909031394"</f>
        <v>201909031394</v>
      </c>
      <c r="F890" t="str">
        <f>"MILEAGE REIMBURSEMENT"</f>
        <v>MILEAGE REIMBURSEMENT</v>
      </c>
      <c r="G890" s="2">
        <v>1140.8599999999999</v>
      </c>
      <c r="H890" t="str">
        <f>"MILEAGE REIMBURSEMENT"</f>
        <v>MILEAGE REIMBURSEMENT</v>
      </c>
    </row>
    <row r="891" spans="1:8" x14ac:dyDescent="0.25">
      <c r="E891" t="str">
        <f>"201909031395"</f>
        <v>201909031395</v>
      </c>
      <c r="F891" t="str">
        <f>"REIMBURSE-MEALS/LODGING"</f>
        <v>REIMBURSE-MEALS/LODGING</v>
      </c>
      <c r="G891" s="2">
        <v>94.55</v>
      </c>
      <c r="H891" t="str">
        <f>"REIMBURSE-MEALS/LODGING"</f>
        <v>REIMBURSE-MEALS/LODGING</v>
      </c>
    </row>
    <row r="892" spans="1:8" x14ac:dyDescent="0.25">
      <c r="E892" t="str">
        <f>"201909031396"</f>
        <v>201909031396</v>
      </c>
      <c r="F892" t="str">
        <f>"REIMBURSE MEALS/LODGING"</f>
        <v>REIMBURSE MEALS/LODGING</v>
      </c>
      <c r="G892" s="2">
        <v>596.41</v>
      </c>
      <c r="H892" t="str">
        <f>"REIMBURSE MEALS/LODGING"</f>
        <v>REIMBURSE MEALS/LODGING</v>
      </c>
    </row>
    <row r="893" spans="1:8" x14ac:dyDescent="0.25">
      <c r="A893" t="s">
        <v>229</v>
      </c>
      <c r="B893">
        <v>1412</v>
      </c>
      <c r="C893" s="2">
        <v>100</v>
      </c>
      <c r="D893" s="1">
        <v>43732</v>
      </c>
      <c r="E893" t="str">
        <f>"19-019"</f>
        <v>19-019</v>
      </c>
      <c r="F893" t="str">
        <f>"COURT REPORTER FEE"</f>
        <v>COURT REPORTER FEE</v>
      </c>
      <c r="G893" s="2">
        <v>100</v>
      </c>
      <c r="H893" t="str">
        <f>"COURT REPORTER FEE"</f>
        <v>COURT REPORTER FEE</v>
      </c>
    </row>
    <row r="894" spans="1:8" x14ac:dyDescent="0.25">
      <c r="A894" t="s">
        <v>230</v>
      </c>
      <c r="B894">
        <v>83835</v>
      </c>
      <c r="C894" s="2">
        <v>75723</v>
      </c>
      <c r="D894" s="1">
        <v>43717</v>
      </c>
      <c r="E894" t="str">
        <f>"201909041429"</f>
        <v>201909041429</v>
      </c>
      <c r="F894" t="str">
        <f>"MAINTENANCE PERIOD-NEW TRAIL S"</f>
        <v>MAINTENANCE PERIOD-NEW TRAIL S</v>
      </c>
      <c r="G894" s="2">
        <v>75723</v>
      </c>
      <c r="H894" t="str">
        <f>"MAINTENANCE PERIOD-NEW TRAIL S"</f>
        <v>MAINTENANCE PERIOD-NEW TRAIL S</v>
      </c>
    </row>
    <row r="895" spans="1:8" x14ac:dyDescent="0.25">
      <c r="A895" t="s">
        <v>231</v>
      </c>
      <c r="B895">
        <v>83836</v>
      </c>
      <c r="C895" s="2">
        <v>20</v>
      </c>
      <c r="D895" s="1">
        <v>43717</v>
      </c>
      <c r="E895" t="str">
        <f>"201909041439"</f>
        <v>201909041439</v>
      </c>
      <c r="F895" t="str">
        <f>"REFUND"</f>
        <v>REFUND</v>
      </c>
      <c r="G895" s="2">
        <v>20</v>
      </c>
      <c r="H895" t="str">
        <f>"REFUND"</f>
        <v>REFUND</v>
      </c>
    </row>
    <row r="896" spans="1:8" x14ac:dyDescent="0.25">
      <c r="A896" t="s">
        <v>232</v>
      </c>
      <c r="B896">
        <v>83741</v>
      </c>
      <c r="C896" s="2">
        <v>40</v>
      </c>
      <c r="D896" s="1">
        <v>43713</v>
      </c>
      <c r="E896" t="str">
        <f>"201909051528"</f>
        <v>201909051528</v>
      </c>
      <c r="F896" t="str">
        <f>"Miscellaneo"</f>
        <v>Miscellaneo</v>
      </c>
      <c r="G896" s="2">
        <v>40</v>
      </c>
      <c r="H896" t="str">
        <f>"LONNY RAY BOSTIC"</f>
        <v>LONNY RAY BOSTIC</v>
      </c>
    </row>
    <row r="897" spans="1:8" x14ac:dyDescent="0.25">
      <c r="A897" t="s">
        <v>233</v>
      </c>
      <c r="B897">
        <v>83742</v>
      </c>
      <c r="C897" s="2">
        <v>40</v>
      </c>
      <c r="D897" s="1">
        <v>43713</v>
      </c>
      <c r="E897" t="str">
        <f>"201909051529"</f>
        <v>201909051529</v>
      </c>
      <c r="F897" t="str">
        <f>"Miscellaneous"</f>
        <v>Miscellaneous</v>
      </c>
      <c r="G897" s="2">
        <v>40</v>
      </c>
      <c r="H897" t="str">
        <f>"JAMIE DEE FORD"</f>
        <v>JAMIE DEE FORD</v>
      </c>
    </row>
    <row r="898" spans="1:8" x14ac:dyDescent="0.25">
      <c r="A898" t="s">
        <v>234</v>
      </c>
      <c r="B898">
        <v>83743</v>
      </c>
      <c r="C898" s="2">
        <v>40</v>
      </c>
      <c r="D898" s="1">
        <v>43713</v>
      </c>
      <c r="E898" t="str">
        <f>"201909051530"</f>
        <v>201909051530</v>
      </c>
      <c r="F898" t="str">
        <f>"Miscella"</f>
        <v>Miscella</v>
      </c>
      <c r="G898" s="2">
        <v>40</v>
      </c>
      <c r="H898" t="str">
        <f>"GERALDINE ANN MCCOY"</f>
        <v>GERALDINE ANN MCCOY</v>
      </c>
    </row>
    <row r="899" spans="1:8" x14ac:dyDescent="0.25">
      <c r="A899" t="s">
        <v>235</v>
      </c>
      <c r="B899">
        <v>83744</v>
      </c>
      <c r="C899" s="2">
        <v>40</v>
      </c>
      <c r="D899" s="1">
        <v>43713</v>
      </c>
      <c r="E899" t="str">
        <f>"201909051531"</f>
        <v>201909051531</v>
      </c>
      <c r="F899" t="str">
        <f>"Miscellan"</f>
        <v>Miscellan</v>
      </c>
      <c r="G899" s="2">
        <v>40</v>
      </c>
      <c r="H899" t="str">
        <f>"PAMELA PIPER CRABB"</f>
        <v>PAMELA PIPER CRABB</v>
      </c>
    </row>
    <row r="900" spans="1:8" x14ac:dyDescent="0.25">
      <c r="A900" t="s">
        <v>236</v>
      </c>
      <c r="B900">
        <v>83745</v>
      </c>
      <c r="C900" s="2">
        <v>40</v>
      </c>
      <c r="D900" s="1">
        <v>43713</v>
      </c>
      <c r="E900" t="str">
        <f>"201909051532"</f>
        <v>201909051532</v>
      </c>
      <c r="F900" t="str">
        <f>"Misc"</f>
        <v>Misc</v>
      </c>
      <c r="G900" s="2">
        <v>40</v>
      </c>
      <c r="H900" t="str">
        <f>"SHERILYN KAATZ KISAMORE"</f>
        <v>SHERILYN KAATZ KISAMORE</v>
      </c>
    </row>
    <row r="901" spans="1:8" x14ac:dyDescent="0.25">
      <c r="A901" t="s">
        <v>237</v>
      </c>
      <c r="B901">
        <v>83746</v>
      </c>
      <c r="C901" s="2">
        <v>40</v>
      </c>
      <c r="D901" s="1">
        <v>43713</v>
      </c>
      <c r="E901" t="str">
        <f>"201909051533"</f>
        <v>201909051533</v>
      </c>
      <c r="F901" t="str">
        <f>"Miscellaneou"</f>
        <v>Miscellaneou</v>
      </c>
      <c r="G901" s="2">
        <v>40</v>
      </c>
      <c r="H901" t="str">
        <f>"RUSSELL JAY ASH"</f>
        <v>RUSSELL JAY ASH</v>
      </c>
    </row>
    <row r="902" spans="1:8" x14ac:dyDescent="0.25">
      <c r="A902" t="s">
        <v>238</v>
      </c>
      <c r="B902">
        <v>83747</v>
      </c>
      <c r="C902" s="2">
        <v>40</v>
      </c>
      <c r="D902" s="1">
        <v>43713</v>
      </c>
      <c r="E902" t="str">
        <f>"201909051534"</f>
        <v>201909051534</v>
      </c>
      <c r="F902" t="str">
        <f>"Misce"</f>
        <v>Misce</v>
      </c>
      <c r="G902" s="2">
        <v>40</v>
      </c>
      <c r="H902" t="str">
        <f>"STACY ROY CARPENTER JR"</f>
        <v>STACY ROY CARPENTER JR</v>
      </c>
    </row>
    <row r="903" spans="1:8" x14ac:dyDescent="0.25">
      <c r="A903" t="s">
        <v>239</v>
      </c>
      <c r="B903">
        <v>83748</v>
      </c>
      <c r="C903" s="2">
        <v>40</v>
      </c>
      <c r="D903" s="1">
        <v>43713</v>
      </c>
      <c r="E903" t="str">
        <f>"201909051535"</f>
        <v>201909051535</v>
      </c>
      <c r="F903" t="str">
        <f>"Miscel"</f>
        <v>Miscel</v>
      </c>
      <c r="G903" s="2">
        <v>40</v>
      </c>
      <c r="H903" t="str">
        <f>"SCOTT JAY QUINTANILLA"</f>
        <v>SCOTT JAY QUINTANILLA</v>
      </c>
    </row>
    <row r="904" spans="1:8" x14ac:dyDescent="0.25">
      <c r="A904" t="s">
        <v>240</v>
      </c>
      <c r="B904">
        <v>83749</v>
      </c>
      <c r="C904" s="2">
        <v>40</v>
      </c>
      <c r="D904" s="1">
        <v>43713</v>
      </c>
      <c r="E904" t="str">
        <f>"201909051536"</f>
        <v>201909051536</v>
      </c>
      <c r="F904" t="str">
        <f>"Miscellane"</f>
        <v>Miscellane</v>
      </c>
      <c r="G904" s="2">
        <v>40</v>
      </c>
      <c r="H904" t="str">
        <f>"JON HAROLD KEENER"</f>
        <v>JON HAROLD KEENER</v>
      </c>
    </row>
    <row r="905" spans="1:8" x14ac:dyDescent="0.25">
      <c r="A905" t="s">
        <v>241</v>
      </c>
      <c r="B905">
        <v>83750</v>
      </c>
      <c r="C905" s="2">
        <v>40</v>
      </c>
      <c r="D905" s="1">
        <v>43713</v>
      </c>
      <c r="E905" t="str">
        <f>"201909051537"</f>
        <v>201909051537</v>
      </c>
      <c r="F905" t="str">
        <f>"Miscellane"</f>
        <v>Miscellane</v>
      </c>
      <c r="G905" s="2">
        <v>40</v>
      </c>
      <c r="H905" t="str">
        <f>"DONNA JAYE MEZERA"</f>
        <v>DONNA JAYE MEZERA</v>
      </c>
    </row>
    <row r="906" spans="1:8" x14ac:dyDescent="0.25">
      <c r="A906" t="s">
        <v>242</v>
      </c>
      <c r="B906">
        <v>83751</v>
      </c>
      <c r="C906" s="2">
        <v>40</v>
      </c>
      <c r="D906" s="1">
        <v>43713</v>
      </c>
      <c r="E906" t="str">
        <f>"201909051538"</f>
        <v>201909051538</v>
      </c>
      <c r="F906" t="str">
        <f>"Miscellan"</f>
        <v>Miscellan</v>
      </c>
      <c r="G906" s="2">
        <v>40</v>
      </c>
      <c r="H906" t="str">
        <f>"SCOTT TYLER TUCKER"</f>
        <v>SCOTT TYLER TUCKER</v>
      </c>
    </row>
    <row r="907" spans="1:8" x14ac:dyDescent="0.25">
      <c r="A907" t="s">
        <v>243</v>
      </c>
      <c r="B907">
        <v>83909</v>
      </c>
      <c r="C907" s="2">
        <v>128</v>
      </c>
      <c r="D907" s="1">
        <v>43720</v>
      </c>
      <c r="E907" t="str">
        <f>"201909121673"</f>
        <v>201909121673</v>
      </c>
      <c r="F907" t="str">
        <f>"Mi"</f>
        <v>Mi</v>
      </c>
      <c r="G907" s="2">
        <v>128</v>
      </c>
      <c r="H907" t="str">
        <f>"Child Protective Services"</f>
        <v>Child Protective Services</v>
      </c>
    </row>
    <row r="908" spans="1:8" x14ac:dyDescent="0.25">
      <c r="A908" t="s">
        <v>244</v>
      </c>
      <c r="B908">
        <v>83910</v>
      </c>
      <c r="C908" s="2">
        <v>214</v>
      </c>
      <c r="D908" s="1">
        <v>43720</v>
      </c>
      <c r="E908" t="str">
        <f>"201909121674"</f>
        <v>201909121674</v>
      </c>
      <c r="F908" t="str">
        <f>""</f>
        <v/>
      </c>
      <c r="G908" s="2">
        <v>214</v>
      </c>
      <c r="H908" t="str">
        <f>"COURT APPOINTED SPECIAL ADVOCA"</f>
        <v>COURT APPOINTED SPECIAL ADVOCA</v>
      </c>
    </row>
    <row r="909" spans="1:8" x14ac:dyDescent="0.25">
      <c r="A909" t="s">
        <v>245</v>
      </c>
      <c r="B909">
        <v>83911</v>
      </c>
      <c r="C909" s="2">
        <v>140</v>
      </c>
      <c r="D909" s="1">
        <v>43720</v>
      </c>
      <c r="E909" t="str">
        <f>"201909121675"</f>
        <v>201909121675</v>
      </c>
      <c r="F909" t="str">
        <f>"Miscell"</f>
        <v>Miscell</v>
      </c>
      <c r="G909" s="2">
        <v>140</v>
      </c>
      <c r="H909" t="str">
        <f>"Family Crisis Center"</f>
        <v>Family Crisis Center</v>
      </c>
    </row>
    <row r="910" spans="1:8" x14ac:dyDescent="0.25">
      <c r="A910" t="s">
        <v>246</v>
      </c>
      <c r="B910">
        <v>83912</v>
      </c>
      <c r="C910" s="2">
        <v>122</v>
      </c>
      <c r="D910" s="1">
        <v>43720</v>
      </c>
      <c r="E910" t="str">
        <f>"201909121676"</f>
        <v>201909121676</v>
      </c>
      <c r="F910" t="str">
        <f>"M"</f>
        <v>M</v>
      </c>
      <c r="G910" s="2">
        <v>122</v>
      </c>
      <c r="H910" t="str">
        <f>"Children's Advocacy Center"</f>
        <v>Children's Advocacy Center</v>
      </c>
    </row>
    <row r="911" spans="1:8" x14ac:dyDescent="0.25">
      <c r="A911" t="s">
        <v>247</v>
      </c>
      <c r="B911">
        <v>83913</v>
      </c>
      <c r="C911" s="2">
        <v>86</v>
      </c>
      <c r="D911" s="1">
        <v>43720</v>
      </c>
      <c r="E911" t="str">
        <f>"201909121677"</f>
        <v>201909121677</v>
      </c>
      <c r="F911" t="str">
        <f>"Miscellan"</f>
        <v>Miscellan</v>
      </c>
      <c r="G911" s="2">
        <v>86</v>
      </c>
      <c r="H911" t="str">
        <f>"SUZANNE SLOAN PIKE"</f>
        <v>SUZANNE SLOAN PIKE</v>
      </c>
    </row>
    <row r="912" spans="1:8" x14ac:dyDescent="0.25">
      <c r="A912" t="s">
        <v>248</v>
      </c>
      <c r="B912">
        <v>83914</v>
      </c>
      <c r="C912" s="2">
        <v>6</v>
      </c>
      <c r="D912" s="1">
        <v>43720</v>
      </c>
      <c r="E912" t="str">
        <f>"201909121678"</f>
        <v>201909121678</v>
      </c>
      <c r="F912" t="str">
        <f>"Miscellaneou"</f>
        <v>Miscellaneou</v>
      </c>
      <c r="G912" s="2">
        <v>6</v>
      </c>
      <c r="H912" t="str">
        <f>"LETICIA VAZQUEZ"</f>
        <v>LETICIA VAZQUEZ</v>
      </c>
    </row>
    <row r="913" spans="1:8" x14ac:dyDescent="0.25">
      <c r="A913" t="s">
        <v>249</v>
      </c>
      <c r="B913">
        <v>83915</v>
      </c>
      <c r="C913" s="2">
        <v>86</v>
      </c>
      <c r="D913" s="1">
        <v>43720</v>
      </c>
      <c r="E913" t="str">
        <f>"201909121679"</f>
        <v>201909121679</v>
      </c>
      <c r="F913" t="str">
        <f>"Miscel"</f>
        <v>Miscel</v>
      </c>
      <c r="G913" s="2">
        <v>86</v>
      </c>
      <c r="H913" t="str">
        <f>"ZACHARY AUSTIN CLARDY"</f>
        <v>ZACHARY AUSTIN CLARDY</v>
      </c>
    </row>
    <row r="914" spans="1:8" x14ac:dyDescent="0.25">
      <c r="A914" t="s">
        <v>250</v>
      </c>
      <c r="B914">
        <v>83916</v>
      </c>
      <c r="C914" s="2">
        <v>6</v>
      </c>
      <c r="D914" s="1">
        <v>43720</v>
      </c>
      <c r="E914" t="str">
        <f>"201909121680"</f>
        <v>201909121680</v>
      </c>
      <c r="F914" t="str">
        <f>"Mi"</f>
        <v>Mi</v>
      </c>
      <c r="G914" s="2">
        <v>6</v>
      </c>
      <c r="H914" t="str">
        <f>"KATHERINE KUTTRUFF ALBERS"</f>
        <v>KATHERINE KUTTRUFF ALBERS</v>
      </c>
    </row>
    <row r="915" spans="1:8" x14ac:dyDescent="0.25">
      <c r="A915" t="s">
        <v>251</v>
      </c>
      <c r="B915">
        <v>83917</v>
      </c>
      <c r="C915" s="2">
        <v>6</v>
      </c>
      <c r="D915" s="1">
        <v>43720</v>
      </c>
      <c r="E915" t="str">
        <f>"201909121681"</f>
        <v>201909121681</v>
      </c>
      <c r="F915" t="str">
        <f>"Miscellane"</f>
        <v>Miscellane</v>
      </c>
      <c r="G915" s="2">
        <v>6</v>
      </c>
      <c r="H915" t="str">
        <f>"RANDY ALAN HAGLER"</f>
        <v>RANDY ALAN HAGLER</v>
      </c>
    </row>
    <row r="916" spans="1:8" x14ac:dyDescent="0.25">
      <c r="A916" t="s">
        <v>252</v>
      </c>
      <c r="B916">
        <v>83918</v>
      </c>
      <c r="C916" s="2">
        <v>6</v>
      </c>
      <c r="D916" s="1">
        <v>43720</v>
      </c>
      <c r="E916" t="str">
        <f>"201909121682"</f>
        <v>201909121682</v>
      </c>
      <c r="F916" t="str">
        <f>"Miscel"</f>
        <v>Miscel</v>
      </c>
      <c r="G916" s="2">
        <v>6</v>
      </c>
      <c r="H916" t="str">
        <f>"KENNETH PAUL FIEBRICH"</f>
        <v>KENNETH PAUL FIEBRICH</v>
      </c>
    </row>
    <row r="917" spans="1:8" x14ac:dyDescent="0.25">
      <c r="A917" t="s">
        <v>253</v>
      </c>
      <c r="B917">
        <v>83919</v>
      </c>
      <c r="C917" s="2">
        <v>6</v>
      </c>
      <c r="D917" s="1">
        <v>43720</v>
      </c>
      <c r="E917" t="str">
        <f>"201909121683"</f>
        <v>201909121683</v>
      </c>
      <c r="F917" t="str">
        <f>"Miscellan"</f>
        <v>Miscellan</v>
      </c>
      <c r="G917" s="2">
        <v>6</v>
      </c>
      <c r="H917" t="str">
        <f>"THOMAS LAMBIE FORD"</f>
        <v>THOMAS LAMBIE FORD</v>
      </c>
    </row>
    <row r="918" spans="1:8" x14ac:dyDescent="0.25">
      <c r="A918" t="s">
        <v>254</v>
      </c>
      <c r="B918">
        <v>83920</v>
      </c>
      <c r="C918" s="2">
        <v>6</v>
      </c>
      <c r="D918" s="1">
        <v>43720</v>
      </c>
      <c r="E918" t="str">
        <f>"201909121684"</f>
        <v>201909121684</v>
      </c>
      <c r="F918" t="str">
        <f>"Miscellan"</f>
        <v>Miscellan</v>
      </c>
      <c r="G918" s="2">
        <v>6</v>
      </c>
      <c r="H918" t="str">
        <f>"LARRY LEE REYNOLDS"</f>
        <v>LARRY LEE REYNOLDS</v>
      </c>
    </row>
    <row r="919" spans="1:8" x14ac:dyDescent="0.25">
      <c r="A919" t="s">
        <v>255</v>
      </c>
      <c r="B919">
        <v>83921</v>
      </c>
      <c r="C919" s="2">
        <v>6</v>
      </c>
      <c r="D919" s="1">
        <v>43720</v>
      </c>
      <c r="E919" t="str">
        <f>"201909121685"</f>
        <v>201909121685</v>
      </c>
      <c r="F919" t="str">
        <f>"Mi"</f>
        <v>Mi</v>
      </c>
      <c r="G919" s="2">
        <v>6</v>
      </c>
      <c r="H919" t="str">
        <f>"MACKENZIE AUTUMN MARTINEZ"</f>
        <v>MACKENZIE AUTUMN MARTINEZ</v>
      </c>
    </row>
    <row r="920" spans="1:8" x14ac:dyDescent="0.25">
      <c r="A920" t="s">
        <v>256</v>
      </c>
      <c r="B920">
        <v>83922</v>
      </c>
      <c r="C920" s="2">
        <v>6</v>
      </c>
      <c r="D920" s="1">
        <v>43720</v>
      </c>
      <c r="E920" t="str">
        <f>"201909121686"</f>
        <v>201909121686</v>
      </c>
      <c r="F920" t="str">
        <f>"Mi"</f>
        <v>Mi</v>
      </c>
      <c r="G920" s="2">
        <v>6</v>
      </c>
      <c r="H920" t="str">
        <f>"STEPHANIE DIANE RODRIGUEZ"</f>
        <v>STEPHANIE DIANE RODRIGUEZ</v>
      </c>
    </row>
    <row r="921" spans="1:8" x14ac:dyDescent="0.25">
      <c r="A921" t="s">
        <v>257</v>
      </c>
      <c r="B921">
        <v>83923</v>
      </c>
      <c r="C921" s="2">
        <v>6</v>
      </c>
      <c r="D921" s="1">
        <v>43720</v>
      </c>
      <c r="E921" t="str">
        <f>"201909121687"</f>
        <v>201909121687</v>
      </c>
      <c r="F921" t="str">
        <f>"Miscella"</f>
        <v>Miscella</v>
      </c>
      <c r="G921" s="2">
        <v>6</v>
      </c>
      <c r="H921" t="str">
        <f>"EDGAR JAMES RICHTER"</f>
        <v>EDGAR JAMES RICHTER</v>
      </c>
    </row>
    <row r="922" spans="1:8" x14ac:dyDescent="0.25">
      <c r="A922" t="s">
        <v>258</v>
      </c>
      <c r="B922">
        <v>83924</v>
      </c>
      <c r="C922" s="2">
        <v>6</v>
      </c>
      <c r="D922" s="1">
        <v>43720</v>
      </c>
      <c r="E922" t="str">
        <f>"201909121688"</f>
        <v>201909121688</v>
      </c>
      <c r="F922" t="str">
        <f>"Miscellaneou"</f>
        <v>Miscellaneou</v>
      </c>
      <c r="G922" s="2">
        <v>6</v>
      </c>
      <c r="H922" t="str">
        <f>"SONJA JANE KING"</f>
        <v>SONJA JANE KING</v>
      </c>
    </row>
    <row r="923" spans="1:8" x14ac:dyDescent="0.25">
      <c r="A923" t="s">
        <v>259</v>
      </c>
      <c r="B923">
        <v>83925</v>
      </c>
      <c r="C923" s="2">
        <v>6</v>
      </c>
      <c r="D923" s="1">
        <v>43720</v>
      </c>
      <c r="E923" t="str">
        <f>"201909121689"</f>
        <v>201909121689</v>
      </c>
      <c r="F923" t="str">
        <f>"Miscell"</f>
        <v>Miscell</v>
      </c>
      <c r="G923" s="2">
        <v>6</v>
      </c>
      <c r="H923" t="str">
        <f>"MARK THOMAS FJELSTED"</f>
        <v>MARK THOMAS FJELSTED</v>
      </c>
    </row>
    <row r="924" spans="1:8" x14ac:dyDescent="0.25">
      <c r="A924" t="s">
        <v>260</v>
      </c>
      <c r="B924">
        <v>83926</v>
      </c>
      <c r="C924" s="2">
        <v>6</v>
      </c>
      <c r="D924" s="1">
        <v>43720</v>
      </c>
      <c r="E924" t="str">
        <f>"201909121690"</f>
        <v>201909121690</v>
      </c>
      <c r="F924" t="str">
        <f>"Miscellaneous"</f>
        <v>Miscellaneous</v>
      </c>
      <c r="G924" s="2">
        <v>6</v>
      </c>
      <c r="H924" t="str">
        <f>"SONIA FREELAND"</f>
        <v>SONIA FREELAND</v>
      </c>
    </row>
    <row r="925" spans="1:8" x14ac:dyDescent="0.25">
      <c r="A925" t="s">
        <v>261</v>
      </c>
      <c r="B925">
        <v>83927</v>
      </c>
      <c r="C925" s="2">
        <v>6</v>
      </c>
      <c r="D925" s="1">
        <v>43720</v>
      </c>
      <c r="E925" t="str">
        <f>"201909121691"</f>
        <v>201909121691</v>
      </c>
      <c r="F925" t="str">
        <f>"Mi"</f>
        <v>Mi</v>
      </c>
      <c r="G925" s="2">
        <v>6</v>
      </c>
      <c r="H925" t="str">
        <f>"DEBRA EMILY-MUNOZ ALVAREZ"</f>
        <v>DEBRA EMILY-MUNOZ ALVAREZ</v>
      </c>
    </row>
    <row r="926" spans="1:8" x14ac:dyDescent="0.25">
      <c r="A926" t="s">
        <v>262</v>
      </c>
      <c r="B926">
        <v>83928</v>
      </c>
      <c r="C926" s="2">
        <v>6</v>
      </c>
      <c r="D926" s="1">
        <v>43720</v>
      </c>
      <c r="E926" t="str">
        <f>"201909121692"</f>
        <v>201909121692</v>
      </c>
      <c r="F926" t="str">
        <f>"Miscellaneous"</f>
        <v>Miscellaneous</v>
      </c>
      <c r="G926" s="2">
        <v>6</v>
      </c>
      <c r="H926" t="str">
        <f>"JOEL ROY REED"</f>
        <v>JOEL ROY REED</v>
      </c>
    </row>
    <row r="927" spans="1:8" x14ac:dyDescent="0.25">
      <c r="A927" t="s">
        <v>263</v>
      </c>
      <c r="B927">
        <v>83929</v>
      </c>
      <c r="C927" s="2">
        <v>6</v>
      </c>
      <c r="D927" s="1">
        <v>43720</v>
      </c>
      <c r="E927" t="str">
        <f>"201909121693"</f>
        <v>201909121693</v>
      </c>
      <c r="F927" t="str">
        <f>"Miscellaneo"</f>
        <v>Miscellaneo</v>
      </c>
      <c r="G927" s="2">
        <v>6</v>
      </c>
      <c r="H927" t="str">
        <f>"CATHARINE WILSON"</f>
        <v>CATHARINE WILSON</v>
      </c>
    </row>
    <row r="928" spans="1:8" x14ac:dyDescent="0.25">
      <c r="A928" t="s">
        <v>264</v>
      </c>
      <c r="B928">
        <v>83930</v>
      </c>
      <c r="C928" s="2">
        <v>6</v>
      </c>
      <c r="D928" s="1">
        <v>43720</v>
      </c>
      <c r="E928" t="str">
        <f>"201909121694"</f>
        <v>201909121694</v>
      </c>
      <c r="F928" t="str">
        <f>"Mi"</f>
        <v>Mi</v>
      </c>
      <c r="G928" s="2">
        <v>6</v>
      </c>
      <c r="H928" t="str">
        <f>"LAUREN SUZETTE DE LA CRUZ"</f>
        <v>LAUREN SUZETTE DE LA CRUZ</v>
      </c>
    </row>
    <row r="929" spans="1:8" x14ac:dyDescent="0.25">
      <c r="A929" t="s">
        <v>265</v>
      </c>
      <c r="B929">
        <v>83931</v>
      </c>
      <c r="C929" s="2">
        <v>6</v>
      </c>
      <c r="D929" s="1">
        <v>43720</v>
      </c>
      <c r="E929" t="str">
        <f>"201909121695"</f>
        <v>201909121695</v>
      </c>
      <c r="F929" t="str">
        <f>"Miscella"</f>
        <v>Miscella</v>
      </c>
      <c r="G929" s="2">
        <v>6</v>
      </c>
      <c r="H929" t="str">
        <f>"SHERRY JEAN HENKELL"</f>
        <v>SHERRY JEAN HENKELL</v>
      </c>
    </row>
    <row r="930" spans="1:8" x14ac:dyDescent="0.25">
      <c r="A930" t="s">
        <v>266</v>
      </c>
      <c r="B930">
        <v>83932</v>
      </c>
      <c r="C930" s="2">
        <v>6</v>
      </c>
      <c r="D930" s="1">
        <v>43720</v>
      </c>
      <c r="E930" t="str">
        <f>"201909121696"</f>
        <v>201909121696</v>
      </c>
      <c r="F930" t="str">
        <f>"Mis"</f>
        <v>Mis</v>
      </c>
      <c r="G930" s="2">
        <v>6</v>
      </c>
      <c r="H930" t="str">
        <f>"JOHN ARTHUR ASHBAUGH III"</f>
        <v>JOHN ARTHUR ASHBAUGH III</v>
      </c>
    </row>
    <row r="931" spans="1:8" x14ac:dyDescent="0.25">
      <c r="A931" t="s">
        <v>267</v>
      </c>
      <c r="B931">
        <v>83933</v>
      </c>
      <c r="C931" s="2">
        <v>86</v>
      </c>
      <c r="D931" s="1">
        <v>43720</v>
      </c>
      <c r="E931" t="str">
        <f>"201909121697"</f>
        <v>201909121697</v>
      </c>
      <c r="F931" t="str">
        <f>"Misce"</f>
        <v>Misce</v>
      </c>
      <c r="G931" s="2">
        <v>86</v>
      </c>
      <c r="H931" t="str">
        <f>"JENNIFER LYNN SEGRAVES"</f>
        <v>JENNIFER LYNN SEGRAVES</v>
      </c>
    </row>
    <row r="932" spans="1:8" x14ac:dyDescent="0.25">
      <c r="A932" t="s">
        <v>268</v>
      </c>
      <c r="B932">
        <v>83934</v>
      </c>
      <c r="C932" s="2">
        <v>6</v>
      </c>
      <c r="D932" s="1">
        <v>43720</v>
      </c>
      <c r="E932" t="str">
        <f>"201909121698"</f>
        <v>201909121698</v>
      </c>
      <c r="F932" t="str">
        <f>"Miscellan"</f>
        <v>Miscellan</v>
      </c>
      <c r="G932" s="2">
        <v>6</v>
      </c>
      <c r="H932" t="str">
        <f>"KAREN LOUISE JONES"</f>
        <v>KAREN LOUISE JONES</v>
      </c>
    </row>
    <row r="933" spans="1:8" x14ac:dyDescent="0.25">
      <c r="A933" t="s">
        <v>269</v>
      </c>
      <c r="B933">
        <v>83935</v>
      </c>
      <c r="C933" s="2">
        <v>86</v>
      </c>
      <c r="D933" s="1">
        <v>43720</v>
      </c>
      <c r="E933" t="str">
        <f>"201909121699"</f>
        <v>201909121699</v>
      </c>
      <c r="F933" t="str">
        <f>"Miscell"</f>
        <v>Miscell</v>
      </c>
      <c r="G933" s="2">
        <v>86</v>
      </c>
      <c r="H933" t="str">
        <f>"LAURA KATHLEEN BAKER"</f>
        <v>LAURA KATHLEEN BAKER</v>
      </c>
    </row>
    <row r="934" spans="1:8" x14ac:dyDescent="0.25">
      <c r="A934" t="s">
        <v>270</v>
      </c>
      <c r="B934">
        <v>83936</v>
      </c>
      <c r="C934" s="2">
        <v>6</v>
      </c>
      <c r="D934" s="1">
        <v>43720</v>
      </c>
      <c r="E934" t="str">
        <f>"201909121700"</f>
        <v>201909121700</v>
      </c>
      <c r="F934" t="str">
        <f>"Miscellaneo"</f>
        <v>Miscellaneo</v>
      </c>
      <c r="G934" s="2">
        <v>6</v>
      </c>
      <c r="H934" t="str">
        <f>"FERMIN MOLINA JR"</f>
        <v>FERMIN MOLINA JR</v>
      </c>
    </row>
    <row r="935" spans="1:8" x14ac:dyDescent="0.25">
      <c r="A935" t="s">
        <v>271</v>
      </c>
      <c r="B935">
        <v>83937</v>
      </c>
      <c r="C935" s="2">
        <v>6</v>
      </c>
      <c r="D935" s="1">
        <v>43720</v>
      </c>
      <c r="E935" t="str">
        <f>"201909121701"</f>
        <v>201909121701</v>
      </c>
      <c r="F935" t="str">
        <f>"Miscellaneo"</f>
        <v>Miscellaneo</v>
      </c>
      <c r="G935" s="2">
        <v>6</v>
      </c>
      <c r="H935" t="str">
        <f>"JESSE MACHADO JR"</f>
        <v>JESSE MACHADO JR</v>
      </c>
    </row>
    <row r="936" spans="1:8" x14ac:dyDescent="0.25">
      <c r="A936" t="s">
        <v>272</v>
      </c>
      <c r="B936">
        <v>83938</v>
      </c>
      <c r="C936" s="2">
        <v>6</v>
      </c>
      <c r="D936" s="1">
        <v>43720</v>
      </c>
      <c r="E936" t="str">
        <f>"201909121702"</f>
        <v>201909121702</v>
      </c>
      <c r="F936" t="str">
        <f>""</f>
        <v/>
      </c>
      <c r="G936" s="2">
        <v>6</v>
      </c>
      <c r="H936" t="str">
        <f>"RAYMOND GUILLERMO DE LA CRUZ I"</f>
        <v>RAYMOND GUILLERMO DE LA CRUZ I</v>
      </c>
    </row>
    <row r="937" spans="1:8" x14ac:dyDescent="0.25">
      <c r="A937" t="s">
        <v>273</v>
      </c>
      <c r="B937">
        <v>83939</v>
      </c>
      <c r="C937" s="2">
        <v>86</v>
      </c>
      <c r="D937" s="1">
        <v>43720</v>
      </c>
      <c r="E937" t="str">
        <f>"201909121703"</f>
        <v>201909121703</v>
      </c>
      <c r="F937" t="str">
        <f>"Misc"</f>
        <v>Misc</v>
      </c>
      <c r="G937" s="2">
        <v>86</v>
      </c>
      <c r="H937" t="str">
        <f>"JESSE LAMAR CROWELL III"</f>
        <v>JESSE LAMAR CROWELL III</v>
      </c>
    </row>
    <row r="938" spans="1:8" x14ac:dyDescent="0.25">
      <c r="A938" t="s">
        <v>274</v>
      </c>
      <c r="B938">
        <v>83940</v>
      </c>
      <c r="C938" s="2">
        <v>6</v>
      </c>
      <c r="D938" s="1">
        <v>43720</v>
      </c>
      <c r="E938" t="str">
        <f>"201909121704"</f>
        <v>201909121704</v>
      </c>
      <c r="F938" t="str">
        <f>"Miscellaneous"</f>
        <v>Miscellaneous</v>
      </c>
      <c r="G938" s="2">
        <v>6</v>
      </c>
      <c r="H938" t="str">
        <f>"KENNETH W WOOD"</f>
        <v>KENNETH W WOOD</v>
      </c>
    </row>
    <row r="939" spans="1:8" x14ac:dyDescent="0.25">
      <c r="A939" t="s">
        <v>275</v>
      </c>
      <c r="B939">
        <v>83941</v>
      </c>
      <c r="C939" s="2">
        <v>6</v>
      </c>
      <c r="D939" s="1">
        <v>43720</v>
      </c>
      <c r="E939" t="str">
        <f>"201909121705"</f>
        <v>201909121705</v>
      </c>
      <c r="F939" t="str">
        <f>"Miscella"</f>
        <v>Miscella</v>
      </c>
      <c r="G939" s="2">
        <v>6</v>
      </c>
      <c r="H939" t="str">
        <f>"BRYAN WILLIAM NOVAK"</f>
        <v>BRYAN WILLIAM NOVAK</v>
      </c>
    </row>
    <row r="940" spans="1:8" x14ac:dyDescent="0.25">
      <c r="A940" t="s">
        <v>276</v>
      </c>
      <c r="B940">
        <v>83942</v>
      </c>
      <c r="C940" s="2">
        <v>86</v>
      </c>
      <c r="D940" s="1">
        <v>43720</v>
      </c>
      <c r="E940" t="str">
        <f>"201909121706"</f>
        <v>201909121706</v>
      </c>
      <c r="F940" t="str">
        <f>"Mis"</f>
        <v>Mis</v>
      </c>
      <c r="G940" s="2">
        <v>86</v>
      </c>
      <c r="H940" t="str">
        <f>"MATTHEW WAYNE POHORELSKY"</f>
        <v>MATTHEW WAYNE POHORELSKY</v>
      </c>
    </row>
    <row r="941" spans="1:8" x14ac:dyDescent="0.25">
      <c r="A941" t="s">
        <v>277</v>
      </c>
      <c r="B941">
        <v>83943</v>
      </c>
      <c r="C941" s="2">
        <v>6</v>
      </c>
      <c r="D941" s="1">
        <v>43720</v>
      </c>
      <c r="E941" t="str">
        <f>"201909121707"</f>
        <v>201909121707</v>
      </c>
      <c r="F941" t="str">
        <f>"Miscellaneou"</f>
        <v>Miscellaneou</v>
      </c>
      <c r="G941" s="2">
        <v>6</v>
      </c>
      <c r="H941" t="str">
        <f>"ABRIL A NEGRETE"</f>
        <v>ABRIL A NEGRETE</v>
      </c>
    </row>
    <row r="942" spans="1:8" x14ac:dyDescent="0.25">
      <c r="A942" t="s">
        <v>278</v>
      </c>
      <c r="B942">
        <v>83944</v>
      </c>
      <c r="C942" s="2">
        <v>6</v>
      </c>
      <c r="D942" s="1">
        <v>43720</v>
      </c>
      <c r="E942" t="str">
        <f>"201909121708"</f>
        <v>201909121708</v>
      </c>
      <c r="F942" t="str">
        <f>"Miscell"</f>
        <v>Miscell</v>
      </c>
      <c r="G942" s="2">
        <v>6</v>
      </c>
      <c r="H942" t="str">
        <f>"EMANUEL URIEL GODINA"</f>
        <v>EMANUEL URIEL GODINA</v>
      </c>
    </row>
    <row r="943" spans="1:8" x14ac:dyDescent="0.25">
      <c r="A943" t="s">
        <v>279</v>
      </c>
      <c r="B943">
        <v>83945</v>
      </c>
      <c r="C943" s="2">
        <v>6</v>
      </c>
      <c r="D943" s="1">
        <v>43720</v>
      </c>
      <c r="E943" t="str">
        <f>"201909121709"</f>
        <v>201909121709</v>
      </c>
      <c r="F943" t="str">
        <f>"Miscellaneous"</f>
        <v>Miscellaneous</v>
      </c>
      <c r="G943" s="2">
        <v>6</v>
      </c>
      <c r="H943" t="str">
        <f>"KENNY MAX FRED"</f>
        <v>KENNY MAX FRED</v>
      </c>
    </row>
    <row r="944" spans="1:8" x14ac:dyDescent="0.25">
      <c r="A944" t="s">
        <v>280</v>
      </c>
      <c r="B944">
        <v>83946</v>
      </c>
      <c r="C944" s="2">
        <v>86</v>
      </c>
      <c r="D944" s="1">
        <v>43720</v>
      </c>
      <c r="E944" t="str">
        <f>"201909121710"</f>
        <v>201909121710</v>
      </c>
      <c r="F944" t="str">
        <f>"Miscella"</f>
        <v>Miscella</v>
      </c>
      <c r="G944" s="2">
        <v>86</v>
      </c>
      <c r="H944" t="str">
        <f>"CHARLIE RAY MARLATT"</f>
        <v>CHARLIE RAY MARLATT</v>
      </c>
    </row>
    <row r="945" spans="1:8" x14ac:dyDescent="0.25">
      <c r="A945" t="s">
        <v>281</v>
      </c>
      <c r="B945">
        <v>83947</v>
      </c>
      <c r="C945" s="2">
        <v>86</v>
      </c>
      <c r="D945" s="1">
        <v>43720</v>
      </c>
      <c r="E945" t="str">
        <f>"201909121711"</f>
        <v>201909121711</v>
      </c>
      <c r="F945" t="str">
        <f>"Miscella"</f>
        <v>Miscella</v>
      </c>
      <c r="G945" s="2">
        <v>86</v>
      </c>
      <c r="H945" t="str">
        <f>"PHILLIP A PATTERSON"</f>
        <v>PHILLIP A PATTERSON</v>
      </c>
    </row>
    <row r="946" spans="1:8" x14ac:dyDescent="0.25">
      <c r="A946" t="s">
        <v>282</v>
      </c>
      <c r="B946">
        <v>83948</v>
      </c>
      <c r="C946" s="2">
        <v>86</v>
      </c>
      <c r="D946" s="1">
        <v>43720</v>
      </c>
      <c r="E946" t="str">
        <f>"201909121712"</f>
        <v>201909121712</v>
      </c>
      <c r="F946" t="str">
        <f>"Miscella"</f>
        <v>Miscella</v>
      </c>
      <c r="G946" s="2">
        <v>86</v>
      </c>
      <c r="H946" t="str">
        <f>"SUZANNE MARIE GUZIK"</f>
        <v>SUZANNE MARIE GUZIK</v>
      </c>
    </row>
    <row r="947" spans="1:8" x14ac:dyDescent="0.25">
      <c r="A947" t="s">
        <v>283</v>
      </c>
      <c r="B947">
        <v>83949</v>
      </c>
      <c r="C947" s="2">
        <v>6</v>
      </c>
      <c r="D947" s="1">
        <v>43720</v>
      </c>
      <c r="E947" t="str">
        <f>"201909121713"</f>
        <v>201909121713</v>
      </c>
      <c r="F947" t="str">
        <f>"Miscellane"</f>
        <v>Miscellane</v>
      </c>
      <c r="G947" s="2">
        <v>6</v>
      </c>
      <c r="H947" t="str">
        <f>"LINDA LEE SPENCER"</f>
        <v>LINDA LEE SPENCER</v>
      </c>
    </row>
    <row r="948" spans="1:8" x14ac:dyDescent="0.25">
      <c r="A948" t="s">
        <v>284</v>
      </c>
      <c r="B948">
        <v>83950</v>
      </c>
      <c r="C948" s="2">
        <v>6</v>
      </c>
      <c r="D948" s="1">
        <v>43720</v>
      </c>
      <c r="E948" t="str">
        <f>"201909121714"</f>
        <v>201909121714</v>
      </c>
      <c r="F948" t="str">
        <f>"Miscell"</f>
        <v>Miscell</v>
      </c>
      <c r="G948" s="2">
        <v>6</v>
      </c>
      <c r="H948" t="str">
        <f>"KENNETH WAYNE FARMER"</f>
        <v>KENNETH WAYNE FARMER</v>
      </c>
    </row>
    <row r="949" spans="1:8" x14ac:dyDescent="0.25">
      <c r="A949" t="s">
        <v>285</v>
      </c>
      <c r="B949">
        <v>83951</v>
      </c>
      <c r="C949" s="2">
        <v>6</v>
      </c>
      <c r="D949" s="1">
        <v>43720</v>
      </c>
      <c r="E949" t="str">
        <f>"201909121715"</f>
        <v>201909121715</v>
      </c>
      <c r="F949" t="str">
        <f>"Miscel"</f>
        <v>Miscel</v>
      </c>
      <c r="G949" s="2">
        <v>6</v>
      </c>
      <c r="H949" t="str">
        <f>"DAVID LESLIE CAMPBELL"</f>
        <v>DAVID LESLIE CAMPBELL</v>
      </c>
    </row>
    <row r="950" spans="1:8" x14ac:dyDescent="0.25">
      <c r="A950" t="s">
        <v>286</v>
      </c>
      <c r="B950">
        <v>83952</v>
      </c>
      <c r="C950" s="2">
        <v>6</v>
      </c>
      <c r="D950" s="1">
        <v>43720</v>
      </c>
      <c r="E950" t="str">
        <f>"201909121716"</f>
        <v>201909121716</v>
      </c>
      <c r="F950" t="str">
        <f>"Miscel"</f>
        <v>Miscel</v>
      </c>
      <c r="G950" s="2">
        <v>6</v>
      </c>
      <c r="H950" t="str">
        <f>"TYLER ANTHONY STARNES"</f>
        <v>TYLER ANTHONY STARNES</v>
      </c>
    </row>
    <row r="951" spans="1:8" x14ac:dyDescent="0.25">
      <c r="A951" t="s">
        <v>287</v>
      </c>
      <c r="B951">
        <v>83953</v>
      </c>
      <c r="C951" s="2">
        <v>6</v>
      </c>
      <c r="D951" s="1">
        <v>43720</v>
      </c>
      <c r="E951" t="str">
        <f>"201909121717"</f>
        <v>201909121717</v>
      </c>
      <c r="F951" t="str">
        <f>"Miscellane"</f>
        <v>Miscellane</v>
      </c>
      <c r="G951" s="2">
        <v>6</v>
      </c>
      <c r="H951" t="str">
        <f>"ROBERT WADE HEARD"</f>
        <v>ROBERT WADE HEARD</v>
      </c>
    </row>
    <row r="952" spans="1:8" x14ac:dyDescent="0.25">
      <c r="A952" t="s">
        <v>288</v>
      </c>
      <c r="B952">
        <v>83954</v>
      </c>
      <c r="C952" s="2">
        <v>6</v>
      </c>
      <c r="D952" s="1">
        <v>43720</v>
      </c>
      <c r="E952" t="str">
        <f>"201909121718"</f>
        <v>201909121718</v>
      </c>
      <c r="F952" t="str">
        <f>"Miscellane"</f>
        <v>Miscellane</v>
      </c>
      <c r="G952" s="2">
        <v>6</v>
      </c>
      <c r="H952" t="str">
        <f>"SHERRI LYNN SILVA"</f>
        <v>SHERRI LYNN SILVA</v>
      </c>
    </row>
    <row r="953" spans="1:8" x14ac:dyDescent="0.25">
      <c r="A953" t="s">
        <v>246</v>
      </c>
      <c r="B953">
        <v>83955</v>
      </c>
      <c r="C953" s="2">
        <v>18</v>
      </c>
      <c r="D953" s="1">
        <v>43725</v>
      </c>
      <c r="E953" t="str">
        <f>"201909171777"</f>
        <v>201909171777</v>
      </c>
      <c r="F953" t="str">
        <f>"M"</f>
        <v>M</v>
      </c>
      <c r="G953" s="2">
        <v>18</v>
      </c>
      <c r="H953" t="str">
        <f>"Children's Advocacy Center"</f>
        <v>Children's Advocacy Center</v>
      </c>
    </row>
    <row r="954" spans="1:8" x14ac:dyDescent="0.25">
      <c r="A954" t="s">
        <v>243</v>
      </c>
      <c r="B954">
        <v>83956</v>
      </c>
      <c r="C954" s="2">
        <v>12</v>
      </c>
      <c r="D954" s="1">
        <v>43725</v>
      </c>
      <c r="E954" t="str">
        <f>"201909171778"</f>
        <v>201909171778</v>
      </c>
      <c r="F954" t="str">
        <f>"Mi"</f>
        <v>Mi</v>
      </c>
      <c r="G954" s="2">
        <v>12</v>
      </c>
      <c r="H954" t="str">
        <f>"Child Protective Services"</f>
        <v>Child Protective Services</v>
      </c>
    </row>
    <row r="955" spans="1:8" x14ac:dyDescent="0.25">
      <c r="A955" t="s">
        <v>244</v>
      </c>
      <c r="B955">
        <v>83957</v>
      </c>
      <c r="C955" s="2">
        <v>12</v>
      </c>
      <c r="D955" s="1">
        <v>43725</v>
      </c>
      <c r="E955" t="str">
        <f>"201909171779"</f>
        <v>201909171779</v>
      </c>
      <c r="F955" t="str">
        <f>""</f>
        <v/>
      </c>
      <c r="G955" s="2">
        <v>12</v>
      </c>
      <c r="H955" t="str">
        <f>"COURT APPOINTED SPECIAL ADVOCA"</f>
        <v>COURT APPOINTED SPECIAL ADVOCA</v>
      </c>
    </row>
    <row r="956" spans="1:8" x14ac:dyDescent="0.25">
      <c r="A956" t="s">
        <v>245</v>
      </c>
      <c r="B956">
        <v>83958</v>
      </c>
      <c r="C956" s="2">
        <v>6</v>
      </c>
      <c r="D956" s="1">
        <v>43725</v>
      </c>
      <c r="E956" t="str">
        <f>"201909171780"</f>
        <v>201909171780</v>
      </c>
      <c r="F956" t="str">
        <f>"Miscell"</f>
        <v>Miscell</v>
      </c>
      <c r="G956" s="2">
        <v>6</v>
      </c>
      <c r="H956" t="str">
        <f>"Family Crisis Center"</f>
        <v>Family Crisis Center</v>
      </c>
    </row>
    <row r="957" spans="1:8" x14ac:dyDescent="0.25">
      <c r="A957" t="s">
        <v>289</v>
      </c>
      <c r="B957">
        <v>83959</v>
      </c>
      <c r="C957" s="2">
        <v>6</v>
      </c>
      <c r="D957" s="1">
        <v>43725</v>
      </c>
      <c r="E957" t="str">
        <f>"201909171781"</f>
        <v>201909171781</v>
      </c>
      <c r="F957" t="str">
        <f>"Miscell"</f>
        <v>Miscell</v>
      </c>
      <c r="G957" s="2">
        <v>6</v>
      </c>
      <c r="H957" t="str">
        <f>"JESUS DANIEL ALMARAZ"</f>
        <v>JESUS DANIEL ALMARAZ</v>
      </c>
    </row>
    <row r="958" spans="1:8" x14ac:dyDescent="0.25">
      <c r="A958" t="s">
        <v>290</v>
      </c>
      <c r="B958">
        <v>83960</v>
      </c>
      <c r="C958" s="2">
        <v>6</v>
      </c>
      <c r="D958" s="1">
        <v>43725</v>
      </c>
      <c r="E958" t="str">
        <f>"201909171782"</f>
        <v>201909171782</v>
      </c>
      <c r="F958" t="str">
        <f>"Miscell"</f>
        <v>Miscell</v>
      </c>
      <c r="G958" s="2">
        <v>6</v>
      </c>
      <c r="H958" t="str">
        <f>"JEREMY RICHARD FAVER"</f>
        <v>JEREMY RICHARD FAVER</v>
      </c>
    </row>
    <row r="959" spans="1:8" x14ac:dyDescent="0.25">
      <c r="A959" t="s">
        <v>291</v>
      </c>
      <c r="B959">
        <v>83961</v>
      </c>
      <c r="C959" s="2">
        <v>6</v>
      </c>
      <c r="D959" s="1">
        <v>43725</v>
      </c>
      <c r="E959" t="str">
        <f>"201909171783"</f>
        <v>201909171783</v>
      </c>
      <c r="F959" t="str">
        <f>"Miscella"</f>
        <v>Miscella</v>
      </c>
      <c r="G959" s="2">
        <v>6</v>
      </c>
      <c r="H959" t="str">
        <f>"MICHELLE ANN FIELDS"</f>
        <v>MICHELLE ANN FIELDS</v>
      </c>
    </row>
    <row r="960" spans="1:8" x14ac:dyDescent="0.25">
      <c r="A960" t="s">
        <v>292</v>
      </c>
      <c r="B960">
        <v>83962</v>
      </c>
      <c r="C960" s="2">
        <v>6</v>
      </c>
      <c r="D960" s="1">
        <v>43725</v>
      </c>
      <c r="E960" t="str">
        <f>"201909171784"</f>
        <v>201909171784</v>
      </c>
      <c r="F960" t="str">
        <f>"Misce"</f>
        <v>Misce</v>
      </c>
      <c r="G960" s="2">
        <v>6</v>
      </c>
      <c r="H960" t="str">
        <f>"PATTI ANN GELARDI-GAST"</f>
        <v>PATTI ANN GELARDI-GAST</v>
      </c>
    </row>
    <row r="961" spans="1:8" x14ac:dyDescent="0.25">
      <c r="A961" t="s">
        <v>293</v>
      </c>
      <c r="B961">
        <v>83963</v>
      </c>
      <c r="C961" s="2">
        <v>6</v>
      </c>
      <c r="D961" s="1">
        <v>43725</v>
      </c>
      <c r="E961" t="str">
        <f>"201909171785"</f>
        <v>201909171785</v>
      </c>
      <c r="F961" t="str">
        <f>"Miscellaneo"</f>
        <v>Miscellaneo</v>
      </c>
      <c r="G961" s="2">
        <v>6</v>
      </c>
      <c r="H961" t="str">
        <f>"DIANE ELANE HILL"</f>
        <v>DIANE ELANE HILL</v>
      </c>
    </row>
    <row r="962" spans="1:8" x14ac:dyDescent="0.25">
      <c r="A962" t="s">
        <v>294</v>
      </c>
      <c r="B962">
        <v>83964</v>
      </c>
      <c r="C962" s="2">
        <v>6</v>
      </c>
      <c r="D962" s="1">
        <v>43725</v>
      </c>
      <c r="E962" t="str">
        <f>"201909171786"</f>
        <v>201909171786</v>
      </c>
      <c r="F962" t="str">
        <f>"Miscellane"</f>
        <v>Miscellane</v>
      </c>
      <c r="G962" s="2">
        <v>6</v>
      </c>
      <c r="H962" t="str">
        <f>"NATHAN WARD HINDS"</f>
        <v>NATHAN WARD HINDS</v>
      </c>
    </row>
    <row r="963" spans="1:8" x14ac:dyDescent="0.25">
      <c r="A963" t="s">
        <v>295</v>
      </c>
      <c r="B963">
        <v>83965</v>
      </c>
      <c r="C963" s="2">
        <v>6</v>
      </c>
      <c r="D963" s="1">
        <v>43725</v>
      </c>
      <c r="E963" t="str">
        <f>"201909171787"</f>
        <v>201909171787</v>
      </c>
      <c r="F963" t="str">
        <f>"Miscel"</f>
        <v>Miscel</v>
      </c>
      <c r="G963" s="2">
        <v>6</v>
      </c>
      <c r="H963" t="str">
        <f>"SUMAI BARBARA LOKUMBE"</f>
        <v>SUMAI BARBARA LOKUMBE</v>
      </c>
    </row>
    <row r="964" spans="1:8" x14ac:dyDescent="0.25">
      <c r="A964" t="s">
        <v>296</v>
      </c>
      <c r="B964">
        <v>83966</v>
      </c>
      <c r="C964" s="2">
        <v>6</v>
      </c>
      <c r="D964" s="1">
        <v>43725</v>
      </c>
      <c r="E964" t="str">
        <f>"201909171788"</f>
        <v>201909171788</v>
      </c>
      <c r="F964" t="str">
        <f>"Miscellan"</f>
        <v>Miscellan</v>
      </c>
      <c r="G964" s="2">
        <v>6</v>
      </c>
      <c r="H964" t="str">
        <f>"DAVID DWANE MCNABB"</f>
        <v>DAVID DWANE MCNABB</v>
      </c>
    </row>
    <row r="965" spans="1:8" x14ac:dyDescent="0.25">
      <c r="A965" t="s">
        <v>297</v>
      </c>
      <c r="B965">
        <v>83967</v>
      </c>
      <c r="C965" s="2">
        <v>6</v>
      </c>
      <c r="D965" s="1">
        <v>43725</v>
      </c>
      <c r="E965" t="str">
        <f>"201909171789"</f>
        <v>201909171789</v>
      </c>
      <c r="F965" t="str">
        <f>"Miscel"</f>
        <v>Miscel</v>
      </c>
      <c r="G965" s="2">
        <v>6</v>
      </c>
      <c r="H965" t="str">
        <f>"MARTHA ANGELA MORALES"</f>
        <v>MARTHA ANGELA MORALES</v>
      </c>
    </row>
    <row r="966" spans="1:8" x14ac:dyDescent="0.25">
      <c r="A966" t="s">
        <v>298</v>
      </c>
      <c r="B966">
        <v>83968</v>
      </c>
      <c r="C966" s="2">
        <v>6</v>
      </c>
      <c r="D966" s="1">
        <v>43725</v>
      </c>
      <c r="E966" t="str">
        <f>"201909171790"</f>
        <v>201909171790</v>
      </c>
      <c r="F966" t="str">
        <f>"Miscellan"</f>
        <v>Miscellan</v>
      </c>
      <c r="G966" s="2">
        <v>6</v>
      </c>
      <c r="H966" t="str">
        <f>"JORDAN JOSEPH VANN"</f>
        <v>JORDAN JOSEPH VANN</v>
      </c>
    </row>
    <row r="967" spans="1:8" x14ac:dyDescent="0.25">
      <c r="A967" t="s">
        <v>299</v>
      </c>
      <c r="B967">
        <v>83837</v>
      </c>
      <c r="C967" s="2">
        <v>167.46</v>
      </c>
      <c r="D967" s="1">
        <v>43717</v>
      </c>
      <c r="E967" t="str">
        <f>"8412"</f>
        <v>8412</v>
      </c>
      <c r="F967" t="str">
        <f>"DUMPSTER RENTAL/PROC FEE"</f>
        <v>DUMPSTER RENTAL/PROC FEE</v>
      </c>
      <c r="G967" s="2">
        <v>167.46</v>
      </c>
      <c r="H967" t="str">
        <f>"DUMPSTER RENTAL/PROC FEE"</f>
        <v>DUMPSTER RENTAL/PROC FEE</v>
      </c>
    </row>
    <row r="968" spans="1:8" x14ac:dyDescent="0.25">
      <c r="A968" t="s">
        <v>300</v>
      </c>
      <c r="B968">
        <v>84071</v>
      </c>
      <c r="C968" s="2">
        <v>50</v>
      </c>
      <c r="D968" s="1">
        <v>43731</v>
      </c>
      <c r="E968" t="str">
        <f>"201909181908"</f>
        <v>201909181908</v>
      </c>
      <c r="F968" t="str">
        <f>"PER DIEM"</f>
        <v>PER DIEM</v>
      </c>
      <c r="G968" s="2">
        <v>50</v>
      </c>
      <c r="H968" t="str">
        <f>"PER DIEM"</f>
        <v>PER DIEM</v>
      </c>
    </row>
    <row r="969" spans="1:8" x14ac:dyDescent="0.25">
      <c r="A969" t="s">
        <v>301</v>
      </c>
      <c r="B969">
        <v>83838</v>
      </c>
      <c r="C969" s="2">
        <v>150</v>
      </c>
      <c r="D969" s="1">
        <v>43717</v>
      </c>
      <c r="E969" t="str">
        <f>"13124"</f>
        <v>13124</v>
      </c>
      <c r="F969" t="str">
        <f>"SERVICE"</f>
        <v>SERVICE</v>
      </c>
      <c r="G969" s="2">
        <v>150</v>
      </c>
      <c r="H969" t="str">
        <f>"SERVICE"</f>
        <v>SERVICE</v>
      </c>
    </row>
    <row r="970" spans="1:8" x14ac:dyDescent="0.25">
      <c r="A970" t="s">
        <v>302</v>
      </c>
      <c r="B970">
        <v>83839</v>
      </c>
      <c r="C970" s="2">
        <v>4315.5</v>
      </c>
      <c r="D970" s="1">
        <v>43717</v>
      </c>
      <c r="E970" t="str">
        <f>"201908281313"</f>
        <v>201908281313</v>
      </c>
      <c r="F970" t="str">
        <f>"11-14658"</f>
        <v>11-14658</v>
      </c>
      <c r="G970" s="2">
        <v>4315.5</v>
      </c>
      <c r="H970" t="str">
        <f>"11-14658"</f>
        <v>11-14658</v>
      </c>
    </row>
    <row r="971" spans="1:8" x14ac:dyDescent="0.25">
      <c r="A971" t="s">
        <v>303</v>
      </c>
      <c r="B971">
        <v>83840</v>
      </c>
      <c r="C971" s="2">
        <v>489.56</v>
      </c>
      <c r="D971" s="1">
        <v>43717</v>
      </c>
      <c r="E971" t="str">
        <f>"S106860992.001"</f>
        <v>S106860992.001</v>
      </c>
      <c r="F971" t="str">
        <f>"INV S106860992.001"</f>
        <v>INV S106860992.001</v>
      </c>
      <c r="G971" s="2">
        <v>489.56</v>
      </c>
      <c r="H971" t="str">
        <f>"INV S106860992.001"</f>
        <v>INV S106860992.001</v>
      </c>
    </row>
    <row r="972" spans="1:8" x14ac:dyDescent="0.25">
      <c r="A972" t="s">
        <v>304</v>
      </c>
      <c r="B972">
        <v>84072</v>
      </c>
      <c r="C972" s="2">
        <v>20769.349999999999</v>
      </c>
      <c r="D972" s="1">
        <v>43731</v>
      </c>
      <c r="E972" t="str">
        <f>"8230232884"</f>
        <v>8230232884</v>
      </c>
      <c r="F972" t="str">
        <f>"ACCT#1036215277/RADIO SVC AGRE"</f>
        <v>ACCT#1036215277/RADIO SVC AGRE</v>
      </c>
      <c r="G972" s="2">
        <v>20769.349999999999</v>
      </c>
      <c r="H972" t="str">
        <f>"ACCT#1036215277/RADIO SVC AGRE"</f>
        <v>ACCT#1036215277/RADIO SVC AGRE</v>
      </c>
    </row>
    <row r="973" spans="1:8" x14ac:dyDescent="0.25">
      <c r="A973" t="s">
        <v>305</v>
      </c>
      <c r="B973">
        <v>84073</v>
      </c>
      <c r="C973" s="2">
        <v>902.95</v>
      </c>
      <c r="D973" s="1">
        <v>43731</v>
      </c>
      <c r="E973" t="str">
        <f>"86725616"</f>
        <v>86725616</v>
      </c>
      <c r="F973" t="str">
        <f>"ACCT#150344157/WATER TREATMENT"</f>
        <v>ACCT#150344157/WATER TREATMENT</v>
      </c>
      <c r="G973" s="2">
        <v>902.95</v>
      </c>
      <c r="H973" t="str">
        <f>"ACCT#150344157/WATER TREATMENT"</f>
        <v>ACCT#150344157/WATER TREATMENT</v>
      </c>
    </row>
    <row r="974" spans="1:8" x14ac:dyDescent="0.25">
      <c r="A974" t="s">
        <v>306</v>
      </c>
      <c r="B974">
        <v>83841</v>
      </c>
      <c r="C974" s="2">
        <v>1525</v>
      </c>
      <c r="D974" s="1">
        <v>43717</v>
      </c>
      <c r="E974" t="str">
        <f>"201909031410"</f>
        <v>201909031410</v>
      </c>
      <c r="F974" t="str">
        <f>"JOB 8-28-19-01"</f>
        <v>JOB 8-28-19-01</v>
      </c>
      <c r="G974" s="2">
        <v>462.5</v>
      </c>
      <c r="H974" t="str">
        <f>"JOB 8-28-19-01"</f>
        <v>JOB 8-28-19-01</v>
      </c>
    </row>
    <row r="975" spans="1:8" x14ac:dyDescent="0.25">
      <c r="E975" t="str">
        <f>"201909031411"</f>
        <v>201909031411</v>
      </c>
      <c r="F975" t="str">
        <f>"JOB 8-23-19-01"</f>
        <v>JOB 8-23-19-01</v>
      </c>
      <c r="G975" s="2">
        <v>722.5</v>
      </c>
      <c r="H975" t="str">
        <f>"JOB 8-23-19-01"</f>
        <v>JOB 8-23-19-01</v>
      </c>
    </row>
    <row r="976" spans="1:8" x14ac:dyDescent="0.25">
      <c r="E976" t="str">
        <f>"201909031412"</f>
        <v>201909031412</v>
      </c>
      <c r="F976" t="str">
        <f>"JOB 8-16-19-02"</f>
        <v>JOB 8-16-19-02</v>
      </c>
      <c r="G976" s="2">
        <v>340</v>
      </c>
      <c r="H976" t="str">
        <f>"JOB 8-16-19-02"</f>
        <v>JOB 8-16-19-02</v>
      </c>
    </row>
    <row r="977" spans="1:8" x14ac:dyDescent="0.25">
      <c r="A977" t="s">
        <v>306</v>
      </c>
      <c r="B977">
        <v>84074</v>
      </c>
      <c r="C977" s="2">
        <v>1020</v>
      </c>
      <c r="D977" s="1">
        <v>43731</v>
      </c>
      <c r="E977" t="str">
        <f>"JOB 9-13-19-01"</f>
        <v>JOB 9-13-19-01</v>
      </c>
      <c r="F977" t="str">
        <f>"JOB 9-13-19-01"</f>
        <v>JOB 9-13-19-01</v>
      </c>
      <c r="G977" s="2">
        <v>212.5</v>
      </c>
      <c r="H977" t="str">
        <f>"JOB 9-13-19-01"</f>
        <v>JOB 9-13-19-01</v>
      </c>
    </row>
    <row r="978" spans="1:8" x14ac:dyDescent="0.25">
      <c r="E978" t="str">
        <f>"JOB 9-3-19-02"</f>
        <v>JOB 9-3-19-02</v>
      </c>
      <c r="F978" t="str">
        <f>"JOB 9-3-19-02"</f>
        <v>JOB 9-3-19-02</v>
      </c>
      <c r="G978" s="2">
        <v>510</v>
      </c>
      <c r="H978" t="str">
        <f>"JOB 9-3-19-02"</f>
        <v>JOB 9-3-19-02</v>
      </c>
    </row>
    <row r="979" spans="1:8" x14ac:dyDescent="0.25">
      <c r="E979" t="str">
        <f>"JOB 9-6-19-02"</f>
        <v>JOB 9-6-19-02</v>
      </c>
      <c r="F979" t="str">
        <f>"JOB 9-6-19-02"</f>
        <v>JOB 9-6-19-02</v>
      </c>
      <c r="G979" s="2">
        <v>297.5</v>
      </c>
      <c r="H979" t="str">
        <f>"JOB 9-6-19-02"</f>
        <v>JOB 9-6-19-02</v>
      </c>
    </row>
    <row r="980" spans="1:8" x14ac:dyDescent="0.25">
      <c r="A980" t="s">
        <v>307</v>
      </c>
      <c r="B980">
        <v>1294</v>
      </c>
      <c r="C980" s="2">
        <v>2351.0100000000002</v>
      </c>
      <c r="D980" s="1">
        <v>43718</v>
      </c>
      <c r="E980" t="str">
        <f>"IN0827749"</f>
        <v>IN0827749</v>
      </c>
      <c r="F980" t="str">
        <f>"INV IN0827749"</f>
        <v>INV IN0827749</v>
      </c>
      <c r="G980" s="2">
        <v>2351.0100000000002</v>
      </c>
      <c r="H980" t="str">
        <f>"INV IN0827749"</f>
        <v>INV IN0827749</v>
      </c>
    </row>
    <row r="981" spans="1:8" x14ac:dyDescent="0.25">
      <c r="A981" t="s">
        <v>307</v>
      </c>
      <c r="B981">
        <v>1367</v>
      </c>
      <c r="C981" s="2">
        <v>1764</v>
      </c>
      <c r="D981" s="1">
        <v>43732</v>
      </c>
      <c r="E981" t="str">
        <f>"IN0828407"</f>
        <v>IN0828407</v>
      </c>
      <c r="F981" t="str">
        <f>"INV IN0828407"</f>
        <v>INV IN0828407</v>
      </c>
      <c r="G981" s="2">
        <v>1764</v>
      </c>
      <c r="H981" t="str">
        <f>"INV IN0828407"</f>
        <v>INV IN0828407</v>
      </c>
    </row>
    <row r="982" spans="1:8" x14ac:dyDescent="0.25">
      <c r="A982" t="s">
        <v>308</v>
      </c>
      <c r="B982">
        <v>84075</v>
      </c>
      <c r="C982" s="2">
        <v>395</v>
      </c>
      <c r="D982" s="1">
        <v>43731</v>
      </c>
      <c r="E982" t="str">
        <f>"I11597"</f>
        <v>I11597</v>
      </c>
      <c r="F982" t="str">
        <f>"PageGate Priority Support"</f>
        <v>PageGate Priority Support</v>
      </c>
      <c r="G982" s="2">
        <v>395</v>
      </c>
      <c r="H982" t="str">
        <f>"PageGate Priority Support"</f>
        <v>PageGate Priority Support</v>
      </c>
    </row>
    <row r="983" spans="1:8" x14ac:dyDescent="0.25">
      <c r="A983" t="s">
        <v>309</v>
      </c>
      <c r="B983">
        <v>1351</v>
      </c>
      <c r="C983" s="2">
        <v>82.38</v>
      </c>
      <c r="D983" s="1">
        <v>43718</v>
      </c>
      <c r="E983" t="str">
        <f>"201909041452"</f>
        <v>201909041452</v>
      </c>
      <c r="F983" t="str">
        <f>"CUST#99088/PCT#4"</f>
        <v>CUST#99088/PCT#4</v>
      </c>
      <c r="G983" s="2">
        <v>82.38</v>
      </c>
      <c r="H983" t="str">
        <f>"CUST#99088/PCT#4"</f>
        <v>CUST#99088/PCT#4</v>
      </c>
    </row>
    <row r="984" spans="1:8" x14ac:dyDescent="0.25">
      <c r="A984" t="s">
        <v>309</v>
      </c>
      <c r="B984">
        <v>1428</v>
      </c>
      <c r="C984" s="2">
        <v>3.99</v>
      </c>
      <c r="D984" s="1">
        <v>43732</v>
      </c>
      <c r="E984" t="str">
        <f>"0581-491018"</f>
        <v>0581-491018</v>
      </c>
      <c r="F984" t="str">
        <f>"INV 0581-491018"</f>
        <v>INV 0581-491018</v>
      </c>
      <c r="G984" s="2">
        <v>3.99</v>
      </c>
      <c r="H984" t="str">
        <f>"INV 0581-491018"</f>
        <v>INV 0581-491018</v>
      </c>
    </row>
    <row r="985" spans="1:8" x14ac:dyDescent="0.25">
      <c r="A985" t="s">
        <v>310</v>
      </c>
      <c r="B985">
        <v>83842</v>
      </c>
      <c r="C985" s="2">
        <v>945.88</v>
      </c>
      <c r="D985" s="1">
        <v>43717</v>
      </c>
      <c r="E985" t="str">
        <f>"1723453  1716714"</f>
        <v>1723453  1716714</v>
      </c>
      <c r="F985" t="str">
        <f>"INV 1716714"</f>
        <v>INV 1716714</v>
      </c>
      <c r="G985" s="2">
        <v>945.88</v>
      </c>
      <c r="H985" t="str">
        <f>"INV 1723453"</f>
        <v>INV 1723453</v>
      </c>
    </row>
    <row r="986" spans="1:8" x14ac:dyDescent="0.25">
      <c r="E986" t="str">
        <f>""</f>
        <v/>
      </c>
      <c r="F986" t="str">
        <f>""</f>
        <v/>
      </c>
      <c r="H986" t="str">
        <f>"INV 1716714"</f>
        <v>INV 1716714</v>
      </c>
    </row>
    <row r="987" spans="1:8" x14ac:dyDescent="0.25">
      <c r="A987" t="s">
        <v>310</v>
      </c>
      <c r="B987">
        <v>84076</v>
      </c>
      <c r="C987" s="2">
        <v>854.93</v>
      </c>
      <c r="D987" s="1">
        <v>43731</v>
      </c>
      <c r="E987" t="str">
        <f>"1729798 1736804"</f>
        <v>1729798 1736804</v>
      </c>
      <c r="F987" t="str">
        <f>"INV 1729798"</f>
        <v>INV 1729798</v>
      </c>
      <c r="G987" s="2">
        <v>854.93</v>
      </c>
      <c r="H987" t="str">
        <f>"INV 1729798"</f>
        <v>INV 1729798</v>
      </c>
    </row>
    <row r="988" spans="1:8" x14ac:dyDescent="0.25">
      <c r="E988" t="str">
        <f>""</f>
        <v/>
      </c>
      <c r="F988" t="str">
        <f>""</f>
        <v/>
      </c>
      <c r="H988" t="str">
        <f>"INV 1736804"</f>
        <v>INV 1736804</v>
      </c>
    </row>
    <row r="989" spans="1:8" x14ac:dyDescent="0.25">
      <c r="A989" t="s">
        <v>311</v>
      </c>
      <c r="B989">
        <v>84077</v>
      </c>
      <c r="C989" s="2">
        <v>2415.21</v>
      </c>
      <c r="D989" s="1">
        <v>43731</v>
      </c>
      <c r="E989" t="str">
        <f>"12418108"</f>
        <v>12418108</v>
      </c>
      <c r="F989" t="str">
        <f>"Bill# 12418108"</f>
        <v>Bill# 12418108</v>
      </c>
      <c r="G989" s="2">
        <v>2415.21</v>
      </c>
      <c r="H989" t="str">
        <f>"Ord# 371442002001"</f>
        <v>Ord# 371442002001</v>
      </c>
    </row>
    <row r="990" spans="1:8" x14ac:dyDescent="0.25">
      <c r="E990" t="str">
        <f>""</f>
        <v/>
      </c>
      <c r="F990" t="str">
        <f>""</f>
        <v/>
      </c>
      <c r="H990" t="str">
        <f>"Ord# 371444214001"</f>
        <v>Ord# 371444214001</v>
      </c>
    </row>
    <row r="991" spans="1:8" x14ac:dyDescent="0.25">
      <c r="E991" t="str">
        <f>""</f>
        <v/>
      </c>
      <c r="F991" t="str">
        <f>""</f>
        <v/>
      </c>
      <c r="H991" t="str">
        <f>"Ord# 369971581001"</f>
        <v>Ord# 369971581001</v>
      </c>
    </row>
    <row r="992" spans="1:8" x14ac:dyDescent="0.25">
      <c r="E992" t="str">
        <f>""</f>
        <v/>
      </c>
      <c r="F992" t="str">
        <f>""</f>
        <v/>
      </c>
      <c r="H992" t="str">
        <f>"Ord# 371398254001"</f>
        <v>Ord# 371398254001</v>
      </c>
    </row>
    <row r="993" spans="1:8" x14ac:dyDescent="0.25">
      <c r="E993" t="str">
        <f>""</f>
        <v/>
      </c>
      <c r="F993" t="str">
        <f>""</f>
        <v/>
      </c>
      <c r="H993" t="str">
        <f>"Ord# 365914156001"</f>
        <v>Ord# 365914156001</v>
      </c>
    </row>
    <row r="994" spans="1:8" x14ac:dyDescent="0.25">
      <c r="E994" t="str">
        <f>""</f>
        <v/>
      </c>
      <c r="F994" t="str">
        <f>""</f>
        <v/>
      </c>
      <c r="H994" t="str">
        <f>"Ord# 371393454001"</f>
        <v>Ord# 371393454001</v>
      </c>
    </row>
    <row r="995" spans="1:8" x14ac:dyDescent="0.25">
      <c r="E995" t="str">
        <f>""</f>
        <v/>
      </c>
      <c r="F995" t="str">
        <f>""</f>
        <v/>
      </c>
      <c r="H995" t="str">
        <f>"Ord# 371394026001"</f>
        <v>Ord# 371394026001</v>
      </c>
    </row>
    <row r="996" spans="1:8" x14ac:dyDescent="0.25">
      <c r="E996" t="str">
        <f>""</f>
        <v/>
      </c>
      <c r="F996" t="str">
        <f>""</f>
        <v/>
      </c>
      <c r="H996" t="str">
        <f>"Ord# 371628135001"</f>
        <v>Ord# 371628135001</v>
      </c>
    </row>
    <row r="997" spans="1:8" x14ac:dyDescent="0.25">
      <c r="E997" t="str">
        <f>""</f>
        <v/>
      </c>
      <c r="F997" t="str">
        <f>""</f>
        <v/>
      </c>
      <c r="H997" t="str">
        <f>"Ord# 367195184001"</f>
        <v>Ord# 367195184001</v>
      </c>
    </row>
    <row r="998" spans="1:8" x14ac:dyDescent="0.25">
      <c r="E998" t="str">
        <f>""</f>
        <v/>
      </c>
      <c r="F998" t="str">
        <f>""</f>
        <v/>
      </c>
      <c r="H998" t="str">
        <f>"Ord# 367224812001"</f>
        <v>Ord# 367224812001</v>
      </c>
    </row>
    <row r="999" spans="1:8" x14ac:dyDescent="0.25">
      <c r="E999" t="str">
        <f>""</f>
        <v/>
      </c>
      <c r="F999" t="str">
        <f>""</f>
        <v/>
      </c>
      <c r="H999" t="str">
        <f>"Ord# 364331941001"</f>
        <v>Ord# 364331941001</v>
      </c>
    </row>
    <row r="1000" spans="1:8" x14ac:dyDescent="0.25">
      <c r="E1000" t="str">
        <f>""</f>
        <v/>
      </c>
      <c r="F1000" t="str">
        <f>""</f>
        <v/>
      </c>
      <c r="H1000" t="str">
        <f>"Ord# 373206000001"</f>
        <v>Ord# 373206000001</v>
      </c>
    </row>
    <row r="1001" spans="1:8" x14ac:dyDescent="0.25">
      <c r="E1001" t="str">
        <f>""</f>
        <v/>
      </c>
      <c r="F1001" t="str">
        <f>""</f>
        <v/>
      </c>
      <c r="H1001" t="str">
        <f>"Ord# 368090157001"</f>
        <v>Ord# 368090157001</v>
      </c>
    </row>
    <row r="1002" spans="1:8" x14ac:dyDescent="0.25">
      <c r="E1002" t="str">
        <f>""</f>
        <v/>
      </c>
      <c r="F1002" t="str">
        <f>""</f>
        <v/>
      </c>
      <c r="H1002" t="str">
        <f>"Ord# 36826258001"</f>
        <v>Ord# 36826258001</v>
      </c>
    </row>
    <row r="1003" spans="1:8" x14ac:dyDescent="0.25">
      <c r="E1003" t="str">
        <f>""</f>
        <v/>
      </c>
      <c r="F1003" t="str">
        <f>""</f>
        <v/>
      </c>
      <c r="H1003" t="str">
        <f>"Ord# 368263929001"</f>
        <v>Ord# 368263929001</v>
      </c>
    </row>
    <row r="1004" spans="1:8" x14ac:dyDescent="0.25">
      <c r="E1004" t="str">
        <f>""</f>
        <v/>
      </c>
      <c r="F1004" t="str">
        <f>""</f>
        <v/>
      </c>
      <c r="H1004" t="str">
        <f>"Ord# 368263930001"</f>
        <v>Ord# 368263930001</v>
      </c>
    </row>
    <row r="1005" spans="1:8" x14ac:dyDescent="0.25">
      <c r="E1005" t="str">
        <f>""</f>
        <v/>
      </c>
      <c r="F1005" t="str">
        <f>""</f>
        <v/>
      </c>
      <c r="H1005" t="str">
        <f>"Ord# 369969765001"</f>
        <v>Ord# 369969765001</v>
      </c>
    </row>
    <row r="1006" spans="1:8" x14ac:dyDescent="0.25">
      <c r="A1006" t="s">
        <v>312</v>
      </c>
      <c r="B1006">
        <v>83843</v>
      </c>
      <c r="C1006" s="2">
        <v>859.05</v>
      </c>
      <c r="D1006" s="1">
        <v>43717</v>
      </c>
      <c r="E1006" t="str">
        <f>"201909031418"</f>
        <v>201909031418</v>
      </c>
      <c r="F1006" t="str">
        <f>"LODGING"</f>
        <v>LODGING</v>
      </c>
      <c r="G1006" s="2">
        <v>859.05</v>
      </c>
      <c r="H1006" t="str">
        <f>"LODGING"</f>
        <v>LODGING</v>
      </c>
    </row>
    <row r="1007" spans="1:8" x14ac:dyDescent="0.25">
      <c r="A1007" t="s">
        <v>313</v>
      </c>
      <c r="B1007">
        <v>84078</v>
      </c>
      <c r="C1007" s="2">
        <v>570</v>
      </c>
      <c r="D1007" s="1">
        <v>43731</v>
      </c>
      <c r="E1007" t="str">
        <f>"286110"</f>
        <v>286110</v>
      </c>
      <c r="F1007" t="str">
        <f>"CUST ID:BASCOU/DRUG SCREEN"</f>
        <v>CUST ID:BASCOU/DRUG SCREEN</v>
      </c>
      <c r="G1007" s="2">
        <v>570</v>
      </c>
      <c r="H1007" t="str">
        <f>"CUST ID:BASCOU/DRUG SCREEN"</f>
        <v>CUST ID:BASCOU/DRUG SCREEN</v>
      </c>
    </row>
    <row r="1008" spans="1:8" x14ac:dyDescent="0.25">
      <c r="E1008" t="str">
        <f>""</f>
        <v/>
      </c>
      <c r="F1008" t="str">
        <f>""</f>
        <v/>
      </c>
      <c r="H1008" t="str">
        <f>"CUST ID:BASCOU/DRUG SCREEN"</f>
        <v>CUST ID:BASCOU/DRUG SCREEN</v>
      </c>
    </row>
    <row r="1009" spans="1:8" x14ac:dyDescent="0.25">
      <c r="E1009" t="str">
        <f>""</f>
        <v/>
      </c>
      <c r="F1009" t="str">
        <f>""</f>
        <v/>
      </c>
      <c r="H1009" t="str">
        <f>"CUST ID:BASCOU/DRUG SCREEN"</f>
        <v>CUST ID:BASCOU/DRUG SCREEN</v>
      </c>
    </row>
    <row r="1010" spans="1:8" x14ac:dyDescent="0.25">
      <c r="E1010" t="str">
        <f>""</f>
        <v/>
      </c>
      <c r="F1010" t="str">
        <f>""</f>
        <v/>
      </c>
      <c r="H1010" t="str">
        <f>"CUST ID:BASCOU/DRUG SCREEN"</f>
        <v>CUST ID:BASCOU/DRUG SCREEN</v>
      </c>
    </row>
    <row r="1011" spans="1:8" x14ac:dyDescent="0.25">
      <c r="E1011" t="str">
        <f>""</f>
        <v/>
      </c>
      <c r="F1011" t="str">
        <f>""</f>
        <v/>
      </c>
      <c r="H1011" t="str">
        <f>"CUST ID:BASCOU/DRUG SCREEN"</f>
        <v>CUST ID:BASCOU/DRUG SCREEN</v>
      </c>
    </row>
    <row r="1012" spans="1:8" x14ac:dyDescent="0.25">
      <c r="A1012" t="s">
        <v>314</v>
      </c>
      <c r="B1012">
        <v>83844</v>
      </c>
      <c r="C1012" s="2">
        <v>1433.75</v>
      </c>
      <c r="D1012" s="1">
        <v>43717</v>
      </c>
      <c r="E1012" t="str">
        <f>"215"</f>
        <v>215</v>
      </c>
      <c r="F1012" t="str">
        <f>"PLUMBING SVCS/601 COOL WATER"</f>
        <v>PLUMBING SVCS/601 COOL WATER</v>
      </c>
      <c r="G1012" s="2">
        <v>1433.75</v>
      </c>
      <c r="H1012" t="str">
        <f>"PLUMBING SVCS/601 COOL WATER"</f>
        <v>PLUMBING SVCS/601 COOL WATER</v>
      </c>
    </row>
    <row r="1013" spans="1:8" x14ac:dyDescent="0.25">
      <c r="A1013" t="s">
        <v>314</v>
      </c>
      <c r="B1013">
        <v>84079</v>
      </c>
      <c r="C1013" s="2">
        <v>810</v>
      </c>
      <c r="D1013" s="1">
        <v>43731</v>
      </c>
      <c r="E1013" t="str">
        <f>"19348"</f>
        <v>19348</v>
      </c>
      <c r="F1013" t="str">
        <f>"PLUMBING SVCS-HIST COURTHOUSE"</f>
        <v>PLUMBING SVCS-HIST COURTHOUSE</v>
      </c>
      <c r="G1013" s="2">
        <v>810</v>
      </c>
      <c r="H1013" t="str">
        <f>"PLUMBING SVCS-HIST COURTHOUSE"</f>
        <v>PLUMBING SVCS-HIST COURTHOUSE</v>
      </c>
    </row>
    <row r="1014" spans="1:8" x14ac:dyDescent="0.25">
      <c r="A1014" t="s">
        <v>315</v>
      </c>
      <c r="B1014">
        <v>84080</v>
      </c>
      <c r="C1014" s="2">
        <v>445.5</v>
      </c>
      <c r="D1014" s="1">
        <v>43731</v>
      </c>
      <c r="E1014" t="str">
        <f>"269220"</f>
        <v>269220</v>
      </c>
      <c r="F1014" t="str">
        <f>"Sign Shop Signs"</f>
        <v>Sign Shop Signs</v>
      </c>
      <c r="G1014" s="2">
        <v>445.5</v>
      </c>
      <c r="H1014" t="str">
        <f>"36x50 Blk YD 3M"</f>
        <v>36x50 Blk YD 3M</v>
      </c>
    </row>
    <row r="1015" spans="1:8" x14ac:dyDescent="0.25">
      <c r="A1015" t="s">
        <v>316</v>
      </c>
      <c r="B1015">
        <v>83845</v>
      </c>
      <c r="C1015" s="2">
        <v>52.5</v>
      </c>
      <c r="D1015" s="1">
        <v>43717</v>
      </c>
      <c r="E1015" t="str">
        <f>"56054"</f>
        <v>56054</v>
      </c>
      <c r="F1015" t="str">
        <f>"INV 56054"</f>
        <v>INV 56054</v>
      </c>
      <c r="G1015" s="2">
        <v>52.5</v>
      </c>
      <c r="H1015" t="str">
        <f>"INV 56054"</f>
        <v>INV 56054</v>
      </c>
    </row>
    <row r="1016" spans="1:8" x14ac:dyDescent="0.25">
      <c r="A1016" t="s">
        <v>317</v>
      </c>
      <c r="B1016">
        <v>84081</v>
      </c>
      <c r="C1016" s="2">
        <v>6330.06</v>
      </c>
      <c r="D1016" s="1">
        <v>43731</v>
      </c>
      <c r="E1016" t="str">
        <f>"600799 603107"</f>
        <v>600799 603107</v>
      </c>
      <c r="F1016" t="str">
        <f>"ORDER #600799"</f>
        <v>ORDER #600799</v>
      </c>
      <c r="G1016" s="2">
        <v>6330.06</v>
      </c>
      <c r="H1016" t="str">
        <f>"ORDER #600799"</f>
        <v>ORDER #600799</v>
      </c>
    </row>
    <row r="1017" spans="1:8" x14ac:dyDescent="0.25">
      <c r="E1017" t="str">
        <f>""</f>
        <v/>
      </c>
      <c r="F1017" t="str">
        <f>""</f>
        <v/>
      </c>
      <c r="H1017" t="str">
        <f>"ORDER #603107"</f>
        <v>ORDER #603107</v>
      </c>
    </row>
    <row r="1018" spans="1:8" x14ac:dyDescent="0.25">
      <c r="E1018" t="str">
        <f>""</f>
        <v/>
      </c>
      <c r="F1018" t="str">
        <f>""</f>
        <v/>
      </c>
      <c r="H1018" t="str">
        <f>"ORDER #600799"</f>
        <v>ORDER #600799</v>
      </c>
    </row>
    <row r="1019" spans="1:8" x14ac:dyDescent="0.25">
      <c r="A1019" t="s">
        <v>318</v>
      </c>
      <c r="B1019">
        <v>83846</v>
      </c>
      <c r="C1019" s="2">
        <v>17410.349999999999</v>
      </c>
      <c r="D1019" s="1">
        <v>43717</v>
      </c>
      <c r="E1019" t="str">
        <f>"19352"</f>
        <v>19352</v>
      </c>
      <c r="F1019" t="str">
        <f>"NO BLEED CHIP SEAL/PCT#2"</f>
        <v>NO BLEED CHIP SEAL/PCT#2</v>
      </c>
      <c r="G1019" s="2">
        <v>17410.349999999999</v>
      </c>
      <c r="H1019" t="str">
        <f>"NO BLEED CHIP SEAL/PCT#2"</f>
        <v>NO BLEED CHIP SEAL/PCT#2</v>
      </c>
    </row>
    <row r="1020" spans="1:8" x14ac:dyDescent="0.25">
      <c r="A1020" t="s">
        <v>318</v>
      </c>
      <c r="B1020">
        <v>84082</v>
      </c>
      <c r="C1020" s="2">
        <v>16639.53</v>
      </c>
      <c r="D1020" s="1">
        <v>43731</v>
      </c>
      <c r="E1020" t="str">
        <f>"19396"</f>
        <v>19396</v>
      </c>
      <c r="F1020" t="str">
        <f>"CWE-2 NO BLEED CHIP SEAL/PCT#2"</f>
        <v>CWE-2 NO BLEED CHIP SEAL/PCT#2</v>
      </c>
      <c r="G1020" s="2">
        <v>16639.53</v>
      </c>
      <c r="H1020" t="str">
        <f>"CWE-2 NO BLEED CHIP SEAL/PCT#2"</f>
        <v>CWE-2 NO BLEED CHIP SEAL/PCT#2</v>
      </c>
    </row>
    <row r="1021" spans="1:8" x14ac:dyDescent="0.25">
      <c r="A1021" t="s">
        <v>319</v>
      </c>
      <c r="B1021">
        <v>84083</v>
      </c>
      <c r="C1021" s="2">
        <v>384.85</v>
      </c>
      <c r="D1021" s="1">
        <v>43731</v>
      </c>
      <c r="E1021" t="str">
        <f>"201909121663"</f>
        <v>201909121663</v>
      </c>
      <c r="F1021" t="str">
        <f>"ACCT#1137/PCT#4"</f>
        <v>ACCT#1137/PCT#4</v>
      </c>
      <c r="G1021" s="2">
        <v>384.85</v>
      </c>
      <c r="H1021" t="str">
        <f>"ACCT#1137/PCT#4"</f>
        <v>ACCT#1137/PCT#4</v>
      </c>
    </row>
    <row r="1022" spans="1:8" x14ac:dyDescent="0.25">
      <c r="A1022" t="s">
        <v>320</v>
      </c>
      <c r="B1022">
        <v>83847</v>
      </c>
      <c r="C1022" s="2">
        <v>246.75</v>
      </c>
      <c r="D1022" s="1">
        <v>43717</v>
      </c>
      <c r="E1022" t="str">
        <f>"3555"</f>
        <v>3555</v>
      </c>
      <c r="F1022" t="str">
        <f>"Sign Shop"</f>
        <v>Sign Shop</v>
      </c>
      <c r="G1022" s="2">
        <v>246.75</v>
      </c>
      <c r="H1022" t="str">
        <f>"5 1/4 Blade 90"</f>
        <v>5 1/4 Blade 90</v>
      </c>
    </row>
    <row r="1023" spans="1:8" x14ac:dyDescent="0.25">
      <c r="E1023" t="str">
        <f>""</f>
        <v/>
      </c>
      <c r="F1023" t="str">
        <f>""</f>
        <v/>
      </c>
      <c r="H1023" t="str">
        <f>"5 1/4 U Chann"</f>
        <v>5 1/4 U Chann</v>
      </c>
    </row>
    <row r="1024" spans="1:8" x14ac:dyDescent="0.25">
      <c r="A1024" t="s">
        <v>321</v>
      </c>
      <c r="B1024">
        <v>84084</v>
      </c>
      <c r="C1024" s="2">
        <v>29.64</v>
      </c>
      <c r="D1024" s="1">
        <v>43731</v>
      </c>
      <c r="E1024" t="str">
        <f>"201909111641"</f>
        <v>201909111641</v>
      </c>
      <c r="F1024" t="str">
        <f>"REIMBURSE - FILE ORGANIZERS"</f>
        <v>REIMBURSE - FILE ORGANIZERS</v>
      </c>
      <c r="G1024" s="2">
        <v>29.64</v>
      </c>
      <c r="H1024" t="str">
        <f>"REIMBURSE - FILE ORGANIZERS"</f>
        <v>REIMBURSE - FILE ORGANIZERS</v>
      </c>
    </row>
    <row r="1025" spans="1:8" x14ac:dyDescent="0.25">
      <c r="A1025" t="s">
        <v>322</v>
      </c>
      <c r="B1025">
        <v>83848</v>
      </c>
      <c r="C1025" s="2">
        <v>757.14</v>
      </c>
      <c r="D1025" s="1">
        <v>43717</v>
      </c>
      <c r="E1025" t="str">
        <f>"201909041451"</f>
        <v>201909041451</v>
      </c>
      <c r="F1025" t="str">
        <f>"ACCT#0200140783/ANIMAL CONTROL"</f>
        <v>ACCT#0200140783/ANIMAL CONTROL</v>
      </c>
      <c r="G1025" s="2">
        <v>757.14</v>
      </c>
      <c r="H1025" t="str">
        <f>"ACCT#0200140783/ANIMAL CONTROL"</f>
        <v>ACCT#0200140783/ANIMAL CONTROL</v>
      </c>
    </row>
    <row r="1026" spans="1:8" x14ac:dyDescent="0.25">
      <c r="A1026" t="s">
        <v>323</v>
      </c>
      <c r="B1026">
        <v>83849</v>
      </c>
      <c r="C1026" s="2">
        <v>60</v>
      </c>
      <c r="D1026" s="1">
        <v>43717</v>
      </c>
      <c r="E1026" t="str">
        <f>"201908301377"</f>
        <v>201908301377</v>
      </c>
      <c r="F1026" t="str">
        <f>"TRAVEL ADVANCE-PER DIEM"</f>
        <v>TRAVEL ADVANCE-PER DIEM</v>
      </c>
      <c r="G1026" s="2">
        <v>60</v>
      </c>
      <c r="H1026" t="str">
        <f>"TRAVEL ADVANCE-PER DIEM"</f>
        <v>TRAVEL ADVANCE-PER DIEM</v>
      </c>
    </row>
    <row r="1027" spans="1:8" x14ac:dyDescent="0.25">
      <c r="A1027" t="s">
        <v>324</v>
      </c>
      <c r="B1027">
        <v>1337</v>
      </c>
      <c r="C1027" s="2">
        <v>787.5</v>
      </c>
      <c r="D1027" s="1">
        <v>43718</v>
      </c>
      <c r="E1027" t="str">
        <f>"201909041480"</f>
        <v>201909041480</v>
      </c>
      <c r="F1027" t="str">
        <f>"19-19811"</f>
        <v>19-19811</v>
      </c>
      <c r="G1027" s="2">
        <v>287.5</v>
      </c>
      <c r="H1027" t="str">
        <f>"19-19811"</f>
        <v>19-19811</v>
      </c>
    </row>
    <row r="1028" spans="1:8" x14ac:dyDescent="0.25">
      <c r="E1028" t="str">
        <f>"201909041494"</f>
        <v>201909041494</v>
      </c>
      <c r="F1028" t="str">
        <f>"56690"</f>
        <v>56690</v>
      </c>
      <c r="G1028" s="2">
        <v>250</v>
      </c>
      <c r="H1028" t="str">
        <f>"56690"</f>
        <v>56690</v>
      </c>
    </row>
    <row r="1029" spans="1:8" x14ac:dyDescent="0.25">
      <c r="E1029" t="str">
        <f>"201909041506"</f>
        <v>201909041506</v>
      </c>
      <c r="F1029" t="str">
        <f>"56880"</f>
        <v>56880</v>
      </c>
      <c r="G1029" s="2">
        <v>250</v>
      </c>
      <c r="H1029" t="str">
        <f>"56880"</f>
        <v>56880</v>
      </c>
    </row>
    <row r="1030" spans="1:8" x14ac:dyDescent="0.25">
      <c r="A1030" t="s">
        <v>324</v>
      </c>
      <c r="B1030">
        <v>1414</v>
      </c>
      <c r="C1030" s="2">
        <v>1480</v>
      </c>
      <c r="D1030" s="1">
        <v>43732</v>
      </c>
      <c r="E1030" t="str">
        <f>"201909171821"</f>
        <v>201909171821</v>
      </c>
      <c r="F1030" t="str">
        <f>"18-19166"</f>
        <v>18-19166</v>
      </c>
      <c r="G1030" s="2">
        <v>400</v>
      </c>
      <c r="H1030" t="str">
        <f>"18-19166"</f>
        <v>18-19166</v>
      </c>
    </row>
    <row r="1031" spans="1:8" x14ac:dyDescent="0.25">
      <c r="E1031" t="str">
        <f>"201909171823"</f>
        <v>201909171823</v>
      </c>
      <c r="F1031" t="str">
        <f>"19-19740"</f>
        <v>19-19740</v>
      </c>
      <c r="G1031" s="2">
        <v>430</v>
      </c>
      <c r="H1031" t="str">
        <f>"19-19740"</f>
        <v>19-19740</v>
      </c>
    </row>
    <row r="1032" spans="1:8" x14ac:dyDescent="0.25">
      <c r="E1032" t="str">
        <f>"201909171861"</f>
        <v>201909171861</v>
      </c>
      <c r="F1032" t="str">
        <f>"17-18718"</f>
        <v>17-18718</v>
      </c>
      <c r="G1032" s="2">
        <v>392.5</v>
      </c>
      <c r="H1032" t="str">
        <f>"17-18718"</f>
        <v>17-18718</v>
      </c>
    </row>
    <row r="1033" spans="1:8" x14ac:dyDescent="0.25">
      <c r="E1033" t="str">
        <f>"201909171862"</f>
        <v>201909171862</v>
      </c>
      <c r="F1033" t="str">
        <f>"18-19130"</f>
        <v>18-19130</v>
      </c>
      <c r="G1033" s="2">
        <v>257.5</v>
      </c>
      <c r="H1033" t="str">
        <f>"18-19130"</f>
        <v>18-19130</v>
      </c>
    </row>
    <row r="1034" spans="1:8" x14ac:dyDescent="0.25">
      <c r="A1034" t="s">
        <v>325</v>
      </c>
      <c r="B1034">
        <v>84085</v>
      </c>
      <c r="C1034" s="2">
        <v>454.78</v>
      </c>
      <c r="D1034" s="1">
        <v>43731</v>
      </c>
      <c r="E1034" t="str">
        <f>"1013944798"</f>
        <v>1013944798</v>
      </c>
      <c r="F1034" t="str">
        <f>"ACCT#0011198047/POSTAGE"</f>
        <v>ACCT#0011198047/POSTAGE</v>
      </c>
      <c r="G1034" s="2">
        <v>454.78</v>
      </c>
      <c r="H1034" t="str">
        <f>"ACCT#0011198047/POSTAGE"</f>
        <v>ACCT#0011198047/POSTAGE</v>
      </c>
    </row>
    <row r="1035" spans="1:8" x14ac:dyDescent="0.25">
      <c r="A1035" t="s">
        <v>326</v>
      </c>
      <c r="B1035">
        <v>83850</v>
      </c>
      <c r="C1035" s="2">
        <v>117.39</v>
      </c>
      <c r="D1035" s="1">
        <v>43717</v>
      </c>
      <c r="E1035" t="str">
        <f>"209458"</f>
        <v>209458</v>
      </c>
      <c r="F1035" t="str">
        <f>"FOOD FOR JURY/PIZZA HUT#006563"</f>
        <v>FOOD FOR JURY/PIZZA HUT#006563</v>
      </c>
      <c r="G1035" s="2">
        <v>117.39</v>
      </c>
      <c r="H1035" t="str">
        <f>"FOOD FOR JURY/PIZZA HUT#006563"</f>
        <v>FOOD FOR JURY/PIZZA HUT#006563</v>
      </c>
    </row>
    <row r="1036" spans="1:8" x14ac:dyDescent="0.25">
      <c r="A1036" t="s">
        <v>327</v>
      </c>
      <c r="B1036">
        <v>1302</v>
      </c>
      <c r="C1036" s="2">
        <v>250</v>
      </c>
      <c r="D1036" s="1">
        <v>43718</v>
      </c>
      <c r="E1036" t="str">
        <f>"201909041507"</f>
        <v>201909041507</v>
      </c>
      <c r="F1036" t="str">
        <f>"56004"</f>
        <v>56004</v>
      </c>
      <c r="G1036" s="2">
        <v>250</v>
      </c>
      <c r="H1036" t="str">
        <f>"56004"</f>
        <v>56004</v>
      </c>
    </row>
    <row r="1037" spans="1:8" x14ac:dyDescent="0.25">
      <c r="A1037" t="s">
        <v>328</v>
      </c>
      <c r="B1037">
        <v>1394</v>
      </c>
      <c r="C1037" s="2">
        <v>356.18</v>
      </c>
      <c r="D1037" s="1">
        <v>43732</v>
      </c>
      <c r="E1037" t="str">
        <f>"201909111661"</f>
        <v>201909111661</v>
      </c>
      <c r="F1037" t="str">
        <f>"ACCT#0005/PCT#4"</f>
        <v>ACCT#0005/PCT#4</v>
      </c>
      <c r="G1037" s="2">
        <v>356.18</v>
      </c>
      <c r="H1037" t="str">
        <f>"ACCT#0005/PCT#4"</f>
        <v>ACCT#0005/PCT#4</v>
      </c>
    </row>
    <row r="1038" spans="1:8" x14ac:dyDescent="0.25">
      <c r="A1038" t="s">
        <v>329</v>
      </c>
      <c r="B1038">
        <v>83851</v>
      </c>
      <c r="C1038" s="2">
        <v>235</v>
      </c>
      <c r="D1038" s="1">
        <v>43717</v>
      </c>
      <c r="E1038" t="str">
        <f>"201908291354"</f>
        <v>201908291354</v>
      </c>
      <c r="F1038" t="str">
        <f>"FIRST CLASS PRESORT/TAX COLLEC"</f>
        <v>FIRST CLASS PRESORT/TAX COLLEC</v>
      </c>
      <c r="G1038" s="2">
        <v>235</v>
      </c>
      <c r="H1038" t="str">
        <f>"FIRST CLASS PRESORT/TAX COLLEC"</f>
        <v>FIRST CLASS PRESORT/TAX COLLEC</v>
      </c>
    </row>
    <row r="1039" spans="1:8" x14ac:dyDescent="0.25">
      <c r="A1039" t="s">
        <v>330</v>
      </c>
      <c r="B1039">
        <v>83852</v>
      </c>
      <c r="C1039" s="2">
        <v>196.08</v>
      </c>
      <c r="D1039" s="1">
        <v>43717</v>
      </c>
      <c r="E1039" t="str">
        <f>"90978132"</f>
        <v>90978132</v>
      </c>
      <c r="F1039" t="str">
        <f>"CUST#71364636/PCT#3"</f>
        <v>CUST#71364636/PCT#3</v>
      </c>
      <c r="G1039" s="2">
        <v>196.08</v>
      </c>
      <c r="H1039" t="str">
        <f>"CUST#71364636/PCT#3"</f>
        <v>CUST#71364636/PCT#3</v>
      </c>
    </row>
    <row r="1040" spans="1:8" x14ac:dyDescent="0.25">
      <c r="A1040" t="s">
        <v>331</v>
      </c>
      <c r="B1040">
        <v>84086</v>
      </c>
      <c r="C1040" s="2">
        <v>1970</v>
      </c>
      <c r="D1040" s="1">
        <v>43731</v>
      </c>
      <c r="E1040" t="str">
        <f>"BCSD00782719"</f>
        <v>BCSD00782719</v>
      </c>
      <c r="F1040" t="str">
        <f>"TCLEDDS RENEWAL 2019-2020"</f>
        <v>TCLEDDS RENEWAL 2019-2020</v>
      </c>
      <c r="G1040" s="2">
        <v>1970</v>
      </c>
      <c r="H1040" t="str">
        <f>"TCLEDDS RENEWAL 2019-2020"</f>
        <v>TCLEDDS RENEWAL 2019-2020</v>
      </c>
    </row>
    <row r="1041" spans="1:8" x14ac:dyDescent="0.25">
      <c r="A1041" t="s">
        <v>332</v>
      </c>
      <c r="B1041">
        <v>1344</v>
      </c>
      <c r="C1041" s="2">
        <v>872</v>
      </c>
      <c r="D1041" s="1">
        <v>43718</v>
      </c>
      <c r="E1041" t="str">
        <f>"186340"</f>
        <v>186340</v>
      </c>
      <c r="F1041" t="str">
        <f>"INV 186340"</f>
        <v>INV 186340</v>
      </c>
      <c r="G1041" s="2">
        <v>872</v>
      </c>
      <c r="H1041" t="str">
        <f>"INV 186340"</f>
        <v>INV 186340</v>
      </c>
    </row>
    <row r="1042" spans="1:8" x14ac:dyDescent="0.25">
      <c r="A1042" t="s">
        <v>332</v>
      </c>
      <c r="B1042">
        <v>1420</v>
      </c>
      <c r="C1042" s="2">
        <v>800</v>
      </c>
      <c r="D1042" s="1">
        <v>43732</v>
      </c>
      <c r="E1042" t="str">
        <f>"187297"</f>
        <v>187297</v>
      </c>
      <c r="F1042" t="str">
        <f>"INV 187297"</f>
        <v>INV 187297</v>
      </c>
      <c r="G1042" s="2">
        <v>800</v>
      </c>
      <c r="H1042" t="str">
        <f>"INV 187297"</f>
        <v>INV 187297</v>
      </c>
    </row>
    <row r="1043" spans="1:8" x14ac:dyDescent="0.25">
      <c r="A1043" t="s">
        <v>333</v>
      </c>
      <c r="B1043">
        <v>84087</v>
      </c>
      <c r="C1043" s="2">
        <v>310</v>
      </c>
      <c r="D1043" s="1">
        <v>43731</v>
      </c>
      <c r="E1043" t="str">
        <f>"13167"</f>
        <v>13167</v>
      </c>
      <c r="F1043" t="str">
        <f>"ANNUAL SAFETY/INSPECTION"</f>
        <v>ANNUAL SAFETY/INSPECTION</v>
      </c>
      <c r="G1043" s="2">
        <v>310</v>
      </c>
      <c r="H1043" t="str">
        <f>"ANNUAL SAFETY/INSPECTION"</f>
        <v>ANNUAL SAFETY/INSPECTION</v>
      </c>
    </row>
    <row r="1044" spans="1:8" x14ac:dyDescent="0.25">
      <c r="A1044" t="s">
        <v>334</v>
      </c>
      <c r="B1044">
        <v>1365</v>
      </c>
      <c r="C1044" s="2">
        <v>1043.69</v>
      </c>
      <c r="D1044" s="1">
        <v>43732</v>
      </c>
      <c r="E1044" t="str">
        <f>"201909111649"</f>
        <v>201909111649</v>
      </c>
      <c r="F1044" t="str">
        <f>"TRAVEL REIMBURSEMENT-PARKING"</f>
        <v>TRAVEL REIMBURSEMENT-PARKING</v>
      </c>
      <c r="G1044" s="2">
        <v>18</v>
      </c>
      <c r="H1044" t="str">
        <f>"TRAVEL REIMBURSEMENT-PARKING"</f>
        <v>TRAVEL REIMBURSEMENT-PARKING</v>
      </c>
    </row>
    <row r="1045" spans="1:8" x14ac:dyDescent="0.25">
      <c r="E1045" t="str">
        <f>"201909111650"</f>
        <v>201909111650</v>
      </c>
      <c r="F1045" t="str">
        <f>"REIMBURSE HOTEL/PARKING/MEALS"</f>
        <v>REIMBURSE HOTEL/PARKING/MEALS</v>
      </c>
      <c r="G1045" s="2">
        <v>825.03</v>
      </c>
      <c r="H1045" t="str">
        <f>"REIMBURSE HOTEL/PARKING/MEALS"</f>
        <v>REIMBURSE HOTEL/PARKING/MEALS</v>
      </c>
    </row>
    <row r="1046" spans="1:8" x14ac:dyDescent="0.25">
      <c r="E1046" t="str">
        <f>"201909111651"</f>
        <v>201909111651</v>
      </c>
      <c r="F1046" t="str">
        <f>"REIMBURSE HOTEL"</f>
        <v>REIMBURSE HOTEL</v>
      </c>
      <c r="G1046" s="2">
        <v>169.15</v>
      </c>
      <c r="H1046" t="str">
        <f>"REIMBURSE HOTEL"</f>
        <v>REIMBURSE HOTEL</v>
      </c>
    </row>
    <row r="1047" spans="1:8" x14ac:dyDescent="0.25">
      <c r="E1047" t="str">
        <f>"201909111652"</f>
        <v>201909111652</v>
      </c>
      <c r="F1047" t="str">
        <f>"REIMBURSE-MEALS/PARKING"</f>
        <v>REIMBURSE-MEALS/PARKING</v>
      </c>
      <c r="G1047" s="2">
        <v>31.51</v>
      </c>
      <c r="H1047" t="str">
        <f>"REIMBURSE-MEALS/PARKING"</f>
        <v>REIMBURSE-MEALS/PARKING</v>
      </c>
    </row>
    <row r="1048" spans="1:8" x14ac:dyDescent="0.25">
      <c r="A1048" t="s">
        <v>335</v>
      </c>
      <c r="B1048">
        <v>84088</v>
      </c>
      <c r="C1048" s="2">
        <v>45</v>
      </c>
      <c r="D1048" s="1">
        <v>43731</v>
      </c>
      <c r="E1048" t="str">
        <f>"201909181910"</f>
        <v>201909181910</v>
      </c>
      <c r="F1048" t="str">
        <f>"PER DIEM - CORRECTION"</f>
        <v>PER DIEM - CORRECTION</v>
      </c>
      <c r="G1048" s="2">
        <v>45</v>
      </c>
      <c r="H1048" t="str">
        <f>"PER DIEM - CORRECTION"</f>
        <v>PER DIEM - CORRECTION</v>
      </c>
    </row>
    <row r="1049" spans="1:8" x14ac:dyDescent="0.25">
      <c r="A1049" t="s">
        <v>336</v>
      </c>
      <c r="B1049">
        <v>83904</v>
      </c>
      <c r="C1049" s="2">
        <v>1371.69</v>
      </c>
      <c r="D1049" s="1">
        <v>43717</v>
      </c>
      <c r="E1049" t="str">
        <f>"201909091633"</f>
        <v>201909091633</v>
      </c>
      <c r="F1049" t="str">
        <f>"ROW EASEMENT / P2"</f>
        <v>ROW EASEMENT / P2</v>
      </c>
      <c r="G1049" s="2">
        <v>1371.69</v>
      </c>
      <c r="H1049" t="str">
        <f>"ROW EASEMENT / P2"</f>
        <v>ROW EASEMENT / P2</v>
      </c>
    </row>
    <row r="1050" spans="1:8" x14ac:dyDescent="0.25">
      <c r="A1050" t="s">
        <v>337</v>
      </c>
      <c r="B1050">
        <v>83853</v>
      </c>
      <c r="C1050" s="2">
        <v>22.5</v>
      </c>
      <c r="D1050" s="1">
        <v>43717</v>
      </c>
      <c r="E1050" t="str">
        <f>"201908301380"</f>
        <v>201908301380</v>
      </c>
      <c r="F1050" t="str">
        <f>"16 552 - OVERPAYMENT"</f>
        <v>16 552 - OVERPAYMENT</v>
      </c>
      <c r="G1050" s="2">
        <v>22.5</v>
      </c>
      <c r="H1050" t="str">
        <f>"OVERPAYMENT"</f>
        <v>OVERPAYMENT</v>
      </c>
    </row>
    <row r="1051" spans="1:8" x14ac:dyDescent="0.25">
      <c r="A1051" t="s">
        <v>338</v>
      </c>
      <c r="B1051">
        <v>1368</v>
      </c>
      <c r="C1051" s="2">
        <v>59.77</v>
      </c>
      <c r="D1051" s="1">
        <v>43732</v>
      </c>
      <c r="E1051" t="str">
        <f>"19I0121569859"</f>
        <v>19I0121569859</v>
      </c>
      <c r="F1051" t="str">
        <f>"ACCT#0121569859/JP#4"</f>
        <v>ACCT#0121569859/JP#4</v>
      </c>
      <c r="G1051" s="2">
        <v>36.92</v>
      </c>
      <c r="H1051" t="str">
        <f>"ACCT#0121569859/JP#4"</f>
        <v>ACCT#0121569859/JP#4</v>
      </c>
    </row>
    <row r="1052" spans="1:8" x14ac:dyDescent="0.25">
      <c r="E1052" t="str">
        <f>"19I0121587851"</f>
        <v>19I0121587851</v>
      </c>
      <c r="F1052" t="str">
        <f>"ACCT#0121587851/PCT#4"</f>
        <v>ACCT#0121587851/PCT#4</v>
      </c>
      <c r="G1052" s="2">
        <v>22.85</v>
      </c>
      <c r="H1052" t="str">
        <f>"ACCT#0121587851/PCT#4"</f>
        <v>ACCT#0121587851/PCT#4</v>
      </c>
    </row>
    <row r="1053" spans="1:8" x14ac:dyDescent="0.25">
      <c r="A1053" t="s">
        <v>339</v>
      </c>
      <c r="B1053">
        <v>84089</v>
      </c>
      <c r="C1053" s="2">
        <v>1175.3</v>
      </c>
      <c r="D1053" s="1">
        <v>43731</v>
      </c>
      <c r="E1053" t="str">
        <f>"201909131750"</f>
        <v>201909131750</v>
      </c>
      <c r="F1053" t="str">
        <f>"CUST#19610/GEN SVCS"</f>
        <v>CUST#19610/GEN SVCS</v>
      </c>
      <c r="G1053" s="2">
        <v>1175.3</v>
      </c>
      <c r="H1053" t="str">
        <f>"CUST#19610/GEN SVCS"</f>
        <v>CUST#19610/GEN SVCS</v>
      </c>
    </row>
    <row r="1054" spans="1:8" x14ac:dyDescent="0.25">
      <c r="A1054" t="s">
        <v>340</v>
      </c>
      <c r="B1054">
        <v>83908</v>
      </c>
      <c r="C1054" s="2">
        <v>1862.26</v>
      </c>
      <c r="D1054" s="1">
        <v>43719</v>
      </c>
      <c r="E1054" t="str">
        <f>"309 000 323 887 8"</f>
        <v>309 000 323 887 8</v>
      </c>
      <c r="F1054" t="str">
        <f>"ACCT#15 069 451-1 / 08302019"</f>
        <v>ACCT#15 069 451-1 / 08302019</v>
      </c>
      <c r="G1054" s="2">
        <v>424.95</v>
      </c>
      <c r="H1054" t="str">
        <f>"ACCT#15 069 451-1 / 08302019"</f>
        <v>ACCT#15 069 451-1 / 08302019</v>
      </c>
    </row>
    <row r="1055" spans="1:8" x14ac:dyDescent="0.25">
      <c r="E1055" t="str">
        <f>"330 000 289 898 0"</f>
        <v>330 000 289 898 0</v>
      </c>
      <c r="F1055" t="str">
        <f>"ACCT# 15 070 712-3 / 09032019"</f>
        <v>ACCT# 15 070 712-3 / 09032019</v>
      </c>
      <c r="G1055" s="2">
        <v>17.829999999999998</v>
      </c>
      <c r="H1055" t="str">
        <f>"ACCT# 15 070 712-3 / 09032019"</f>
        <v>ACCT# 15 070 712-3 / 09032019</v>
      </c>
    </row>
    <row r="1056" spans="1:8" x14ac:dyDescent="0.25">
      <c r="E1056" t="str">
        <f>"330 000 289 899 8"</f>
        <v>330 000 289 899 8</v>
      </c>
      <c r="F1056" t="str">
        <f>"ACCT#15 070 713-1 / 09032019"</f>
        <v>ACCT#15 070 713-1 / 09032019</v>
      </c>
      <c r="G1056" s="2">
        <v>21.28</v>
      </c>
      <c r="H1056" t="str">
        <f>"ACCT#15 070 713-1 / 09032019"</f>
        <v>ACCT#15 070 713-1 / 09032019</v>
      </c>
    </row>
    <row r="1057" spans="1:8" x14ac:dyDescent="0.25">
      <c r="E1057" t="str">
        <f>"330 000 289 900 4"</f>
        <v>330 000 289 900 4</v>
      </c>
      <c r="F1057" t="str">
        <f>"ACCT#15 072 199-1 / 09032019"</f>
        <v>ACCT#15 072 199-1 / 09032019</v>
      </c>
      <c r="G1057" s="2">
        <v>21.87</v>
      </c>
      <c r="H1057" t="str">
        <f>"ACCT#15 072 199-1 / 09032019"</f>
        <v>ACCT#15 072 199-1 / 09032019</v>
      </c>
    </row>
    <row r="1058" spans="1:8" x14ac:dyDescent="0.25">
      <c r="E1058" t="str">
        <f>"330 000 289 901 2"</f>
        <v>330 000 289 901 2</v>
      </c>
      <c r="F1058" t="str">
        <f>"ACCT#15 072 200-7 / 09032019"</f>
        <v>ACCT#15 072 200-7 / 09032019</v>
      </c>
      <c r="G1058" s="2">
        <v>299.47000000000003</v>
      </c>
      <c r="H1058" t="str">
        <f>"ACCT#15 072 200-7 / 09032019"</f>
        <v>ACCT#15 072 200-7 / 09032019</v>
      </c>
    </row>
    <row r="1059" spans="1:8" x14ac:dyDescent="0.25">
      <c r="E1059" t="str">
        <f>"330 000 289 902 0"</f>
        <v>330 000 289 902 0</v>
      </c>
      <c r="F1059" t="str">
        <f>"ACCT#15 072 201-5 / 09032019"</f>
        <v>ACCT#15 072 201-5 / 09032019</v>
      </c>
      <c r="G1059" s="2">
        <v>612.67999999999995</v>
      </c>
      <c r="H1059" t="str">
        <f>"ACCT#15 072 201-5 / 09032019"</f>
        <v>ACCT#15 072 201-5 / 09032019</v>
      </c>
    </row>
    <row r="1060" spans="1:8" x14ac:dyDescent="0.25">
      <c r="E1060" t="str">
        <f>"330 000 289 903 8"</f>
        <v>330 000 289 903 8</v>
      </c>
      <c r="F1060" t="str">
        <f>"ACCT#15 072 202-3 / 09032019"</f>
        <v>ACCT#15 072 202-3 / 09032019</v>
      </c>
      <c r="G1060" s="2">
        <v>29.32</v>
      </c>
      <c r="H1060" t="str">
        <f>"ACCT#15 072 202-3 / 09032019"</f>
        <v>ACCT#15 072 202-3 / 09032019</v>
      </c>
    </row>
    <row r="1061" spans="1:8" x14ac:dyDescent="0.25">
      <c r="E1061" t="str">
        <f>"330 000 289 904 6"</f>
        <v>330 000 289 904 6</v>
      </c>
      <c r="F1061" t="str">
        <f>"ACCT#15 072 203-1 / 09032019"</f>
        <v>ACCT#15 072 203-1 / 09032019</v>
      </c>
      <c r="G1061" s="2">
        <v>17.13</v>
      </c>
      <c r="H1061" t="str">
        <f>"ACCT#15 072 203-1 / 09032019"</f>
        <v>ACCT#15 072 203-1 / 09032019</v>
      </c>
    </row>
    <row r="1062" spans="1:8" x14ac:dyDescent="0.25">
      <c r="E1062" t="str">
        <f>"330 000 289 905 3"</f>
        <v>330 000 289 905 3</v>
      </c>
      <c r="F1062" t="str">
        <f>"ACCT#15 072204-9 / 09032019"</f>
        <v>ACCT#15 072204-9 / 09032019</v>
      </c>
      <c r="G1062" s="2">
        <v>417.73</v>
      </c>
      <c r="H1062" t="str">
        <f>"ACCT#15 072204-9 / 09032019"</f>
        <v>ACCT#15 072204-9 / 09032019</v>
      </c>
    </row>
    <row r="1063" spans="1:8" x14ac:dyDescent="0.25">
      <c r="A1063" t="s">
        <v>340</v>
      </c>
      <c r="B1063">
        <v>84161</v>
      </c>
      <c r="C1063" s="2">
        <v>1815.88</v>
      </c>
      <c r="D1063" s="1">
        <v>43738</v>
      </c>
      <c r="E1063" t="str">
        <f>"318 000 319 136 5"</f>
        <v>318 000 319 136 5</v>
      </c>
      <c r="F1063" t="str">
        <f>"ACCT#15 070 712-3 / 09302019"</f>
        <v>ACCT#15 070 712-3 / 09302019</v>
      </c>
      <c r="G1063" s="2">
        <v>17.940000000000001</v>
      </c>
      <c r="H1063" t="str">
        <f>"ACCT#15 070 712-3 / 09302019"</f>
        <v>ACCT#15 070 712-3 / 09302019</v>
      </c>
    </row>
    <row r="1064" spans="1:8" x14ac:dyDescent="0.25">
      <c r="E1064" t="str">
        <f>"318 000 319 137 3"</f>
        <v>318 000 319 137 3</v>
      </c>
      <c r="F1064" t="str">
        <f>"ACCT#15 070 713-1 / 09302019"</f>
        <v>ACCT#15 070 713-1 / 09302019</v>
      </c>
      <c r="G1064" s="2">
        <v>21.49</v>
      </c>
      <c r="H1064" t="str">
        <f>"ACCT#15 070 713-1 / 09302019"</f>
        <v>ACCT#15 070 713-1 / 09302019</v>
      </c>
    </row>
    <row r="1065" spans="1:8" x14ac:dyDescent="0.25">
      <c r="E1065" t="str">
        <f>"318 000 319 138 1"</f>
        <v>318 000 319 138 1</v>
      </c>
      <c r="F1065" t="str">
        <f>"ACCT#15 072 199-1 / 09302019"</f>
        <v>ACCT#15 072 199-1 / 09302019</v>
      </c>
      <c r="G1065" s="2">
        <v>29.06</v>
      </c>
      <c r="H1065" t="str">
        <f>"ACCT#15 072 199-1 / 09302019"</f>
        <v>ACCT#15 072 199-1 / 09302019</v>
      </c>
    </row>
    <row r="1066" spans="1:8" x14ac:dyDescent="0.25">
      <c r="E1066" t="str">
        <f>"318 000 319 139 9"</f>
        <v>318 000 319 139 9</v>
      </c>
      <c r="F1066" t="str">
        <f>"ACCT#15 072 200-7 / 09302019"</f>
        <v>ACCT#15 072 200-7 / 09302019</v>
      </c>
      <c r="G1066" s="2">
        <v>289.99</v>
      </c>
      <c r="H1066" t="str">
        <f>"ACCT#15 072 200-7 / 09302019"</f>
        <v>ACCT#15 072 200-7 / 09302019</v>
      </c>
    </row>
    <row r="1067" spans="1:8" x14ac:dyDescent="0.25">
      <c r="E1067" t="str">
        <f>"318 000 319 140 7"</f>
        <v>318 000 319 140 7</v>
      </c>
      <c r="F1067" t="str">
        <f>"ACCT#15 072 201-5 / 09302019"</f>
        <v>ACCT#15 072 201-5 / 09302019</v>
      </c>
      <c r="G1067" s="2">
        <v>584.82000000000005</v>
      </c>
      <c r="H1067" t="str">
        <f>"ACCT#15 072 201-5 / 09302019"</f>
        <v>ACCT#15 072 201-5 / 09302019</v>
      </c>
    </row>
    <row r="1068" spans="1:8" x14ac:dyDescent="0.25">
      <c r="E1068" t="str">
        <f>"318 000 319 141 5"</f>
        <v>318 000 319 141 5</v>
      </c>
      <c r="F1068" t="str">
        <f>"ACCT#15 072 202-3 / 09302019"</f>
        <v>ACCT#15 072 202-3 / 09302019</v>
      </c>
      <c r="G1068" s="2">
        <v>29.75</v>
      </c>
      <c r="H1068" t="str">
        <f>"ACCT#15 072 202-3 / 09302019"</f>
        <v>ACCT#15 072 202-3 / 09302019</v>
      </c>
    </row>
    <row r="1069" spans="1:8" x14ac:dyDescent="0.25">
      <c r="E1069" t="str">
        <f>"318 000 319 142 3"</f>
        <v>318 000 319 142 3</v>
      </c>
      <c r="F1069" t="str">
        <f>"ACCT#15 072 203-1 / 09302019"</f>
        <v>ACCT#15 072 203-1 / 09302019</v>
      </c>
      <c r="G1069" s="2">
        <v>16.489999999999998</v>
      </c>
      <c r="H1069" t="str">
        <f>"ACCT#15 072 203-1 / 09302019"</f>
        <v>ACCT#15 072 203-1 / 09302019</v>
      </c>
    </row>
    <row r="1070" spans="1:8" x14ac:dyDescent="0.25">
      <c r="E1070" t="str">
        <f>"318 000 319 143 1"</f>
        <v>318 000 319 143 1</v>
      </c>
      <c r="F1070" t="str">
        <f>"ACCT#15 072 204-9 / 09302019"</f>
        <v>ACCT#15 072 204-9 / 09302019</v>
      </c>
      <c r="G1070" s="2">
        <v>401.7</v>
      </c>
      <c r="H1070" t="str">
        <f>"ACCT#15 072 204-9 / 09302019"</f>
        <v>ACCT#15 072 204-9 / 09302019</v>
      </c>
    </row>
    <row r="1071" spans="1:8" x14ac:dyDescent="0.25">
      <c r="E1071" t="str">
        <f>"374 000 232 097 4"</f>
        <v>374 000 232 097 4</v>
      </c>
      <c r="F1071" t="str">
        <f>"ACCT#15 069 451-1 / 09302019"</f>
        <v>ACCT#15 069 451-1 / 09302019</v>
      </c>
      <c r="G1071" s="2">
        <v>424.64</v>
      </c>
      <c r="H1071" t="str">
        <f>"ACCT#15 069 451-1 / 09302019"</f>
        <v>ACCT#15 069 451-1 / 09302019</v>
      </c>
    </row>
    <row r="1072" spans="1:8" x14ac:dyDescent="0.25">
      <c r="A1072" t="s">
        <v>341</v>
      </c>
      <c r="B1072">
        <v>1340</v>
      </c>
      <c r="C1072" s="2">
        <v>1470</v>
      </c>
      <c r="D1072" s="1">
        <v>43718</v>
      </c>
      <c r="E1072" t="str">
        <f>"201908301371"</f>
        <v>201908301371</v>
      </c>
      <c r="F1072" t="str">
        <f>"423-6333"</f>
        <v>423-6333</v>
      </c>
      <c r="G1072" s="2">
        <v>870</v>
      </c>
      <c r="H1072" t="str">
        <f>"423-6333"</f>
        <v>423-6333</v>
      </c>
    </row>
    <row r="1073" spans="1:8" x14ac:dyDescent="0.25">
      <c r="E1073" t="str">
        <f>"201909041461"</f>
        <v>201909041461</v>
      </c>
      <c r="F1073" t="str">
        <f>"19-19697"</f>
        <v>19-19697</v>
      </c>
      <c r="G1073" s="2">
        <v>100</v>
      </c>
      <c r="H1073" t="str">
        <f>"19-19697"</f>
        <v>19-19697</v>
      </c>
    </row>
    <row r="1074" spans="1:8" x14ac:dyDescent="0.25">
      <c r="E1074" t="str">
        <f>"201909041490"</f>
        <v>201909041490</v>
      </c>
      <c r="F1074" t="str">
        <f>"408117-17"</f>
        <v>408117-17</v>
      </c>
      <c r="G1074" s="2">
        <v>250</v>
      </c>
      <c r="H1074" t="str">
        <f>"408117-17"</f>
        <v>408117-17</v>
      </c>
    </row>
    <row r="1075" spans="1:8" x14ac:dyDescent="0.25">
      <c r="E1075" t="str">
        <f>"201909041502"</f>
        <v>201909041502</v>
      </c>
      <c r="F1075" t="str">
        <f>"56 919"</f>
        <v>56 919</v>
      </c>
      <c r="G1075" s="2">
        <v>250</v>
      </c>
      <c r="H1075" t="str">
        <f>"56 919"</f>
        <v>56 919</v>
      </c>
    </row>
    <row r="1076" spans="1:8" x14ac:dyDescent="0.25">
      <c r="A1076" t="s">
        <v>341</v>
      </c>
      <c r="B1076">
        <v>1417</v>
      </c>
      <c r="C1076" s="2">
        <v>250</v>
      </c>
      <c r="D1076" s="1">
        <v>43732</v>
      </c>
      <c r="E1076" t="str">
        <f>"201909181923"</f>
        <v>201909181923</v>
      </c>
      <c r="F1076" t="str">
        <f>"307202019D / 073119-091019"</f>
        <v>307202019D / 073119-091019</v>
      </c>
      <c r="G1076" s="2">
        <v>250</v>
      </c>
      <c r="H1076" t="str">
        <f>"307202019D / 073119-091019"</f>
        <v>307202019D / 073119-091019</v>
      </c>
    </row>
    <row r="1077" spans="1:8" x14ac:dyDescent="0.25">
      <c r="A1077" t="s">
        <v>342</v>
      </c>
      <c r="B1077">
        <v>1295</v>
      </c>
      <c r="C1077" s="2">
        <v>2799.09</v>
      </c>
      <c r="D1077" s="1">
        <v>43718</v>
      </c>
      <c r="E1077" t="str">
        <f>"5057377446"</f>
        <v>5057377446</v>
      </c>
      <c r="F1077" t="str">
        <f>"CONTRACT#4746243/CUST#12847097"</f>
        <v>CONTRACT#4746243/CUST#12847097</v>
      </c>
      <c r="G1077" s="2">
        <v>2715.51</v>
      </c>
      <c r="H1077" t="str">
        <f t="shared" ref="H1077:H1099" si="6">"CONTRACT#4746243/CUST#12847097"</f>
        <v>CONTRACT#4746243/CUST#12847097</v>
      </c>
    </row>
    <row r="1078" spans="1:8" x14ac:dyDescent="0.25">
      <c r="E1078" t="str">
        <f>""</f>
        <v/>
      </c>
      <c r="F1078" t="str">
        <f>""</f>
        <v/>
      </c>
      <c r="H1078" t="str">
        <f t="shared" si="6"/>
        <v>CONTRACT#4746243/CUST#12847097</v>
      </c>
    </row>
    <row r="1079" spans="1:8" x14ac:dyDescent="0.25">
      <c r="E1079" t="str">
        <f>""</f>
        <v/>
      </c>
      <c r="F1079" t="str">
        <f>""</f>
        <v/>
      </c>
      <c r="H1079" t="str">
        <f t="shared" si="6"/>
        <v>CONTRACT#4746243/CUST#12847097</v>
      </c>
    </row>
    <row r="1080" spans="1:8" x14ac:dyDescent="0.25">
      <c r="E1080" t="str">
        <f>""</f>
        <v/>
      </c>
      <c r="F1080" t="str">
        <f>""</f>
        <v/>
      </c>
      <c r="H1080" t="str">
        <f t="shared" si="6"/>
        <v>CONTRACT#4746243/CUST#12847097</v>
      </c>
    </row>
    <row r="1081" spans="1:8" x14ac:dyDescent="0.25">
      <c r="E1081" t="str">
        <f>""</f>
        <v/>
      </c>
      <c r="F1081" t="str">
        <f>""</f>
        <v/>
      </c>
      <c r="H1081" t="str">
        <f t="shared" si="6"/>
        <v>CONTRACT#4746243/CUST#12847097</v>
      </c>
    </row>
    <row r="1082" spans="1:8" x14ac:dyDescent="0.25">
      <c r="E1082" t="str">
        <f>""</f>
        <v/>
      </c>
      <c r="F1082" t="str">
        <f>""</f>
        <v/>
      </c>
      <c r="H1082" t="str">
        <f t="shared" si="6"/>
        <v>CONTRACT#4746243/CUST#12847097</v>
      </c>
    </row>
    <row r="1083" spans="1:8" x14ac:dyDescent="0.25">
      <c r="E1083" t="str">
        <f>""</f>
        <v/>
      </c>
      <c r="F1083" t="str">
        <f>""</f>
        <v/>
      </c>
      <c r="H1083" t="str">
        <f t="shared" si="6"/>
        <v>CONTRACT#4746243/CUST#12847097</v>
      </c>
    </row>
    <row r="1084" spans="1:8" x14ac:dyDescent="0.25">
      <c r="E1084" t="str">
        <f>""</f>
        <v/>
      </c>
      <c r="F1084" t="str">
        <f>""</f>
        <v/>
      </c>
      <c r="H1084" t="str">
        <f t="shared" si="6"/>
        <v>CONTRACT#4746243/CUST#12847097</v>
      </c>
    </row>
    <row r="1085" spans="1:8" x14ac:dyDescent="0.25">
      <c r="E1085" t="str">
        <f>""</f>
        <v/>
      </c>
      <c r="F1085" t="str">
        <f>""</f>
        <v/>
      </c>
      <c r="H1085" t="str">
        <f t="shared" si="6"/>
        <v>CONTRACT#4746243/CUST#12847097</v>
      </c>
    </row>
    <row r="1086" spans="1:8" x14ac:dyDescent="0.25">
      <c r="E1086" t="str">
        <f>""</f>
        <v/>
      </c>
      <c r="F1086" t="str">
        <f>""</f>
        <v/>
      </c>
      <c r="H1086" t="str">
        <f t="shared" si="6"/>
        <v>CONTRACT#4746243/CUST#12847097</v>
      </c>
    </row>
    <row r="1087" spans="1:8" x14ac:dyDescent="0.25">
      <c r="E1087" t="str">
        <f>""</f>
        <v/>
      </c>
      <c r="F1087" t="str">
        <f>""</f>
        <v/>
      </c>
      <c r="H1087" t="str">
        <f t="shared" si="6"/>
        <v>CONTRACT#4746243/CUST#12847097</v>
      </c>
    </row>
    <row r="1088" spans="1:8" x14ac:dyDescent="0.25">
      <c r="E1088" t="str">
        <f>""</f>
        <v/>
      </c>
      <c r="F1088" t="str">
        <f>""</f>
        <v/>
      </c>
      <c r="H1088" t="str">
        <f t="shared" si="6"/>
        <v>CONTRACT#4746243/CUST#12847097</v>
      </c>
    </row>
    <row r="1089" spans="1:8" x14ac:dyDescent="0.25">
      <c r="E1089" t="str">
        <f>""</f>
        <v/>
      </c>
      <c r="F1089" t="str">
        <f>""</f>
        <v/>
      </c>
      <c r="H1089" t="str">
        <f t="shared" si="6"/>
        <v>CONTRACT#4746243/CUST#12847097</v>
      </c>
    </row>
    <row r="1090" spans="1:8" x14ac:dyDescent="0.25">
      <c r="E1090" t="str">
        <f>""</f>
        <v/>
      </c>
      <c r="F1090" t="str">
        <f>""</f>
        <v/>
      </c>
      <c r="H1090" t="str">
        <f t="shared" si="6"/>
        <v>CONTRACT#4746243/CUST#12847097</v>
      </c>
    </row>
    <row r="1091" spans="1:8" x14ac:dyDescent="0.25">
      <c r="E1091" t="str">
        <f>""</f>
        <v/>
      </c>
      <c r="F1091" t="str">
        <f>""</f>
        <v/>
      </c>
      <c r="H1091" t="str">
        <f t="shared" si="6"/>
        <v>CONTRACT#4746243/CUST#12847097</v>
      </c>
    </row>
    <row r="1092" spans="1:8" x14ac:dyDescent="0.25">
      <c r="E1092" t="str">
        <f>""</f>
        <v/>
      </c>
      <c r="F1092" t="str">
        <f>""</f>
        <v/>
      </c>
      <c r="H1092" t="str">
        <f t="shared" si="6"/>
        <v>CONTRACT#4746243/CUST#12847097</v>
      </c>
    </row>
    <row r="1093" spans="1:8" x14ac:dyDescent="0.25">
      <c r="E1093" t="str">
        <f>""</f>
        <v/>
      </c>
      <c r="F1093" t="str">
        <f>""</f>
        <v/>
      </c>
      <c r="H1093" t="str">
        <f t="shared" si="6"/>
        <v>CONTRACT#4746243/CUST#12847097</v>
      </c>
    </row>
    <row r="1094" spans="1:8" x14ac:dyDescent="0.25">
      <c r="E1094" t="str">
        <f>""</f>
        <v/>
      </c>
      <c r="F1094" t="str">
        <f>""</f>
        <v/>
      </c>
      <c r="H1094" t="str">
        <f t="shared" si="6"/>
        <v>CONTRACT#4746243/CUST#12847097</v>
      </c>
    </row>
    <row r="1095" spans="1:8" x14ac:dyDescent="0.25">
      <c r="E1095" t="str">
        <f>""</f>
        <v/>
      </c>
      <c r="F1095" t="str">
        <f>""</f>
        <v/>
      </c>
      <c r="H1095" t="str">
        <f t="shared" si="6"/>
        <v>CONTRACT#4746243/CUST#12847097</v>
      </c>
    </row>
    <row r="1096" spans="1:8" x14ac:dyDescent="0.25">
      <c r="E1096" t="str">
        <f>""</f>
        <v/>
      </c>
      <c r="F1096" t="str">
        <f>""</f>
        <v/>
      </c>
      <c r="H1096" t="str">
        <f t="shared" si="6"/>
        <v>CONTRACT#4746243/CUST#12847097</v>
      </c>
    </row>
    <row r="1097" spans="1:8" x14ac:dyDescent="0.25">
      <c r="E1097" t="str">
        <f>""</f>
        <v/>
      </c>
      <c r="F1097" t="str">
        <f>""</f>
        <v/>
      </c>
      <c r="H1097" t="str">
        <f t="shared" si="6"/>
        <v>CONTRACT#4746243/CUST#12847097</v>
      </c>
    </row>
    <row r="1098" spans="1:8" x14ac:dyDescent="0.25">
      <c r="E1098" t="str">
        <f>""</f>
        <v/>
      </c>
      <c r="F1098" t="str">
        <f>""</f>
        <v/>
      </c>
      <c r="H1098" t="str">
        <f t="shared" si="6"/>
        <v>CONTRACT#4746243/CUST#12847097</v>
      </c>
    </row>
    <row r="1099" spans="1:8" x14ac:dyDescent="0.25">
      <c r="E1099" t="str">
        <f>""</f>
        <v/>
      </c>
      <c r="F1099" t="str">
        <f>""</f>
        <v/>
      </c>
      <c r="H1099" t="str">
        <f t="shared" si="6"/>
        <v>CONTRACT#4746243/CUST#12847097</v>
      </c>
    </row>
    <row r="1100" spans="1:8" x14ac:dyDescent="0.25">
      <c r="E1100" t="str">
        <f>"5057377446 - P2"</f>
        <v>5057377446 - P2</v>
      </c>
      <c r="F1100" t="str">
        <f>"CONTRACT#4746243/PCT#2"</f>
        <v>CONTRACT#4746243/PCT#2</v>
      </c>
      <c r="G1100" s="2">
        <v>83.58</v>
      </c>
      <c r="H1100" t="str">
        <f>"CONTRACT#4746243/PCT#2"</f>
        <v>CONTRACT#4746243/PCT#2</v>
      </c>
    </row>
    <row r="1101" spans="1:8" x14ac:dyDescent="0.25">
      <c r="A1101" t="s">
        <v>343</v>
      </c>
      <c r="B1101">
        <v>1388</v>
      </c>
      <c r="C1101" s="2">
        <v>950</v>
      </c>
      <c r="D1101" s="1">
        <v>43732</v>
      </c>
      <c r="E1101" t="str">
        <f>"201909181924"</f>
        <v>201909181924</v>
      </c>
      <c r="F1101" t="str">
        <f>"INV BCSOAUG19"</f>
        <v>INV BCSOAUG19</v>
      </c>
      <c r="G1101" s="2">
        <v>950</v>
      </c>
      <c r="H1101" t="str">
        <f>"INV BCSOAUG19"</f>
        <v>INV BCSOAUG19</v>
      </c>
    </row>
    <row r="1102" spans="1:8" x14ac:dyDescent="0.25">
      <c r="A1102" t="s">
        <v>343</v>
      </c>
      <c r="B1102">
        <v>83901</v>
      </c>
      <c r="C1102" s="2">
        <v>200</v>
      </c>
      <c r="D1102" s="1">
        <v>43717</v>
      </c>
      <c r="E1102" t="str">
        <f>"BCSOAUG19"</f>
        <v>BCSOAUG19</v>
      </c>
      <c r="F1102" t="str">
        <f>"INV BCSOAUG19"</f>
        <v>INV BCSOAUG19</v>
      </c>
      <c r="G1102" s="2">
        <v>200</v>
      </c>
    </row>
    <row r="1103" spans="1:8" x14ac:dyDescent="0.25">
      <c r="A1103" t="s">
        <v>343</v>
      </c>
      <c r="B1103">
        <v>83901</v>
      </c>
      <c r="C1103" s="2">
        <v>200</v>
      </c>
      <c r="D1103" s="1">
        <v>43717</v>
      </c>
      <c r="E1103" t="str">
        <f>"CHECK"</f>
        <v>CHECK</v>
      </c>
      <c r="F1103" t="str">
        <f>""</f>
        <v/>
      </c>
      <c r="G1103" s="2">
        <v>200</v>
      </c>
    </row>
    <row r="1104" spans="1:8" x14ac:dyDescent="0.25">
      <c r="A1104" t="s">
        <v>344</v>
      </c>
      <c r="B1104">
        <v>83854</v>
      </c>
      <c r="C1104" s="2">
        <v>127.82</v>
      </c>
      <c r="D1104" s="1">
        <v>43717</v>
      </c>
      <c r="E1104" t="str">
        <f>"4733684"</f>
        <v>4733684</v>
      </c>
      <c r="F1104" t="str">
        <f>"CUST ID:90564/FILTER/2735178"</f>
        <v>CUST ID:90564/FILTER/2735178</v>
      </c>
      <c r="G1104" s="2">
        <v>127.82</v>
      </c>
      <c r="H1104" t="str">
        <f>"CUST ID:90564/FILTER/2735178"</f>
        <v>CUST ID:90564/FILTER/2735178</v>
      </c>
    </row>
    <row r="1105" spans="1:8" x14ac:dyDescent="0.25">
      <c r="A1105" t="s">
        <v>344</v>
      </c>
      <c r="B1105">
        <v>84090</v>
      </c>
      <c r="C1105" s="2">
        <v>594.76</v>
      </c>
      <c r="D1105" s="1">
        <v>43731</v>
      </c>
      <c r="E1105" t="str">
        <f>"4750685"</f>
        <v>4750685</v>
      </c>
      <c r="F1105" t="str">
        <f>"CUST ID:90564/GEN SV"</f>
        <v>CUST ID:90564/GEN SV</v>
      </c>
      <c r="G1105" s="2">
        <v>52.91</v>
      </c>
      <c r="H1105" t="str">
        <f>"CUST ID:90564/MATERIALS/GEN SV"</f>
        <v>CUST ID:90564/MATERIALS/GEN SV</v>
      </c>
    </row>
    <row r="1106" spans="1:8" x14ac:dyDescent="0.25">
      <c r="E1106" t="str">
        <f>"4750703"</f>
        <v>4750703</v>
      </c>
      <c r="F1106" t="str">
        <f>"CUST ID:90564/GEN SVCS"</f>
        <v>CUST ID:90564/GEN SVCS</v>
      </c>
      <c r="G1106" s="2">
        <v>388.46</v>
      </c>
      <c r="H1106" t="str">
        <f>"CUST ID:90564/GEN SVCS"</f>
        <v>CUST ID:90564/GEN SVCS</v>
      </c>
    </row>
    <row r="1107" spans="1:8" x14ac:dyDescent="0.25">
      <c r="E1107" t="str">
        <f>"4751042"</f>
        <v>4751042</v>
      </c>
      <c r="F1107" t="str">
        <f>"CUST ID:90564/GEN SVCS"</f>
        <v>CUST ID:90564/GEN SVCS</v>
      </c>
      <c r="G1107" s="2">
        <v>148</v>
      </c>
      <c r="H1107" t="str">
        <f>"CUST ID:90564/GEN SVCS"</f>
        <v>CUST ID:90564/GEN SVCS</v>
      </c>
    </row>
    <row r="1108" spans="1:8" x14ac:dyDescent="0.25">
      <c r="E1108" t="str">
        <f>"4751076"</f>
        <v>4751076</v>
      </c>
      <c r="F1108" t="str">
        <f>"INV 4751076"</f>
        <v>INV 4751076</v>
      </c>
      <c r="G1108" s="2">
        <v>5.39</v>
      </c>
      <c r="H1108" t="str">
        <f>"INV 4751076"</f>
        <v>INV 4751076</v>
      </c>
    </row>
    <row r="1109" spans="1:8" x14ac:dyDescent="0.25">
      <c r="A1109" t="s">
        <v>345</v>
      </c>
      <c r="B1109">
        <v>84091</v>
      </c>
      <c r="C1109" s="2">
        <v>79</v>
      </c>
      <c r="D1109" s="1">
        <v>43731</v>
      </c>
      <c r="E1109" t="str">
        <f>"190914"</f>
        <v>190914</v>
      </c>
      <c r="F1109" t="str">
        <f>"Inv# 190914"</f>
        <v>Inv# 190914</v>
      </c>
      <c r="G1109" s="2">
        <v>79</v>
      </c>
      <c r="H1109" t="str">
        <f>"Zippered Hoodie"</f>
        <v>Zippered Hoodie</v>
      </c>
    </row>
    <row r="1110" spans="1:8" x14ac:dyDescent="0.25">
      <c r="E1110" t="str">
        <f>""</f>
        <v/>
      </c>
      <c r="F1110" t="str">
        <f>""</f>
        <v/>
      </c>
      <c r="H1110" t="str">
        <f>"2XL- Dylan"</f>
        <v>2XL- Dylan</v>
      </c>
    </row>
    <row r="1111" spans="1:8" x14ac:dyDescent="0.25">
      <c r="E1111" t="str">
        <f>""</f>
        <v/>
      </c>
      <c r="F1111" t="str">
        <f>""</f>
        <v/>
      </c>
      <c r="H1111" t="str">
        <f>"S- Amber"</f>
        <v>S- Amber</v>
      </c>
    </row>
    <row r="1112" spans="1:8" x14ac:dyDescent="0.25">
      <c r="E1112" t="str">
        <f>""</f>
        <v/>
      </c>
      <c r="F1112" t="str">
        <f>""</f>
        <v/>
      </c>
      <c r="H1112" t="str">
        <f>"S-Amber"</f>
        <v>S-Amber</v>
      </c>
    </row>
    <row r="1113" spans="1:8" x14ac:dyDescent="0.25">
      <c r="E1113" t="str">
        <f>""</f>
        <v/>
      </c>
      <c r="F1113" t="str">
        <f>""</f>
        <v/>
      </c>
      <c r="H1113" t="str">
        <f>"S-Amber"</f>
        <v>S-Amber</v>
      </c>
    </row>
    <row r="1114" spans="1:8" x14ac:dyDescent="0.25">
      <c r="A1114" t="s">
        <v>346</v>
      </c>
      <c r="B1114">
        <v>83855</v>
      </c>
      <c r="C1114" s="2">
        <v>54</v>
      </c>
      <c r="D1114" s="1">
        <v>43717</v>
      </c>
      <c r="E1114" t="str">
        <f>"201909031381"</f>
        <v>201909031381</v>
      </c>
      <c r="F1114" t="str">
        <f>"LPHCP RECORDING FEES"</f>
        <v>LPHCP RECORDING FEES</v>
      </c>
      <c r="G1114" s="2">
        <v>54</v>
      </c>
      <c r="H1114" t="str">
        <f>"LPHCP RECORDING FEES"</f>
        <v>LPHCP RECORDING FEES</v>
      </c>
    </row>
    <row r="1115" spans="1:8" x14ac:dyDescent="0.25">
      <c r="A1115" t="s">
        <v>346</v>
      </c>
      <c r="B1115">
        <v>83856</v>
      </c>
      <c r="C1115" s="2">
        <v>511</v>
      </c>
      <c r="D1115" s="1">
        <v>43717</v>
      </c>
      <c r="E1115" t="str">
        <f>"201909031387"</f>
        <v>201909031387</v>
      </c>
      <c r="F1115" t="str">
        <f>"DEVELOPMENT SVCS RECORDING FEE"</f>
        <v>DEVELOPMENT SVCS RECORDING FEE</v>
      </c>
      <c r="G1115" s="2">
        <v>511</v>
      </c>
      <c r="H1115" t="str">
        <f>"DEVELOPMENT SVCS RECORDING FEE"</f>
        <v>DEVELOPMENT SVCS RECORDING FEE</v>
      </c>
    </row>
    <row r="1116" spans="1:8" x14ac:dyDescent="0.25">
      <c r="A1116" t="s">
        <v>346</v>
      </c>
      <c r="B1116">
        <v>84092</v>
      </c>
      <c r="C1116" s="2">
        <v>244</v>
      </c>
      <c r="D1116" s="1">
        <v>43731</v>
      </c>
      <c r="E1116" t="str">
        <f>"201909171770"</f>
        <v>201909171770</v>
      </c>
      <c r="F1116" t="str">
        <f>"DEVELOPMENT SVCS RECORDING FEE"</f>
        <v>DEVELOPMENT SVCS RECORDING FEE</v>
      </c>
      <c r="G1116" s="2">
        <v>244</v>
      </c>
      <c r="H1116" t="str">
        <f>"DEVELOPMENT SVCS RECORDING FEE"</f>
        <v>DEVELOPMENT SVCS RECORDING FEE</v>
      </c>
    </row>
    <row r="1117" spans="1:8" x14ac:dyDescent="0.25">
      <c r="A1117" t="s">
        <v>347</v>
      </c>
      <c r="B1117">
        <v>84093</v>
      </c>
      <c r="C1117" s="2">
        <v>265.97000000000003</v>
      </c>
      <c r="D1117" s="1">
        <v>43731</v>
      </c>
      <c r="E1117" t="str">
        <f>"201909171894"</f>
        <v>201909171894</v>
      </c>
      <c r="F1117" t="str">
        <f>"INDIGENT HEALTH"</f>
        <v>INDIGENT HEALTH</v>
      </c>
      <c r="G1117" s="2">
        <v>265.97000000000003</v>
      </c>
      <c r="H1117" t="str">
        <f>"INDIGENT HEALTH"</f>
        <v>INDIGENT HEALTH</v>
      </c>
    </row>
    <row r="1118" spans="1:8" x14ac:dyDescent="0.25">
      <c r="A1118" t="s">
        <v>348</v>
      </c>
      <c r="B1118">
        <v>84094</v>
      </c>
      <c r="C1118" s="2">
        <v>222.25</v>
      </c>
      <c r="D1118" s="1">
        <v>43731</v>
      </c>
      <c r="E1118" t="str">
        <f>"CVW6085"</f>
        <v>CVW6085</v>
      </c>
      <c r="F1118" t="str">
        <f>"CUST#9486/PARTS/PCT#4"</f>
        <v>CUST#9486/PARTS/PCT#4</v>
      </c>
      <c r="G1118" s="2">
        <v>113.85</v>
      </c>
      <c r="H1118" t="str">
        <f>"CUST#9486/PARTS/PCT#4"</f>
        <v>CUST#9486/PARTS/PCT#4</v>
      </c>
    </row>
    <row r="1119" spans="1:8" x14ac:dyDescent="0.25">
      <c r="E1119" t="str">
        <f>"TRK5036 PRC4"</f>
        <v>TRK5036 PRC4</v>
      </c>
      <c r="F1119" t="str">
        <f>"CUST#9486/PART/PCT#4"</f>
        <v>CUST#9486/PART/PCT#4</v>
      </c>
      <c r="G1119" s="2">
        <v>108.4</v>
      </c>
      <c r="H1119" t="str">
        <f>"CUST#9486/PART/PCT#4"</f>
        <v>CUST#9486/PART/PCT#4</v>
      </c>
    </row>
    <row r="1120" spans="1:8" x14ac:dyDescent="0.25">
      <c r="A1120" t="s">
        <v>349</v>
      </c>
      <c r="B1120">
        <v>84095</v>
      </c>
      <c r="C1120" s="2">
        <v>437.37</v>
      </c>
      <c r="D1120" s="1">
        <v>43731</v>
      </c>
      <c r="E1120" t="str">
        <f>"00636_949379"</f>
        <v>00636_949379</v>
      </c>
      <c r="F1120" t="str">
        <f>"2009 FORD /SHERIFF"</f>
        <v>2009 FORD /SHERIFF</v>
      </c>
      <c r="G1120" s="2">
        <v>337.4</v>
      </c>
      <c r="H1120" t="str">
        <f>"2009 FORD /SHERIFF"</f>
        <v>2009 FORD /SHERIFF</v>
      </c>
    </row>
    <row r="1121" spans="1:8" x14ac:dyDescent="0.25">
      <c r="E1121" t="str">
        <f>"201909181903"</f>
        <v>201909181903</v>
      </c>
      <c r="F1121" t="str">
        <f>"SAFELITE FULFILLMENT INC"</f>
        <v>SAFELITE FULFILLMENT INC</v>
      </c>
      <c r="G1121" s="2">
        <v>99.97</v>
      </c>
      <c r="H1121" t="str">
        <f>"Windshield Repair"</f>
        <v>Windshield Repair</v>
      </c>
    </row>
    <row r="1122" spans="1:8" x14ac:dyDescent="0.25">
      <c r="A1122" t="s">
        <v>350</v>
      </c>
      <c r="B1122">
        <v>84096</v>
      </c>
      <c r="C1122" s="2">
        <v>187.2</v>
      </c>
      <c r="D1122" s="1">
        <v>43731</v>
      </c>
      <c r="E1122" t="str">
        <f>"30593"</f>
        <v>30593</v>
      </c>
      <c r="F1122" t="str">
        <f>"TEST MIRROR/PCT#1"</f>
        <v>TEST MIRROR/PCT#1</v>
      </c>
      <c r="G1122" s="2">
        <v>187.2</v>
      </c>
      <c r="H1122" t="str">
        <f>"TEST MIRROR/PCT#1"</f>
        <v>TEST MIRROR/PCT#1</v>
      </c>
    </row>
    <row r="1123" spans="1:8" x14ac:dyDescent="0.25">
      <c r="A1123" t="s">
        <v>351</v>
      </c>
      <c r="B1123">
        <v>1419</v>
      </c>
      <c r="C1123" s="2">
        <v>173.46</v>
      </c>
      <c r="D1123" s="1">
        <v>43732</v>
      </c>
      <c r="E1123" t="str">
        <f>"201909171890"</f>
        <v>201909171890</v>
      </c>
      <c r="F1123" t="str">
        <f>"INDIGENT HEALTH"</f>
        <v>INDIGENT HEALTH</v>
      </c>
      <c r="G1123" s="2">
        <v>173.46</v>
      </c>
      <c r="H1123" t="str">
        <f>"INDIGENT HEALTH"</f>
        <v>INDIGENT HEALTH</v>
      </c>
    </row>
    <row r="1124" spans="1:8" x14ac:dyDescent="0.25">
      <c r="A1124" t="s">
        <v>352</v>
      </c>
      <c r="B1124">
        <v>83857</v>
      </c>
      <c r="C1124" s="2">
        <v>570.53</v>
      </c>
      <c r="D1124" s="1">
        <v>43717</v>
      </c>
      <c r="E1124" t="str">
        <f>"201908281318"</f>
        <v>201908281318</v>
      </c>
      <c r="F1124" t="str">
        <f>"REIMBURSE HOTEL CHARGES"</f>
        <v>REIMBURSE HOTEL CHARGES</v>
      </c>
      <c r="G1124" s="2">
        <v>570.53</v>
      </c>
      <c r="H1124" t="str">
        <f>"REIMBURSE HOTEL CHARGES"</f>
        <v>REIMBURSE HOTEL CHARGES</v>
      </c>
    </row>
    <row r="1125" spans="1:8" x14ac:dyDescent="0.25">
      <c r="A1125" t="s">
        <v>352</v>
      </c>
      <c r="B1125">
        <v>84097</v>
      </c>
      <c r="C1125" s="2">
        <v>50</v>
      </c>
      <c r="D1125" s="1">
        <v>43731</v>
      </c>
      <c r="E1125" t="str">
        <f>"201909111643"</f>
        <v>201909111643</v>
      </c>
      <c r="F1125" t="str">
        <f>"CDCAT REGISTRATION"</f>
        <v>CDCAT REGISTRATION</v>
      </c>
      <c r="G1125" s="2">
        <v>50</v>
      </c>
      <c r="H1125" t="str">
        <f>"CDCAT REGISTRATION"</f>
        <v>CDCAT REGISTRATION</v>
      </c>
    </row>
    <row r="1126" spans="1:8" x14ac:dyDescent="0.25">
      <c r="A1126" t="s">
        <v>353</v>
      </c>
      <c r="B1126">
        <v>84098</v>
      </c>
      <c r="C1126" s="2">
        <v>10676.34</v>
      </c>
      <c r="D1126" s="1">
        <v>43731</v>
      </c>
      <c r="E1126" t="str">
        <f>"201909181950"</f>
        <v>201909181950</v>
      </c>
      <c r="F1126" t="str">
        <f>"2019-2020 ASSESSMENT"</f>
        <v>2019-2020 ASSESSMENT</v>
      </c>
      <c r="G1126" s="2">
        <v>10676.34</v>
      </c>
      <c r="H1126" t="str">
        <f>"2019-2020 ASSESSMENT"</f>
        <v>2019-2020 ASSESSMENT</v>
      </c>
    </row>
    <row r="1127" spans="1:8" x14ac:dyDescent="0.25">
      <c r="A1127" t="s">
        <v>354</v>
      </c>
      <c r="B1127">
        <v>1343</v>
      </c>
      <c r="C1127" s="2">
        <v>260</v>
      </c>
      <c r="D1127" s="1">
        <v>43718</v>
      </c>
      <c r="E1127" t="str">
        <f>"6571"</f>
        <v>6571</v>
      </c>
      <c r="F1127" t="str">
        <f>"Panic Button"</f>
        <v>Panic Button</v>
      </c>
      <c r="G1127" s="2">
        <v>260</v>
      </c>
      <c r="H1127" t="str">
        <f>"Single Button Alarm"</f>
        <v>Single Button Alarm</v>
      </c>
    </row>
    <row r="1128" spans="1:8" x14ac:dyDescent="0.25">
      <c r="E1128" t="str">
        <f>""</f>
        <v/>
      </c>
      <c r="F1128" t="str">
        <f>""</f>
        <v/>
      </c>
      <c r="H1128" t="str">
        <f>"Shipping"</f>
        <v>Shipping</v>
      </c>
    </row>
    <row r="1129" spans="1:8" x14ac:dyDescent="0.25">
      <c r="A1129" t="s">
        <v>355</v>
      </c>
      <c r="B1129">
        <v>84099</v>
      </c>
      <c r="C1129" s="2">
        <v>12493.52</v>
      </c>
      <c r="D1129" s="1">
        <v>43731</v>
      </c>
      <c r="E1129" t="str">
        <f>"201909171896"</f>
        <v>201909171896</v>
      </c>
      <c r="F1129" t="str">
        <f>"INDIGENT HEALTH"</f>
        <v>INDIGENT HEALTH</v>
      </c>
      <c r="G1129" s="2">
        <v>9156.52</v>
      </c>
      <c r="H1129" t="str">
        <f>"INDIGENT HEALTH"</f>
        <v>INDIGENT HEALTH</v>
      </c>
    </row>
    <row r="1130" spans="1:8" x14ac:dyDescent="0.25">
      <c r="E1130" t="str">
        <f>""</f>
        <v/>
      </c>
      <c r="F1130" t="str">
        <f>""</f>
        <v/>
      </c>
      <c r="H1130" t="str">
        <f>"INDIGENT HEALTH"</f>
        <v>INDIGENT HEALTH</v>
      </c>
    </row>
    <row r="1131" spans="1:8" x14ac:dyDescent="0.25">
      <c r="E1131" t="str">
        <f>"82019"</f>
        <v>82019</v>
      </c>
      <c r="F1131" t="str">
        <f>"PRESCRIPTION ASSISTANCE"</f>
        <v>PRESCRIPTION ASSISTANCE</v>
      </c>
      <c r="G1131" s="2">
        <v>3337</v>
      </c>
      <c r="H1131" t="str">
        <f>"PRESCRIPTION ASSISTANCE"</f>
        <v>PRESCRIPTION ASSISTANCE</v>
      </c>
    </row>
    <row r="1132" spans="1:8" x14ac:dyDescent="0.25">
      <c r="A1132" t="s">
        <v>356</v>
      </c>
      <c r="B1132">
        <v>83858</v>
      </c>
      <c r="C1132" s="2">
        <v>225</v>
      </c>
      <c r="D1132" s="1">
        <v>43717</v>
      </c>
      <c r="E1132" t="str">
        <f>"201909041449"</f>
        <v>201909041449</v>
      </c>
      <c r="F1132" t="str">
        <f>"TRAVEL ADVANCE-PER DIEM"</f>
        <v>TRAVEL ADVANCE-PER DIEM</v>
      </c>
      <c r="G1132" s="2">
        <v>225</v>
      </c>
      <c r="H1132" t="str">
        <f>"TRAVEL ADVANCE-PER DIEM"</f>
        <v>TRAVEL ADVANCE-PER DIEM</v>
      </c>
    </row>
    <row r="1133" spans="1:8" x14ac:dyDescent="0.25">
      <c r="A1133" t="s">
        <v>357</v>
      </c>
      <c r="B1133">
        <v>83859</v>
      </c>
      <c r="C1133" s="2">
        <v>19734.36</v>
      </c>
      <c r="D1133" s="1">
        <v>43717</v>
      </c>
      <c r="E1133" t="str">
        <f>"GB00335838 GB00339"</f>
        <v>GB00335838 GB00339</v>
      </c>
      <c r="F1133" t="str">
        <f>"SHI Order"</f>
        <v>SHI Order</v>
      </c>
      <c r="G1133" s="2">
        <v>2288.8000000000002</v>
      </c>
      <c r="H1133" t="str">
        <f>"Conference Phone"</f>
        <v>Conference Phone</v>
      </c>
    </row>
    <row r="1134" spans="1:8" x14ac:dyDescent="0.25">
      <c r="E1134" t="str">
        <f>""</f>
        <v/>
      </c>
      <c r="F1134" t="str">
        <f>""</f>
        <v/>
      </c>
      <c r="H1134" t="str">
        <f>"Smartnet"</f>
        <v>Smartnet</v>
      </c>
    </row>
    <row r="1135" spans="1:8" x14ac:dyDescent="0.25">
      <c r="E1135" t="str">
        <f>""</f>
        <v/>
      </c>
      <c r="F1135" t="str">
        <f>""</f>
        <v/>
      </c>
      <c r="H1135" t="str">
        <f>"Conference Phone"</f>
        <v>Conference Phone</v>
      </c>
    </row>
    <row r="1136" spans="1:8" x14ac:dyDescent="0.25">
      <c r="E1136" t="str">
        <f>""</f>
        <v/>
      </c>
      <c r="F1136" t="str">
        <f>""</f>
        <v/>
      </c>
      <c r="H1136" t="str">
        <f>"Smartnet"</f>
        <v>Smartnet</v>
      </c>
    </row>
    <row r="1137" spans="1:8" x14ac:dyDescent="0.25">
      <c r="E1137" t="str">
        <f>"GB00337739"</f>
        <v>GB00337739</v>
      </c>
      <c r="F1137" t="str">
        <f>"NetApp Renewal"</f>
        <v>NetApp Renewal</v>
      </c>
      <c r="G1137" s="2">
        <v>17445.560000000001</v>
      </c>
      <c r="H1137" t="str">
        <f>"split coverage"</f>
        <v>split coverage</v>
      </c>
    </row>
    <row r="1138" spans="1:8" x14ac:dyDescent="0.25">
      <c r="E1138" t="str">
        <f>""</f>
        <v/>
      </c>
      <c r="F1138" t="str">
        <f>""</f>
        <v/>
      </c>
      <c r="H1138" t="str">
        <f>"split coverage"</f>
        <v>split coverage</v>
      </c>
    </row>
    <row r="1139" spans="1:8" x14ac:dyDescent="0.25">
      <c r="A1139" t="s">
        <v>357</v>
      </c>
      <c r="B1139">
        <v>84100</v>
      </c>
      <c r="C1139" s="2">
        <v>9849.5</v>
      </c>
      <c r="D1139" s="1">
        <v>43731</v>
      </c>
      <c r="E1139" t="str">
        <f>"201909181906"</f>
        <v>201909181906</v>
      </c>
      <c r="F1139" t="str">
        <f>"SHI GOVERNMENT SOLUTIONS INC."</f>
        <v>SHI GOVERNMENT SOLUTIONS INC.</v>
      </c>
      <c r="G1139" s="2">
        <v>418</v>
      </c>
      <c r="H1139" t="str">
        <f>"Tripp Lite 25'"</f>
        <v>Tripp Lite 25'</v>
      </c>
    </row>
    <row r="1140" spans="1:8" x14ac:dyDescent="0.25">
      <c r="E1140" t="str">
        <f>"GB00336285"</f>
        <v>GB00336285</v>
      </c>
      <c r="F1140" t="str">
        <f>"SHI Order"</f>
        <v>SHI Order</v>
      </c>
      <c r="G1140" s="2">
        <v>408</v>
      </c>
      <c r="H1140" t="str">
        <f>"CS 530"</f>
        <v>CS 530</v>
      </c>
    </row>
    <row r="1141" spans="1:8" x14ac:dyDescent="0.25">
      <c r="E1141" t="str">
        <f>"GB00336745"</f>
        <v>GB00336745</v>
      </c>
      <c r="F1141" t="str">
        <f>"Adobe Acrobat Standard"</f>
        <v>Adobe Acrobat Standard</v>
      </c>
      <c r="G1141" s="2">
        <v>219</v>
      </c>
      <c r="H1141" t="str">
        <f>"Adobe Acrobat Standard"</f>
        <v>Adobe Acrobat Standard</v>
      </c>
    </row>
    <row r="1142" spans="1:8" x14ac:dyDescent="0.25">
      <c r="E1142" t="str">
        <f>"GB00339421"</f>
        <v>GB00339421</v>
      </c>
      <c r="F1142" t="str">
        <f>"ESET renewal"</f>
        <v>ESET renewal</v>
      </c>
      <c r="G1142" s="2">
        <v>6607.5</v>
      </c>
      <c r="H1142" t="str">
        <f>"Part#: ESE-R1-G"</f>
        <v>Part#: ESE-R1-G</v>
      </c>
    </row>
    <row r="1143" spans="1:8" x14ac:dyDescent="0.25">
      <c r="E1143" t="str">
        <f>"GB00339690"</f>
        <v>GB00339690</v>
      </c>
      <c r="F1143" t="str">
        <f>"SHI Order"</f>
        <v>SHI Order</v>
      </c>
      <c r="G1143" s="2">
        <v>915</v>
      </c>
      <c r="H1143" t="str">
        <f>"M428fdw"</f>
        <v>M428fdw</v>
      </c>
    </row>
    <row r="1144" spans="1:8" x14ac:dyDescent="0.25">
      <c r="E1144" t="str">
        <f>"GB00340177"</f>
        <v>GB00340177</v>
      </c>
      <c r="F1144" t="str">
        <f>"Headset for JP4"</f>
        <v>Headset for JP4</v>
      </c>
      <c r="G1144" s="2">
        <v>204</v>
      </c>
      <c r="H1144" t="str">
        <f>" Part#: 86305-11"</f>
        <v xml:space="preserve"> Part#: 86305-11</v>
      </c>
    </row>
    <row r="1145" spans="1:8" x14ac:dyDescent="0.25">
      <c r="E1145" t="str">
        <f>"GB00340665"</f>
        <v>GB00340665</v>
      </c>
      <c r="F1145" t="str">
        <f>"Perle Device Server for C"</f>
        <v>Perle Device Server for C</v>
      </c>
      <c r="G1145" s="2">
        <v>1078</v>
      </c>
      <c r="H1145" t="str">
        <f>"Part#: 04031854"</f>
        <v>Part#: 04031854</v>
      </c>
    </row>
    <row r="1146" spans="1:8" x14ac:dyDescent="0.25">
      <c r="A1146" t="s">
        <v>358</v>
      </c>
      <c r="B1146">
        <v>83860</v>
      </c>
      <c r="C1146" s="2">
        <v>260.64</v>
      </c>
      <c r="D1146" s="1">
        <v>43717</v>
      </c>
      <c r="E1146" t="str">
        <f>"8128075886"</f>
        <v>8128075886</v>
      </c>
      <c r="F1146" t="str">
        <f>"CUST#16155373/SHREDDING SVCS"</f>
        <v>CUST#16155373/SHREDDING SVCS</v>
      </c>
      <c r="G1146" s="2">
        <v>123.44</v>
      </c>
      <c r="H1146" t="str">
        <f t="shared" ref="H1146:H1151" si="7">"CUST#16155373/SHREDDING SVCS"</f>
        <v>CUST#16155373/SHREDDING SVCS</v>
      </c>
    </row>
    <row r="1147" spans="1:8" x14ac:dyDescent="0.25">
      <c r="E1147" t="str">
        <f>""</f>
        <v/>
      </c>
      <c r="F1147" t="str">
        <f>""</f>
        <v/>
      </c>
      <c r="H1147" t="str">
        <f t="shared" si="7"/>
        <v>CUST#16155373/SHREDDING SVCS</v>
      </c>
    </row>
    <row r="1148" spans="1:8" x14ac:dyDescent="0.25">
      <c r="E1148" t="str">
        <f>""</f>
        <v/>
      </c>
      <c r="F1148" t="str">
        <f>""</f>
        <v/>
      </c>
      <c r="H1148" t="str">
        <f t="shared" si="7"/>
        <v>CUST#16155373/SHREDDING SVCS</v>
      </c>
    </row>
    <row r="1149" spans="1:8" x14ac:dyDescent="0.25">
      <c r="E1149" t="str">
        <f>""</f>
        <v/>
      </c>
      <c r="F1149" t="str">
        <f>""</f>
        <v/>
      </c>
      <c r="H1149" t="str">
        <f t="shared" si="7"/>
        <v>CUST#16155373/SHREDDING SVCS</v>
      </c>
    </row>
    <row r="1150" spans="1:8" x14ac:dyDescent="0.25">
      <c r="E1150" t="str">
        <f>""</f>
        <v/>
      </c>
      <c r="F1150" t="str">
        <f>""</f>
        <v/>
      </c>
      <c r="H1150" t="str">
        <f t="shared" si="7"/>
        <v>CUST#16155373/SHREDDING SVCS</v>
      </c>
    </row>
    <row r="1151" spans="1:8" x14ac:dyDescent="0.25">
      <c r="E1151" t="str">
        <f>""</f>
        <v/>
      </c>
      <c r="F1151" t="str">
        <f>""</f>
        <v/>
      </c>
      <c r="H1151" t="str">
        <f t="shared" si="7"/>
        <v>CUST#16155373/SHREDDING SVCS</v>
      </c>
    </row>
    <row r="1152" spans="1:8" x14ac:dyDescent="0.25">
      <c r="E1152" t="str">
        <f>"8128076019"</f>
        <v>8128076019</v>
      </c>
      <c r="F1152" t="str">
        <f>"CUST#16158670/SHREDDING/JP4"</f>
        <v>CUST#16158670/SHREDDING/JP4</v>
      </c>
      <c r="G1152" s="2">
        <v>66.349999999999994</v>
      </c>
      <c r="H1152" t="str">
        <f>"CUST#16158670/SHREDDING/JP4"</f>
        <v>CUST#16158670/SHREDDING/JP4</v>
      </c>
    </row>
    <row r="1153" spans="1:8" x14ac:dyDescent="0.25">
      <c r="E1153" t="str">
        <f>"8128076150"</f>
        <v>8128076150</v>
      </c>
      <c r="F1153" t="str">
        <f>"CUST#16160327/EMER MGMT"</f>
        <v>CUST#16160327/EMER MGMT</v>
      </c>
      <c r="G1153" s="2">
        <v>70.849999999999994</v>
      </c>
      <c r="H1153" t="str">
        <f>"CUST#16160327/EMER MGMT"</f>
        <v>CUST#16160327/EMER MGMT</v>
      </c>
    </row>
    <row r="1154" spans="1:8" x14ac:dyDescent="0.25">
      <c r="A1154" t="s">
        <v>358</v>
      </c>
      <c r="B1154">
        <v>84101</v>
      </c>
      <c r="C1154" s="2">
        <v>239.62</v>
      </c>
      <c r="D1154" s="1">
        <v>43731</v>
      </c>
      <c r="E1154" t="str">
        <f>"8128075276"</f>
        <v>8128075276</v>
      </c>
      <c r="F1154" t="str">
        <f>"INV 8128075276"</f>
        <v>INV 8128075276</v>
      </c>
      <c r="G1154" s="2">
        <v>157.16999999999999</v>
      </c>
      <c r="H1154" t="str">
        <f>"INV 8128075276 - LE"</f>
        <v>INV 8128075276 - LE</v>
      </c>
    </row>
    <row r="1155" spans="1:8" x14ac:dyDescent="0.25">
      <c r="E1155" t="str">
        <f>""</f>
        <v/>
      </c>
      <c r="F1155" t="str">
        <f>""</f>
        <v/>
      </c>
      <c r="H1155" t="str">
        <f>"INV 8128075276 - JAI"</f>
        <v>INV 8128075276 - JAI</v>
      </c>
    </row>
    <row r="1156" spans="1:8" x14ac:dyDescent="0.25">
      <c r="E1156" t="str">
        <f>"8128075933"</f>
        <v>8128075933</v>
      </c>
      <c r="F1156" t="str">
        <f>"CUST#16156071/SHREDDING SVCS"</f>
        <v>CUST#16156071/SHREDDING SVCS</v>
      </c>
      <c r="G1156" s="2">
        <v>82.45</v>
      </c>
      <c r="H1156" t="str">
        <f>"CUST#16156071/SHREDDING SVCS"</f>
        <v>CUST#16156071/SHREDDING SVCS</v>
      </c>
    </row>
    <row r="1157" spans="1:8" x14ac:dyDescent="0.25">
      <c r="A1157" t="s">
        <v>359</v>
      </c>
      <c r="B1157">
        <v>84102</v>
      </c>
      <c r="C1157" s="2">
        <v>36.24</v>
      </c>
      <c r="D1157" s="1">
        <v>43731</v>
      </c>
      <c r="E1157" t="str">
        <f>"201909171897"</f>
        <v>201909171897</v>
      </c>
      <c r="F1157" t="str">
        <f>"INDIGENT HEALTH"</f>
        <v>INDIGENT HEALTH</v>
      </c>
      <c r="G1157" s="2">
        <v>36.24</v>
      </c>
      <c r="H1157" t="str">
        <f>"INDIGENT HEALTH"</f>
        <v>INDIGENT HEALTH</v>
      </c>
    </row>
    <row r="1158" spans="1:8" x14ac:dyDescent="0.25">
      <c r="A1158" t="s">
        <v>360</v>
      </c>
      <c r="B1158">
        <v>1378</v>
      </c>
      <c r="C1158" s="2">
        <v>39287.68</v>
      </c>
      <c r="D1158" s="1">
        <v>43732</v>
      </c>
      <c r="E1158" t="str">
        <f>"F68382"</f>
        <v>F68382</v>
      </c>
      <c r="F1158" t="str">
        <f>"SILSBEE FORD"</f>
        <v>SILSBEE FORD</v>
      </c>
      <c r="G1158" s="2">
        <v>39287.68</v>
      </c>
      <c r="H1158" t="str">
        <f>"CHEVY TAHOE"</f>
        <v>CHEVY TAHOE</v>
      </c>
    </row>
    <row r="1159" spans="1:8" x14ac:dyDescent="0.25">
      <c r="E1159" t="str">
        <f>""</f>
        <v/>
      </c>
      <c r="F1159" t="str">
        <f>""</f>
        <v/>
      </c>
      <c r="H1159" t="str">
        <f>"GOODBUY FEE"</f>
        <v>GOODBUY FEE</v>
      </c>
    </row>
    <row r="1160" spans="1:8" x14ac:dyDescent="0.25">
      <c r="A1160" t="s">
        <v>361</v>
      </c>
      <c r="B1160">
        <v>84103</v>
      </c>
      <c r="C1160" s="2">
        <v>102.96</v>
      </c>
      <c r="D1160" s="1">
        <v>43731</v>
      </c>
      <c r="E1160" t="str">
        <f>"201909111657"</f>
        <v>201909111657</v>
      </c>
      <c r="F1160" t="str">
        <f>"STATEMENT#31324/PCT#2"</f>
        <v>STATEMENT#31324/PCT#2</v>
      </c>
      <c r="G1160" s="2">
        <v>102.96</v>
      </c>
      <c r="H1160" t="str">
        <f>"STATEMENT#31324/PCT#2"</f>
        <v>STATEMENT#31324/PCT#2</v>
      </c>
    </row>
    <row r="1161" spans="1:8" x14ac:dyDescent="0.25">
      <c r="A1161" t="s">
        <v>362</v>
      </c>
      <c r="B1161">
        <v>84104</v>
      </c>
      <c r="C1161" s="2">
        <v>862.4</v>
      </c>
      <c r="D1161" s="1">
        <v>43731</v>
      </c>
      <c r="E1161" t="str">
        <f>"201909111656"</f>
        <v>201909111656</v>
      </c>
      <c r="F1161" t="str">
        <f>"ACCT#260/PCT#2"</f>
        <v>ACCT#260/PCT#2</v>
      </c>
      <c r="G1161" s="2">
        <v>862.4</v>
      </c>
      <c r="H1161" t="str">
        <f>"ACCT#260/PCT#2"</f>
        <v>ACCT#260/PCT#2</v>
      </c>
    </row>
    <row r="1162" spans="1:8" x14ac:dyDescent="0.25">
      <c r="A1162" t="s">
        <v>363</v>
      </c>
      <c r="B1162">
        <v>84105</v>
      </c>
      <c r="C1162" s="2">
        <v>1011.34</v>
      </c>
      <c r="D1162" s="1">
        <v>43731</v>
      </c>
      <c r="E1162" t="str">
        <f>"4650022748"</f>
        <v>4650022748</v>
      </c>
      <c r="F1162" t="str">
        <f>"CUST#52157//PCT#3"</f>
        <v>CUST#52157//PCT#3</v>
      </c>
      <c r="G1162" s="2">
        <v>1011.34</v>
      </c>
      <c r="H1162" t="str">
        <f>"CUST#52157//PCT#3"</f>
        <v>CUST#52157//PCT#3</v>
      </c>
    </row>
    <row r="1163" spans="1:8" x14ac:dyDescent="0.25">
      <c r="A1163" t="s">
        <v>364</v>
      </c>
      <c r="B1163">
        <v>83861</v>
      </c>
      <c r="C1163" s="2">
        <v>102.04</v>
      </c>
      <c r="D1163" s="1">
        <v>43717</v>
      </c>
      <c r="E1163" t="str">
        <f>"9604456 081519"</f>
        <v>9604456 081519</v>
      </c>
      <c r="F1163" t="str">
        <f>"ACCT#46668439604456/JP#2"</f>
        <v>ACCT#46668439604456/JP#2</v>
      </c>
      <c r="G1163" s="2">
        <v>102.04</v>
      </c>
      <c r="H1163" t="str">
        <f>"ACCT#46668439604456/JP#2"</f>
        <v>ACCT#46668439604456/JP#2</v>
      </c>
    </row>
    <row r="1164" spans="1:8" x14ac:dyDescent="0.25">
      <c r="A1164" t="s">
        <v>366</v>
      </c>
      <c r="B1164">
        <v>84106</v>
      </c>
      <c r="C1164" s="2">
        <v>125.92</v>
      </c>
      <c r="D1164" s="1">
        <v>43731</v>
      </c>
      <c r="E1164" t="str">
        <f>"S1014947"</f>
        <v>S1014947</v>
      </c>
      <c r="F1164" t="str">
        <f>"ACCT#114382/ANIMAL SHELTER"</f>
        <v>ACCT#114382/ANIMAL SHELTER</v>
      </c>
      <c r="G1164" s="2">
        <v>125.92</v>
      </c>
      <c r="H1164" t="str">
        <f>"ACCT#114382/ANIMAL SHELTER"</f>
        <v>ACCT#114382/ANIMAL SHELTER</v>
      </c>
    </row>
    <row r="1165" spans="1:8" x14ac:dyDescent="0.25">
      <c r="A1165" t="s">
        <v>367</v>
      </c>
      <c r="B1165">
        <v>84107</v>
      </c>
      <c r="C1165" s="2">
        <v>1316.53</v>
      </c>
      <c r="D1165" s="1">
        <v>43731</v>
      </c>
      <c r="E1165" t="str">
        <f>"201909171899"</f>
        <v>201909171899</v>
      </c>
      <c r="F1165" t="str">
        <f>"INDIGENT HEALTH"</f>
        <v>INDIGENT HEALTH</v>
      </c>
      <c r="G1165" s="2">
        <v>570.79</v>
      </c>
      <c r="H1165" t="str">
        <f>"INDIGENT HEALTH"</f>
        <v>INDIGENT HEALTH</v>
      </c>
    </row>
    <row r="1166" spans="1:8" x14ac:dyDescent="0.25">
      <c r="E1166" t="str">
        <f>"201909171900"</f>
        <v>201909171900</v>
      </c>
      <c r="F1166" t="str">
        <f>"INDIGENT HEALTH"</f>
        <v>INDIGENT HEALTH</v>
      </c>
      <c r="G1166" s="2">
        <v>745.74</v>
      </c>
      <c r="H1166" t="str">
        <f>"INDIGENT HEALTH"</f>
        <v>INDIGENT HEALTH</v>
      </c>
    </row>
    <row r="1167" spans="1:8" x14ac:dyDescent="0.25">
      <c r="A1167" t="s">
        <v>368</v>
      </c>
      <c r="B1167">
        <v>84108</v>
      </c>
      <c r="C1167" s="2">
        <v>125.55</v>
      </c>
      <c r="D1167" s="1">
        <v>43731</v>
      </c>
      <c r="E1167" t="str">
        <f>"201909171898"</f>
        <v>201909171898</v>
      </c>
      <c r="F1167" t="str">
        <f>"INDIGENT HEALTH"</f>
        <v>INDIGENT HEALTH</v>
      </c>
      <c r="G1167" s="2">
        <v>125.55</v>
      </c>
      <c r="H1167" t="str">
        <f>"INDIGENT HEALTH"</f>
        <v>INDIGENT HEALTH</v>
      </c>
    </row>
    <row r="1168" spans="1:8" x14ac:dyDescent="0.25">
      <c r="A1168" t="s">
        <v>369</v>
      </c>
      <c r="B1168">
        <v>83758</v>
      </c>
      <c r="C1168" s="2">
        <v>4747.8500000000004</v>
      </c>
      <c r="D1168" s="1">
        <v>43714</v>
      </c>
      <c r="E1168" t="str">
        <f>"201909061564"</f>
        <v>201909061564</v>
      </c>
      <c r="F1168" t="str">
        <f>"INDIGENT HEALTH - REISSUE"</f>
        <v>INDIGENT HEALTH - REISSUE</v>
      </c>
      <c r="G1168" s="2">
        <v>4747.8500000000004</v>
      </c>
      <c r="H1168" t="str">
        <f>"INDIGENT HEALTH - REISSUE"</f>
        <v>INDIGENT HEALTH - REISSUE</v>
      </c>
    </row>
    <row r="1169" spans="1:8" x14ac:dyDescent="0.25">
      <c r="E1169" t="str">
        <f>""</f>
        <v/>
      </c>
      <c r="F1169" t="str">
        <f>""</f>
        <v/>
      </c>
      <c r="H1169" t="str">
        <f>"INDIGENT HEALTH - REISSUE"</f>
        <v>INDIGENT HEALTH - REISSUE</v>
      </c>
    </row>
    <row r="1170" spans="1:8" x14ac:dyDescent="0.25">
      <c r="E1170" t="str">
        <f>""</f>
        <v/>
      </c>
      <c r="F1170" t="str">
        <f>""</f>
        <v/>
      </c>
      <c r="H1170" t="str">
        <f>"INDIGENT HEALTH - REISSUE"</f>
        <v>INDIGENT HEALTH - REISSUE</v>
      </c>
    </row>
    <row r="1171" spans="1:8" x14ac:dyDescent="0.25">
      <c r="A1171" t="s">
        <v>365</v>
      </c>
      <c r="B1171">
        <v>84109</v>
      </c>
      <c r="C1171" s="2">
        <v>75.790000000000006</v>
      </c>
      <c r="D1171" s="1">
        <v>43731</v>
      </c>
      <c r="E1171" t="str">
        <f>"11969495 083019"</f>
        <v>11969495 083019</v>
      </c>
      <c r="F1171" t="str">
        <f>"ACCT#556850411969495/DA'S OFF"</f>
        <v>ACCT#556850411969495/DA'S OFF</v>
      </c>
      <c r="G1171" s="2">
        <v>75.790000000000006</v>
      </c>
      <c r="H1171" t="str">
        <f>"ACCT#556850411969495/DA'S OFF"</f>
        <v>ACCT#556850411969495/DA'S OFF</v>
      </c>
    </row>
    <row r="1172" spans="1:8" x14ac:dyDescent="0.25">
      <c r="A1172" t="s">
        <v>370</v>
      </c>
      <c r="B1172">
        <v>83862</v>
      </c>
      <c r="C1172" s="2">
        <v>1481.49</v>
      </c>
      <c r="D1172" s="1">
        <v>43717</v>
      </c>
      <c r="E1172" t="str">
        <f>"8055376360"</f>
        <v>8055376360</v>
      </c>
      <c r="F1172" t="str">
        <f>"INv# 8055376360"</f>
        <v>INv# 8055376360</v>
      </c>
      <c r="G1172" s="2">
        <v>1481.49</v>
      </c>
      <c r="H1172" t="str">
        <f>"Inv# 3422189546"</f>
        <v>Inv# 3422189546</v>
      </c>
    </row>
    <row r="1173" spans="1:8" x14ac:dyDescent="0.25">
      <c r="E1173" t="str">
        <f>""</f>
        <v/>
      </c>
      <c r="F1173" t="str">
        <f>""</f>
        <v/>
      </c>
      <c r="H1173" t="str">
        <f>"Inv# 3422189547"</f>
        <v>Inv# 3422189547</v>
      </c>
    </row>
    <row r="1174" spans="1:8" x14ac:dyDescent="0.25">
      <c r="E1174" t="str">
        <f>""</f>
        <v/>
      </c>
      <c r="F1174" t="str">
        <f>""</f>
        <v/>
      </c>
      <c r="H1174" t="str">
        <f>"Inv# 3422189551"</f>
        <v>Inv# 3422189551</v>
      </c>
    </row>
    <row r="1175" spans="1:8" x14ac:dyDescent="0.25">
      <c r="E1175" t="str">
        <f>""</f>
        <v/>
      </c>
      <c r="F1175" t="str">
        <f>""</f>
        <v/>
      </c>
      <c r="H1175" t="str">
        <f>"Inv# 34221895489"</f>
        <v>Inv# 34221895489</v>
      </c>
    </row>
    <row r="1176" spans="1:8" x14ac:dyDescent="0.25">
      <c r="E1176" t="str">
        <f>""</f>
        <v/>
      </c>
      <c r="F1176" t="str">
        <f>""</f>
        <v/>
      </c>
      <c r="H1176" t="str">
        <f>"Inv# 3422189550"</f>
        <v>Inv# 3422189550</v>
      </c>
    </row>
    <row r="1177" spans="1:8" x14ac:dyDescent="0.25">
      <c r="E1177" t="str">
        <f>""</f>
        <v/>
      </c>
      <c r="F1177" t="str">
        <f>""</f>
        <v/>
      </c>
      <c r="H1177" t="str">
        <f>"Inv# 3422189543"</f>
        <v>Inv# 3422189543</v>
      </c>
    </row>
    <row r="1178" spans="1:8" x14ac:dyDescent="0.25">
      <c r="E1178" t="str">
        <f>""</f>
        <v/>
      </c>
      <c r="F1178" t="str">
        <f>""</f>
        <v/>
      </c>
      <c r="H1178" t="str">
        <f>"Inv# 3422189544"</f>
        <v>Inv# 3422189544</v>
      </c>
    </row>
    <row r="1179" spans="1:8" x14ac:dyDescent="0.25">
      <c r="E1179" t="str">
        <f>""</f>
        <v/>
      </c>
      <c r="F1179" t="str">
        <f>""</f>
        <v/>
      </c>
      <c r="H1179" t="str">
        <f>"Inv# 3422189562"</f>
        <v>Inv# 3422189562</v>
      </c>
    </row>
    <row r="1180" spans="1:8" x14ac:dyDescent="0.25">
      <c r="E1180" t="str">
        <f>""</f>
        <v/>
      </c>
      <c r="F1180" t="str">
        <f>""</f>
        <v/>
      </c>
      <c r="H1180" t="str">
        <f>"Inv# 3422189552"</f>
        <v>Inv# 3422189552</v>
      </c>
    </row>
    <row r="1181" spans="1:8" x14ac:dyDescent="0.25">
      <c r="E1181" t="str">
        <f>""</f>
        <v/>
      </c>
      <c r="F1181" t="str">
        <f>""</f>
        <v/>
      </c>
      <c r="H1181" t="str">
        <f>"Inv# 3422189553"</f>
        <v>Inv# 3422189553</v>
      </c>
    </row>
    <row r="1182" spans="1:8" x14ac:dyDescent="0.25">
      <c r="E1182" t="str">
        <f>""</f>
        <v/>
      </c>
      <c r="F1182" t="str">
        <f>""</f>
        <v/>
      </c>
      <c r="H1182" t="str">
        <f>"Inv# 3422189554"</f>
        <v>Inv# 3422189554</v>
      </c>
    </row>
    <row r="1183" spans="1:8" x14ac:dyDescent="0.25">
      <c r="E1183" t="str">
        <f>""</f>
        <v/>
      </c>
      <c r="F1183" t="str">
        <f>""</f>
        <v/>
      </c>
      <c r="H1183" t="str">
        <f>"Inv# 3422189555"</f>
        <v>Inv# 3422189555</v>
      </c>
    </row>
    <row r="1184" spans="1:8" x14ac:dyDescent="0.25">
      <c r="E1184" t="str">
        <f>""</f>
        <v/>
      </c>
      <c r="F1184" t="str">
        <f>""</f>
        <v/>
      </c>
      <c r="H1184" t="str">
        <f>"Inv# 242189556"</f>
        <v>Inv# 242189556</v>
      </c>
    </row>
    <row r="1185" spans="1:8" x14ac:dyDescent="0.25">
      <c r="E1185" t="str">
        <f>""</f>
        <v/>
      </c>
      <c r="F1185" t="str">
        <f>""</f>
        <v/>
      </c>
      <c r="H1185" t="str">
        <f>"Inv# 342189557"</f>
        <v>Inv# 342189557</v>
      </c>
    </row>
    <row r="1186" spans="1:8" x14ac:dyDescent="0.25">
      <c r="E1186" t="str">
        <f>""</f>
        <v/>
      </c>
      <c r="F1186" t="str">
        <f>""</f>
        <v/>
      </c>
      <c r="H1186" t="str">
        <f>"Inv# 3422189558"</f>
        <v>Inv# 3422189558</v>
      </c>
    </row>
    <row r="1187" spans="1:8" x14ac:dyDescent="0.25">
      <c r="E1187" t="str">
        <f>""</f>
        <v/>
      </c>
      <c r="F1187" t="str">
        <f>""</f>
        <v/>
      </c>
      <c r="H1187" t="str">
        <f>"Inv# 3422189559"</f>
        <v>Inv# 3422189559</v>
      </c>
    </row>
    <row r="1188" spans="1:8" x14ac:dyDescent="0.25">
      <c r="E1188" t="str">
        <f>""</f>
        <v/>
      </c>
      <c r="F1188" t="str">
        <f>""</f>
        <v/>
      </c>
      <c r="H1188" t="str">
        <f>"Inv# 3422189560"</f>
        <v>Inv# 3422189560</v>
      </c>
    </row>
    <row r="1189" spans="1:8" x14ac:dyDescent="0.25">
      <c r="E1189" t="str">
        <f>""</f>
        <v/>
      </c>
      <c r="F1189" t="str">
        <f>""</f>
        <v/>
      </c>
      <c r="H1189" t="str">
        <f>"Inv# 3422189561"</f>
        <v>Inv# 3422189561</v>
      </c>
    </row>
    <row r="1190" spans="1:8" x14ac:dyDescent="0.25">
      <c r="E1190" t="str">
        <f>""</f>
        <v/>
      </c>
      <c r="F1190" t="str">
        <f>""</f>
        <v/>
      </c>
      <c r="H1190" t="str">
        <f>"INv# 8055376360"</f>
        <v>INv# 8055376360</v>
      </c>
    </row>
    <row r="1191" spans="1:8" x14ac:dyDescent="0.25">
      <c r="A1191" t="s">
        <v>370</v>
      </c>
      <c r="B1191">
        <v>84110</v>
      </c>
      <c r="C1191" s="2">
        <v>3895.69</v>
      </c>
      <c r="D1191" s="1">
        <v>43731</v>
      </c>
      <c r="E1191" t="str">
        <f>"8055614789"</f>
        <v>8055614789</v>
      </c>
      <c r="F1191" t="str">
        <f>"sum inv# 8055614789"</f>
        <v>sum inv# 8055614789</v>
      </c>
      <c r="G1191" s="2">
        <v>3895.69</v>
      </c>
      <c r="H1191" t="str">
        <f>"Inv# 3424212620"</f>
        <v>Inv# 3424212620</v>
      </c>
    </row>
    <row r="1192" spans="1:8" x14ac:dyDescent="0.25">
      <c r="E1192" t="str">
        <f>""</f>
        <v/>
      </c>
      <c r="F1192" t="str">
        <f>""</f>
        <v/>
      </c>
      <c r="H1192" t="str">
        <f>"Inv# 3424212615"</f>
        <v>Inv# 3424212615</v>
      </c>
    </row>
    <row r="1193" spans="1:8" x14ac:dyDescent="0.25">
      <c r="E1193" t="str">
        <f>""</f>
        <v/>
      </c>
      <c r="F1193" t="str">
        <f>""</f>
        <v/>
      </c>
      <c r="H1193" t="str">
        <f>"Inv# 3424212616"</f>
        <v>Inv# 3424212616</v>
      </c>
    </row>
    <row r="1194" spans="1:8" x14ac:dyDescent="0.25">
      <c r="E1194" t="str">
        <f>""</f>
        <v/>
      </c>
      <c r="F1194" t="str">
        <f>""</f>
        <v/>
      </c>
      <c r="H1194" t="str">
        <f>"Inv# 3424212617"</f>
        <v>Inv# 3424212617</v>
      </c>
    </row>
    <row r="1195" spans="1:8" x14ac:dyDescent="0.25">
      <c r="E1195" t="str">
        <f>""</f>
        <v/>
      </c>
      <c r="F1195" t="str">
        <f>""</f>
        <v/>
      </c>
      <c r="H1195" t="str">
        <f>"Inv# 3424212613"</f>
        <v>Inv# 3424212613</v>
      </c>
    </row>
    <row r="1196" spans="1:8" x14ac:dyDescent="0.25">
      <c r="E1196" t="str">
        <f>""</f>
        <v/>
      </c>
      <c r="F1196" t="str">
        <f>""</f>
        <v/>
      </c>
      <c r="H1196" t="str">
        <f>"Inv# 3424212614"</f>
        <v>Inv# 3424212614</v>
      </c>
    </row>
    <row r="1197" spans="1:8" x14ac:dyDescent="0.25">
      <c r="E1197" t="str">
        <f>""</f>
        <v/>
      </c>
      <c r="F1197" t="str">
        <f>""</f>
        <v/>
      </c>
      <c r="H1197" t="str">
        <f>"Inv# 3424212619"</f>
        <v>Inv# 3424212619</v>
      </c>
    </row>
    <row r="1198" spans="1:8" x14ac:dyDescent="0.25">
      <c r="E1198" t="str">
        <f>""</f>
        <v/>
      </c>
      <c r="F1198" t="str">
        <f>""</f>
        <v/>
      </c>
      <c r="H1198" t="str">
        <f>"Inv# 3424212618"</f>
        <v>Inv# 3424212618</v>
      </c>
    </row>
    <row r="1199" spans="1:8" x14ac:dyDescent="0.25">
      <c r="E1199" t="str">
        <f>""</f>
        <v/>
      </c>
      <c r="F1199" t="str">
        <f>""</f>
        <v/>
      </c>
      <c r="H1199" t="str">
        <f>"Inv# 3424212624"</f>
        <v>Inv# 3424212624</v>
      </c>
    </row>
    <row r="1200" spans="1:8" x14ac:dyDescent="0.25">
      <c r="E1200" t="str">
        <f>""</f>
        <v/>
      </c>
      <c r="F1200" t="str">
        <f>""</f>
        <v/>
      </c>
      <c r="H1200" t="str">
        <f>"Inv# 3424212621"</f>
        <v>Inv# 3424212621</v>
      </c>
    </row>
    <row r="1201" spans="1:8" x14ac:dyDescent="0.25">
      <c r="E1201" t="str">
        <f>""</f>
        <v/>
      </c>
      <c r="F1201" t="str">
        <f>""</f>
        <v/>
      </c>
      <c r="H1201" t="str">
        <f>"Inv# 3424212622"</f>
        <v>Inv# 3424212622</v>
      </c>
    </row>
    <row r="1202" spans="1:8" x14ac:dyDescent="0.25">
      <c r="E1202" t="str">
        <f>""</f>
        <v/>
      </c>
      <c r="F1202" t="str">
        <f>""</f>
        <v/>
      </c>
      <c r="H1202" t="str">
        <f>"Inv# 3424212623"</f>
        <v>Inv# 3424212623</v>
      </c>
    </row>
    <row r="1203" spans="1:8" x14ac:dyDescent="0.25">
      <c r="A1203" t="s">
        <v>371</v>
      </c>
      <c r="B1203">
        <v>83863</v>
      </c>
      <c r="C1203" s="2">
        <v>105</v>
      </c>
      <c r="D1203" s="1">
        <v>43717</v>
      </c>
      <c r="E1203" t="str">
        <f>"SALES345807"</f>
        <v>SALES345807</v>
      </c>
      <c r="F1203" t="str">
        <f>"ANNOTATED TX FAMILY CODE '19"</f>
        <v>ANNOTATED TX FAMILY CODE '19</v>
      </c>
      <c r="G1203" s="2">
        <v>105</v>
      </c>
      <c r="H1203" t="str">
        <f>"ANNOTATED TX FAMILY CODE '19"</f>
        <v>ANNOTATED TX FAMILY CODE '19</v>
      </c>
    </row>
    <row r="1204" spans="1:8" x14ac:dyDescent="0.25">
      <c r="A1204" t="s">
        <v>372</v>
      </c>
      <c r="B1204">
        <v>84111</v>
      </c>
      <c r="C1204" s="2">
        <v>845.73</v>
      </c>
      <c r="D1204" s="1">
        <v>43731</v>
      </c>
      <c r="E1204" t="str">
        <f>"201909121719"</f>
        <v>201909121719</v>
      </c>
      <c r="F1204" t="str">
        <f>"AUGUST 2019"</f>
        <v>AUGUST 2019</v>
      </c>
      <c r="G1204" s="2">
        <v>845.73</v>
      </c>
      <c r="H1204" t="str">
        <f>"AUGUST 2019"</f>
        <v>AUGUST 2019</v>
      </c>
    </row>
    <row r="1205" spans="1:8" x14ac:dyDescent="0.25">
      <c r="A1205" t="s">
        <v>373</v>
      </c>
      <c r="B1205">
        <v>83864</v>
      </c>
      <c r="C1205" s="2">
        <v>795.59</v>
      </c>
      <c r="D1205" s="1">
        <v>43717</v>
      </c>
      <c r="E1205" t="str">
        <f>"4008798368"</f>
        <v>4008798368</v>
      </c>
      <c r="F1205" t="str">
        <f>"INV 4008798368"</f>
        <v>INV 4008798368</v>
      </c>
      <c r="G1205" s="2">
        <v>795.59</v>
      </c>
      <c r="H1205" t="str">
        <f>"INV 4008798368"</f>
        <v>INV 4008798368</v>
      </c>
    </row>
    <row r="1206" spans="1:8" x14ac:dyDescent="0.25">
      <c r="A1206" t="s">
        <v>374</v>
      </c>
      <c r="B1206">
        <v>83865</v>
      </c>
      <c r="C1206" s="2">
        <v>370.5</v>
      </c>
      <c r="D1206" s="1">
        <v>43717</v>
      </c>
      <c r="E1206" t="str">
        <f>"201909031407"</f>
        <v>201909031407</v>
      </c>
      <c r="F1206" t="str">
        <f>"TRASH REMOVAL 09/02-09/06/P4"</f>
        <v>TRASH REMOVAL 09/02-09/06/P4</v>
      </c>
      <c r="G1206" s="2">
        <v>143</v>
      </c>
      <c r="H1206" t="str">
        <f>"TRASH REMOVAL 09/02-09/06/P4"</f>
        <v>TRASH REMOVAL 09/02-09/06/P4</v>
      </c>
    </row>
    <row r="1207" spans="1:8" x14ac:dyDescent="0.25">
      <c r="E1207" t="str">
        <f>"201909031408"</f>
        <v>201909031408</v>
      </c>
      <c r="F1207" t="str">
        <f>"TRASH REMOVAL 08/26-08/30/P4"</f>
        <v>TRASH REMOVAL 08/26-08/30/P4</v>
      </c>
      <c r="G1207" s="2">
        <v>227.5</v>
      </c>
      <c r="H1207" t="str">
        <f>"TRASH REMOVAL 08/26-08/30/P4"</f>
        <v>TRASH REMOVAL 08/26-08/30/P4</v>
      </c>
    </row>
    <row r="1208" spans="1:8" x14ac:dyDescent="0.25">
      <c r="A1208" t="s">
        <v>374</v>
      </c>
      <c r="B1208">
        <v>84112</v>
      </c>
      <c r="C1208" s="2">
        <v>357.5</v>
      </c>
      <c r="D1208" s="1">
        <v>43731</v>
      </c>
      <c r="E1208" t="str">
        <f>"201909181933"</f>
        <v>201909181933</v>
      </c>
      <c r="F1208" t="str">
        <f>"TRASH REMOVAL 09/09-09/20/P4"</f>
        <v>TRASH REMOVAL 09/09-09/20/P4</v>
      </c>
      <c r="G1208" s="2">
        <v>357.5</v>
      </c>
      <c r="H1208" t="str">
        <f>"TRASH REMOVAL 09/09-09/20/P4"</f>
        <v>TRASH REMOVAL 09/09-09/20/P4</v>
      </c>
    </row>
    <row r="1209" spans="1:8" x14ac:dyDescent="0.25">
      <c r="A1209" t="s">
        <v>375</v>
      </c>
      <c r="B1209">
        <v>84113</v>
      </c>
      <c r="C1209" s="2">
        <v>97.88</v>
      </c>
      <c r="D1209" s="1">
        <v>43731</v>
      </c>
      <c r="E1209" t="str">
        <f>"201909121744"</f>
        <v>201909121744</v>
      </c>
      <c r="F1209" t="str">
        <f>"REIMBURSE-WEATHER SOFTWARE"</f>
        <v>REIMBURSE-WEATHER SOFTWARE</v>
      </c>
      <c r="G1209" s="2">
        <v>97.88</v>
      </c>
      <c r="H1209" t="str">
        <f>"REIMBURSE-WEATHER SOFTWARE"</f>
        <v>REIMBURSE-WEATHER SOFTWARE</v>
      </c>
    </row>
    <row r="1210" spans="1:8" x14ac:dyDescent="0.25">
      <c r="A1210" t="s">
        <v>376</v>
      </c>
      <c r="B1210">
        <v>83866</v>
      </c>
      <c r="C1210" s="2">
        <v>70</v>
      </c>
      <c r="D1210" s="1">
        <v>43717</v>
      </c>
      <c r="E1210" t="str">
        <f>"201909031413"</f>
        <v>201909031413</v>
      </c>
      <c r="F1210" t="str">
        <f>"PER DIEM"</f>
        <v>PER DIEM</v>
      </c>
      <c r="G1210" s="2">
        <v>70</v>
      </c>
      <c r="H1210" t="str">
        <f>"PER DIEM"</f>
        <v>PER DIEM</v>
      </c>
    </row>
    <row r="1211" spans="1:8" x14ac:dyDescent="0.25">
      <c r="A1211" t="s">
        <v>377</v>
      </c>
      <c r="B1211">
        <v>1312</v>
      </c>
      <c r="C1211" s="2">
        <v>9360</v>
      </c>
      <c r="D1211" s="1">
        <v>43718</v>
      </c>
      <c r="E1211" t="str">
        <f>"334"</f>
        <v>334</v>
      </c>
      <c r="F1211" t="str">
        <f>"SHREDDING/MOWING/PCT#2"</f>
        <v>SHREDDING/MOWING/PCT#2</v>
      </c>
      <c r="G1211" s="2">
        <v>9360</v>
      </c>
      <c r="H1211" t="str">
        <f>"SHREDDING/MOWING/PCT#2"</f>
        <v>SHREDDING/MOWING/PCT#2</v>
      </c>
    </row>
    <row r="1212" spans="1:8" x14ac:dyDescent="0.25">
      <c r="A1212" t="s">
        <v>377</v>
      </c>
      <c r="B1212">
        <v>1389</v>
      </c>
      <c r="C1212" s="2">
        <v>7280</v>
      </c>
      <c r="D1212" s="1">
        <v>43732</v>
      </c>
      <c r="E1212" t="str">
        <f>"336"</f>
        <v>336</v>
      </c>
      <c r="F1212" t="str">
        <f>"SHREDDING/MOWING/PCT#2"</f>
        <v>SHREDDING/MOWING/PCT#2</v>
      </c>
      <c r="G1212" s="2">
        <v>7280</v>
      </c>
      <c r="H1212" t="str">
        <f>"SHREDDING/MOWING/PCT#2"</f>
        <v>SHREDDING/MOWING/PCT#2</v>
      </c>
    </row>
    <row r="1213" spans="1:8" x14ac:dyDescent="0.25">
      <c r="A1213" t="s">
        <v>378</v>
      </c>
      <c r="B1213">
        <v>1317</v>
      </c>
      <c r="C1213" s="2">
        <v>2659.04</v>
      </c>
      <c r="D1213" s="1">
        <v>43718</v>
      </c>
      <c r="E1213" t="str">
        <f>"95401655"</f>
        <v>95401655</v>
      </c>
      <c r="F1213" t="str">
        <f>"ACCT#10187718/FUEL/PCT#2"</f>
        <v>ACCT#10187718/FUEL/PCT#2</v>
      </c>
      <c r="G1213" s="2">
        <v>2659.04</v>
      </c>
      <c r="H1213" t="str">
        <f>"ACCT#10187718/FUEL/PCT#2"</f>
        <v>ACCT#10187718/FUEL/PCT#2</v>
      </c>
    </row>
    <row r="1214" spans="1:8" x14ac:dyDescent="0.25">
      <c r="A1214" t="s">
        <v>378</v>
      </c>
      <c r="B1214">
        <v>1397</v>
      </c>
      <c r="C1214" s="2">
        <v>2665.69</v>
      </c>
      <c r="D1214" s="1">
        <v>43732</v>
      </c>
      <c r="E1214" t="str">
        <f>"95413945"</f>
        <v>95413945</v>
      </c>
      <c r="F1214" t="str">
        <f>"ACCT#10187930/BOL#689762/PCT#2"</f>
        <v>ACCT#10187930/BOL#689762/PCT#2</v>
      </c>
      <c r="G1214" s="2">
        <v>2665.69</v>
      </c>
      <c r="H1214" t="str">
        <f>"ACCT#10187930/BOL#689762/PCT#2"</f>
        <v>ACCT#10187930/BOL#689762/PCT#2</v>
      </c>
    </row>
    <row r="1215" spans="1:8" x14ac:dyDescent="0.25">
      <c r="A1215" t="s">
        <v>379</v>
      </c>
      <c r="B1215">
        <v>83867</v>
      </c>
      <c r="C1215" s="2">
        <v>320</v>
      </c>
      <c r="D1215" s="1">
        <v>43717</v>
      </c>
      <c r="E1215" t="str">
        <f>"C504"</f>
        <v>C504</v>
      </c>
      <c r="F1215" t="str">
        <f>"INV C504 / UNIT 5511"</f>
        <v>INV C504 / UNIT 5511</v>
      </c>
      <c r="G1215" s="2">
        <v>140</v>
      </c>
      <c r="H1215" t="str">
        <f>"INV C504 / UNIT 5511"</f>
        <v>INV C504 / UNIT 5511</v>
      </c>
    </row>
    <row r="1216" spans="1:8" x14ac:dyDescent="0.25">
      <c r="E1216" t="str">
        <f>"C684"</f>
        <v>C684</v>
      </c>
      <c r="F1216" t="str">
        <f>"INV C684 / UNIT 126"</f>
        <v>INV C684 / UNIT 126</v>
      </c>
      <c r="G1216" s="2">
        <v>180</v>
      </c>
      <c r="H1216" t="str">
        <f>"INV C684 / UNIT 126"</f>
        <v>INV C684 / UNIT 126</v>
      </c>
    </row>
    <row r="1217" spans="1:8" x14ac:dyDescent="0.25">
      <c r="A1217" t="s">
        <v>380</v>
      </c>
      <c r="B1217">
        <v>84114</v>
      </c>
      <c r="C1217" s="2">
        <v>4600</v>
      </c>
      <c r="D1217" s="1">
        <v>43731</v>
      </c>
      <c r="E1217" t="str">
        <f>"QUOTE#3067"</f>
        <v>QUOTE#3067</v>
      </c>
      <c r="F1217" t="str">
        <f>"DEPOSIT-TRADE SHOW"</f>
        <v>DEPOSIT-TRADE SHOW</v>
      </c>
      <c r="G1217" s="2">
        <v>4600</v>
      </c>
      <c r="H1217" t="str">
        <f>"DEPOSIT-TRADE SHOW"</f>
        <v>DEPOSIT-TRADE SHOW</v>
      </c>
    </row>
    <row r="1218" spans="1:8" x14ac:dyDescent="0.25">
      <c r="A1218" t="s">
        <v>381</v>
      </c>
      <c r="B1218">
        <v>84115</v>
      </c>
      <c r="C1218" s="2">
        <v>245</v>
      </c>
      <c r="D1218" s="1">
        <v>43731</v>
      </c>
      <c r="E1218" t="str">
        <f>"01285"</f>
        <v>01285</v>
      </c>
      <c r="F1218" t="str">
        <f>"2019 CONFERENCE-C. BECKETT"</f>
        <v>2019 CONFERENCE-C. BECKETT</v>
      </c>
      <c r="G1218" s="2">
        <v>245</v>
      </c>
      <c r="H1218" t="str">
        <f>"2019 CONFERENCE-C. BECKETT"</f>
        <v>2019 CONFERENCE-C. BECKETT</v>
      </c>
    </row>
    <row r="1219" spans="1:8" x14ac:dyDescent="0.25">
      <c r="A1219" t="s">
        <v>382</v>
      </c>
      <c r="B1219">
        <v>84116</v>
      </c>
      <c r="C1219" s="2">
        <v>108.24</v>
      </c>
      <c r="D1219" s="1">
        <v>43731</v>
      </c>
      <c r="E1219" t="str">
        <f>"201909181919"</f>
        <v>201909181919</v>
      </c>
      <c r="F1219" t="str">
        <f>"REIMBURSEMENT"</f>
        <v>REIMBURSEMENT</v>
      </c>
      <c r="G1219" s="2">
        <v>108.24</v>
      </c>
      <c r="H1219" t="str">
        <f>"REIMBURSEMENT"</f>
        <v>REIMBURSEMENT</v>
      </c>
    </row>
    <row r="1220" spans="1:8" x14ac:dyDescent="0.25">
      <c r="A1220" t="s">
        <v>383</v>
      </c>
      <c r="B1220">
        <v>84117</v>
      </c>
      <c r="C1220" s="2">
        <v>700</v>
      </c>
      <c r="D1220" s="1">
        <v>43731</v>
      </c>
      <c r="E1220" t="str">
        <f>"201909181918"</f>
        <v>201909181918</v>
      </c>
      <c r="F1220" t="str">
        <f>"TRAINING"</f>
        <v>TRAINING</v>
      </c>
      <c r="G1220" s="2">
        <v>700</v>
      </c>
      <c r="H1220" t="str">
        <f>"H. TUCKER"</f>
        <v>H. TUCKER</v>
      </c>
    </row>
    <row r="1221" spans="1:8" x14ac:dyDescent="0.25">
      <c r="E1221" t="str">
        <f>""</f>
        <v/>
      </c>
      <c r="F1221" t="str">
        <f>""</f>
        <v/>
      </c>
      <c r="H1221" t="str">
        <f>"J. TOMASZYCKI"</f>
        <v>J. TOMASZYCKI</v>
      </c>
    </row>
    <row r="1222" spans="1:8" x14ac:dyDescent="0.25">
      <c r="A1222" t="s">
        <v>384</v>
      </c>
      <c r="B1222">
        <v>1308</v>
      </c>
      <c r="C1222" s="2">
        <v>78.400000000000006</v>
      </c>
      <c r="D1222" s="1">
        <v>43718</v>
      </c>
      <c r="E1222" t="str">
        <f>"19090303"</f>
        <v>19090303</v>
      </c>
      <c r="F1222" t="str">
        <f>"SVC CONTRACT PMT 08/01-09/02"</f>
        <v>SVC CONTRACT PMT 08/01-09/02</v>
      </c>
      <c r="G1222" s="2">
        <v>78.400000000000006</v>
      </c>
      <c r="H1222" t="str">
        <f>"SVC CONTRACT PMT 08/01-09/02"</f>
        <v>SVC CONTRACT PMT 08/01-09/02</v>
      </c>
    </row>
    <row r="1223" spans="1:8" x14ac:dyDescent="0.25">
      <c r="A1223" t="s">
        <v>385</v>
      </c>
      <c r="B1223">
        <v>84118</v>
      </c>
      <c r="C1223" s="2">
        <v>150</v>
      </c>
      <c r="D1223" s="1">
        <v>43731</v>
      </c>
      <c r="E1223" t="str">
        <f>"201909181928"</f>
        <v>201909181928</v>
      </c>
      <c r="F1223" t="str">
        <f>"TEXAS COMMISSION ON LAW ENFORC"</f>
        <v>TEXAS COMMISSION ON LAW ENFORC</v>
      </c>
      <c r="G1223" s="2">
        <v>150</v>
      </c>
      <c r="H1223" t="str">
        <f>"J. CHRISNER"</f>
        <v>J. CHRISNER</v>
      </c>
    </row>
    <row r="1224" spans="1:8" x14ac:dyDescent="0.25">
      <c r="E1224" t="str">
        <f>""</f>
        <v/>
      </c>
      <c r="F1224" t="str">
        <f>""</f>
        <v/>
      </c>
      <c r="H1224" t="str">
        <f>"I. RAZZO"</f>
        <v>I. RAZZO</v>
      </c>
    </row>
    <row r="1225" spans="1:8" x14ac:dyDescent="0.25">
      <c r="E1225" t="str">
        <f>""</f>
        <v/>
      </c>
      <c r="F1225" t="str">
        <f>""</f>
        <v/>
      </c>
      <c r="H1225" t="str">
        <f>"E. GONZALEZ"</f>
        <v>E. GONZALEZ</v>
      </c>
    </row>
    <row r="1226" spans="1:8" x14ac:dyDescent="0.25">
      <c r="E1226" t="str">
        <f>""</f>
        <v/>
      </c>
      <c r="F1226" t="str">
        <f>""</f>
        <v/>
      </c>
      <c r="H1226" t="str">
        <f>"J. BENNETT"</f>
        <v>J. BENNETT</v>
      </c>
    </row>
    <row r="1227" spans="1:8" x14ac:dyDescent="0.25">
      <c r="E1227" t="str">
        <f>""</f>
        <v/>
      </c>
      <c r="F1227" t="str">
        <f>""</f>
        <v/>
      </c>
      <c r="H1227" t="str">
        <f>"L. PANZINO"</f>
        <v>L. PANZINO</v>
      </c>
    </row>
    <row r="1228" spans="1:8" x14ac:dyDescent="0.25">
      <c r="E1228" t="str">
        <f>""</f>
        <v/>
      </c>
      <c r="F1228" t="str">
        <f>""</f>
        <v/>
      </c>
      <c r="H1228" t="str">
        <f>"H. FAVOCCIA"</f>
        <v>H. FAVOCCIA</v>
      </c>
    </row>
    <row r="1229" spans="1:8" x14ac:dyDescent="0.25">
      <c r="A1229" t="s">
        <v>386</v>
      </c>
      <c r="B1229">
        <v>83868</v>
      </c>
      <c r="C1229" s="2">
        <v>2250</v>
      </c>
      <c r="D1229" s="1">
        <v>43717</v>
      </c>
      <c r="E1229" t="str">
        <f>"159473"</f>
        <v>159473</v>
      </c>
      <c r="F1229" t="str">
        <f>"REGISTRATION-V. BULLOCK"</f>
        <v>REGISTRATION-V. BULLOCK</v>
      </c>
      <c r="G1229" s="2">
        <v>350</v>
      </c>
      <c r="H1229" t="str">
        <f>"REGISTRATION-V. BULLOCK"</f>
        <v>REGISTRATION-V. BULLOCK</v>
      </c>
    </row>
    <row r="1230" spans="1:8" x14ac:dyDescent="0.25">
      <c r="E1230" t="str">
        <f>"162369"</f>
        <v>162369</v>
      </c>
      <c r="F1230" t="str">
        <f>"REGISTRATION-LINDSEY SIMMONS"</f>
        <v>REGISTRATION-LINDSEY SIMMONS</v>
      </c>
      <c r="G1230" s="2">
        <v>350</v>
      </c>
      <c r="H1230" t="str">
        <f>"REGISTRATION-LINDSEY SIMMONS"</f>
        <v>REGISTRATION-LINDSEY SIMMONS</v>
      </c>
    </row>
    <row r="1231" spans="1:8" x14ac:dyDescent="0.25">
      <c r="E1231" t="str">
        <f>"162371"</f>
        <v>162371</v>
      </c>
      <c r="F1231" t="str">
        <f>"REGISTRATION-K. BRIZENDINE"</f>
        <v>REGISTRATION-K. BRIZENDINE</v>
      </c>
      <c r="G1231" s="2">
        <v>350</v>
      </c>
      <c r="H1231" t="str">
        <f>"REGISTRATION-K. BRIZENDINE"</f>
        <v>REGISTRATION-K. BRIZENDINE</v>
      </c>
    </row>
    <row r="1232" spans="1:8" x14ac:dyDescent="0.25">
      <c r="E1232" t="str">
        <f>"162391"</f>
        <v>162391</v>
      </c>
      <c r="F1232" t="str">
        <f>"REGISTRATION-MARIO GINTELLA"</f>
        <v>REGISTRATION-MARIO GINTELLA</v>
      </c>
      <c r="G1232" s="2">
        <v>350</v>
      </c>
      <c r="H1232" t="str">
        <f>"REGISTRATION-MARIO GINTELLA"</f>
        <v>REGISTRATION-MARIO GINTELLA</v>
      </c>
    </row>
    <row r="1233" spans="1:8" x14ac:dyDescent="0.25">
      <c r="E1233" t="str">
        <f>"162395"</f>
        <v>162395</v>
      </c>
      <c r="F1233" t="str">
        <f>"REGISTRATION-MARK DAUBE"</f>
        <v>REGISTRATION-MARK DAUBE</v>
      </c>
      <c r="G1233" s="2">
        <v>350</v>
      </c>
      <c r="H1233" t="str">
        <f>"REGISTRATION-MARK DAUBE"</f>
        <v>REGISTRATION-MARK DAUBE</v>
      </c>
    </row>
    <row r="1234" spans="1:8" x14ac:dyDescent="0.25">
      <c r="E1234" t="str">
        <f>"201909031417"</f>
        <v>201909031417</v>
      </c>
      <c r="F1234" t="str">
        <f>"TRAINING"</f>
        <v>TRAINING</v>
      </c>
      <c r="G1234" s="2">
        <v>500</v>
      </c>
      <c r="H1234" t="str">
        <f>"TRAINING"</f>
        <v>TRAINING</v>
      </c>
    </row>
    <row r="1235" spans="1:8" x14ac:dyDescent="0.25">
      <c r="A1235" t="s">
        <v>387</v>
      </c>
      <c r="B1235">
        <v>1431</v>
      </c>
      <c r="C1235" s="2">
        <v>209</v>
      </c>
      <c r="D1235" s="1">
        <v>43732</v>
      </c>
      <c r="E1235" t="str">
        <f>"1910055"</f>
        <v>1910055</v>
      </c>
      <c r="F1235" t="str">
        <f>"MONTHLY CONTRACT BILLING"</f>
        <v>MONTHLY CONTRACT BILLING</v>
      </c>
      <c r="G1235" s="2">
        <v>209</v>
      </c>
      <c r="H1235" t="str">
        <f>"MONTHLY CONTRACT BILLING"</f>
        <v>MONTHLY CONTRACT BILLING</v>
      </c>
    </row>
    <row r="1236" spans="1:8" x14ac:dyDescent="0.25">
      <c r="A1236" t="s">
        <v>388</v>
      </c>
      <c r="B1236">
        <v>1345</v>
      </c>
      <c r="C1236" s="2">
        <v>129.72999999999999</v>
      </c>
      <c r="D1236" s="1">
        <v>43718</v>
      </c>
      <c r="E1236" t="str">
        <f>"79668 &amp; 79848"</f>
        <v>79668 &amp; 79848</v>
      </c>
      <c r="F1236" t="str">
        <f>"ACCT#63275/PCT#2"</f>
        <v>ACCT#63275/PCT#2</v>
      </c>
      <c r="G1236" s="2">
        <v>112.73</v>
      </c>
      <c r="H1236" t="str">
        <f>"ACCT#63275/PCT#2"</f>
        <v>ACCT#63275/PCT#2</v>
      </c>
    </row>
    <row r="1237" spans="1:8" x14ac:dyDescent="0.25">
      <c r="E1237" t="str">
        <f>"79881"</f>
        <v>79881</v>
      </c>
      <c r="F1237" t="str">
        <f>"ACCT#63275/PCT#3"</f>
        <v>ACCT#63275/PCT#3</v>
      </c>
      <c r="G1237" s="2">
        <v>17</v>
      </c>
      <c r="H1237" t="str">
        <f>"ACCT#63275/PCT#3"</f>
        <v>ACCT#63275/PCT#3</v>
      </c>
    </row>
    <row r="1238" spans="1:8" x14ac:dyDescent="0.25">
      <c r="A1238" t="s">
        <v>389</v>
      </c>
      <c r="B1238">
        <v>83869</v>
      </c>
      <c r="C1238" s="2">
        <v>16855.86</v>
      </c>
      <c r="D1238" s="1">
        <v>43717</v>
      </c>
      <c r="E1238" t="str">
        <f>"0889661-IN"</f>
        <v>0889661-IN</v>
      </c>
      <c r="F1238" t="str">
        <f>"ACCT#01-0112917/FLUID/PCT#1"</f>
        <v>ACCT#01-0112917/FLUID/PCT#1</v>
      </c>
      <c r="G1238" s="2">
        <v>1982.92</v>
      </c>
      <c r="H1238" t="str">
        <f>"ACCT#01-0112917/FLUID/PCT#1"</f>
        <v>ACCT#01-0112917/FLUID/PCT#1</v>
      </c>
    </row>
    <row r="1239" spans="1:8" x14ac:dyDescent="0.25">
      <c r="E1239" t="str">
        <f>"0891522-IN"</f>
        <v>0891522-IN</v>
      </c>
      <c r="F1239" t="str">
        <f>"ACCT#01-0112917/FUEL/PCT#1"</f>
        <v>ACCT#01-0112917/FUEL/PCT#1</v>
      </c>
      <c r="G1239" s="2">
        <v>5442</v>
      </c>
      <c r="H1239" t="str">
        <f>"ACCT#01-0112917/FUEL/PCT#1"</f>
        <v>ACCT#01-0112917/FUEL/PCT#1</v>
      </c>
    </row>
    <row r="1240" spans="1:8" x14ac:dyDescent="0.25">
      <c r="E1240" t="str">
        <f>"0891739-IN"</f>
        <v>0891739-IN</v>
      </c>
      <c r="F1240" t="str">
        <f>"ACCT#01-0112917/FUEL/PCT#4"</f>
        <v>ACCT#01-0112917/FUEL/PCT#4</v>
      </c>
      <c r="G1240" s="2">
        <v>5454.5</v>
      </c>
      <c r="H1240" t="str">
        <f>"ACCT#01-0112917/FUEL/PCT#4"</f>
        <v>ACCT#01-0112917/FUEL/PCT#4</v>
      </c>
    </row>
    <row r="1241" spans="1:8" x14ac:dyDescent="0.25">
      <c r="E1241" t="str">
        <f>"0893143-IN"</f>
        <v>0893143-IN</v>
      </c>
      <c r="F1241" t="str">
        <f>"ACCT#01-0112917/BOL#204200/P3"</f>
        <v>ACCT#01-0112917/BOL#204200/P3</v>
      </c>
      <c r="G1241" s="2">
        <v>3976.44</v>
      </c>
      <c r="H1241" t="str">
        <f>"ACCT#01-0112917/BOL#204200/P3"</f>
        <v>ACCT#01-0112917/BOL#204200/P3</v>
      </c>
    </row>
    <row r="1242" spans="1:8" x14ac:dyDescent="0.25">
      <c r="A1242" t="s">
        <v>389</v>
      </c>
      <c r="B1242">
        <v>84119</v>
      </c>
      <c r="C1242" s="2">
        <v>10498.47</v>
      </c>
      <c r="D1242" s="1">
        <v>43731</v>
      </c>
      <c r="E1242" t="str">
        <f>"0897100-IN"</f>
        <v>0897100-IN</v>
      </c>
      <c r="F1242" t="str">
        <f>"ACCT#01-0112917/PCT#4"</f>
        <v>ACCT#01-0112917/PCT#4</v>
      </c>
      <c r="G1242" s="2">
        <v>5429.7</v>
      </c>
      <c r="H1242" t="str">
        <f>"ACCT#01-0112917/PCT#4"</f>
        <v>ACCT#01-0112917/PCT#4</v>
      </c>
    </row>
    <row r="1243" spans="1:8" x14ac:dyDescent="0.25">
      <c r="E1243" t="str">
        <f>"0898484-IN"</f>
        <v>0898484-IN</v>
      </c>
      <c r="F1243" t="str">
        <f>"INV 0898484-IN"</f>
        <v>INV 0898484-IN</v>
      </c>
      <c r="G1243" s="2">
        <v>487.17</v>
      </c>
      <c r="H1243" t="str">
        <f>"INV 0898484-IN"</f>
        <v>INV 0898484-IN</v>
      </c>
    </row>
    <row r="1244" spans="1:8" x14ac:dyDescent="0.25">
      <c r="E1244" t="str">
        <f>"0898584-IN"</f>
        <v>0898584-IN</v>
      </c>
      <c r="F1244" t="str">
        <f>"ACCT#01-0112917/FUEL/PCT#3"</f>
        <v>ACCT#01-0112917/FUEL/PCT#3</v>
      </c>
      <c r="G1244" s="2">
        <v>4581.6000000000004</v>
      </c>
      <c r="H1244" t="str">
        <f>"ACCT#01-0112917/FUEL/PCT#3"</f>
        <v>ACCT#01-0112917/FUEL/PCT#3</v>
      </c>
    </row>
    <row r="1245" spans="1:8" x14ac:dyDescent="0.25">
      <c r="A1245" t="s">
        <v>390</v>
      </c>
      <c r="B1245">
        <v>83870</v>
      </c>
      <c r="C1245" s="2">
        <v>350</v>
      </c>
      <c r="D1245" s="1">
        <v>43717</v>
      </c>
      <c r="E1245" t="str">
        <f>"201909031423"</f>
        <v>201909031423</v>
      </c>
      <c r="F1245" t="str">
        <f>"SEPTEMBER BOND RENEWALS"</f>
        <v>SEPTEMBER BOND RENEWALS</v>
      </c>
      <c r="G1245" s="2">
        <v>350</v>
      </c>
      <c r="H1245" t="str">
        <f>"SEPTEMBER BOND RENEWALS"</f>
        <v>SEPTEMBER BOND RENEWALS</v>
      </c>
    </row>
    <row r="1246" spans="1:8" x14ac:dyDescent="0.25">
      <c r="A1246" t="s">
        <v>390</v>
      </c>
      <c r="B1246">
        <v>84120</v>
      </c>
      <c r="C1246" s="2">
        <v>848</v>
      </c>
      <c r="D1246" s="1">
        <v>43731</v>
      </c>
      <c r="E1246" t="str">
        <f>"3938"</f>
        <v>3938</v>
      </c>
      <c r="F1246" t="str">
        <f>"19-21 NEW BOND-ELECTION ADMIN"</f>
        <v>19-21 NEW BOND-ELECTION ADMIN</v>
      </c>
      <c r="G1246" s="2">
        <v>129.5</v>
      </c>
      <c r="H1246" t="str">
        <f>"19-21 NEW BOND-ELECTION ADMIN"</f>
        <v>19-21 NEW BOND-ELECTION ADMIN</v>
      </c>
    </row>
    <row r="1247" spans="1:8" x14ac:dyDescent="0.25">
      <c r="E1247" t="str">
        <f>"3965"</f>
        <v>3965</v>
      </c>
      <c r="F1247" t="str">
        <f>"INV 3965"</f>
        <v>INV 3965</v>
      </c>
      <c r="G1247" s="2">
        <v>71</v>
      </c>
      <c r="H1247" t="str">
        <f>"INV 3965"</f>
        <v>INV 3965</v>
      </c>
    </row>
    <row r="1248" spans="1:8" x14ac:dyDescent="0.25">
      <c r="E1248" t="str">
        <f>"3971"</f>
        <v>3971</v>
      </c>
      <c r="F1248" t="str">
        <f>"ACCT#PAULPAP-01/ITEM#87336"</f>
        <v>ACCT#PAULPAP-01/ITEM#87336</v>
      </c>
      <c r="G1248" s="2">
        <v>647.5</v>
      </c>
      <c r="H1248" t="str">
        <f>"ACCT#PAULPAP-01/ITEM#87336"</f>
        <v>ACCT#PAULPAP-01/ITEM#87336</v>
      </c>
    </row>
    <row r="1249" spans="1:8" x14ac:dyDescent="0.25">
      <c r="A1249" t="s">
        <v>391</v>
      </c>
      <c r="B1249">
        <v>83871</v>
      </c>
      <c r="C1249" s="2">
        <v>76179.23</v>
      </c>
      <c r="D1249" s="1">
        <v>43717</v>
      </c>
      <c r="E1249" t="str">
        <f>"23557-WC4"</f>
        <v>23557-WC4</v>
      </c>
      <c r="F1249" t="str">
        <f>"4TH QTR 2019 WRKRS COMP/#0110"</f>
        <v>4TH QTR 2019 WRKRS COMP/#0110</v>
      </c>
      <c r="G1249" s="2">
        <v>76179.23</v>
      </c>
      <c r="H1249" t="str">
        <f t="shared" ref="H1249:H1291" si="8">"4TH QTR 2019 WRKRS COMP/#0110"</f>
        <v>4TH QTR 2019 WRKRS COMP/#0110</v>
      </c>
    </row>
    <row r="1250" spans="1:8" x14ac:dyDescent="0.25">
      <c r="E1250" t="str">
        <f>""</f>
        <v/>
      </c>
      <c r="F1250" t="str">
        <f>""</f>
        <v/>
      </c>
      <c r="H1250" t="str">
        <f t="shared" si="8"/>
        <v>4TH QTR 2019 WRKRS COMP/#0110</v>
      </c>
    </row>
    <row r="1251" spans="1:8" x14ac:dyDescent="0.25">
      <c r="E1251" t="str">
        <f>""</f>
        <v/>
      </c>
      <c r="F1251" t="str">
        <f>""</f>
        <v/>
      </c>
      <c r="H1251" t="str">
        <f t="shared" si="8"/>
        <v>4TH QTR 2019 WRKRS COMP/#0110</v>
      </c>
    </row>
    <row r="1252" spans="1:8" x14ac:dyDescent="0.25">
      <c r="E1252" t="str">
        <f>""</f>
        <v/>
      </c>
      <c r="F1252" t="str">
        <f>""</f>
        <v/>
      </c>
      <c r="H1252" t="str">
        <f t="shared" si="8"/>
        <v>4TH QTR 2019 WRKRS COMP/#0110</v>
      </c>
    </row>
    <row r="1253" spans="1:8" x14ac:dyDescent="0.25">
      <c r="E1253" t="str">
        <f>""</f>
        <v/>
      </c>
      <c r="F1253" t="str">
        <f>""</f>
        <v/>
      </c>
      <c r="H1253" t="str">
        <f t="shared" si="8"/>
        <v>4TH QTR 2019 WRKRS COMP/#0110</v>
      </c>
    </row>
    <row r="1254" spans="1:8" x14ac:dyDescent="0.25">
      <c r="E1254" t="str">
        <f>""</f>
        <v/>
      </c>
      <c r="F1254" t="str">
        <f>""</f>
        <v/>
      </c>
      <c r="H1254" t="str">
        <f t="shared" si="8"/>
        <v>4TH QTR 2019 WRKRS COMP/#0110</v>
      </c>
    </row>
    <row r="1255" spans="1:8" x14ac:dyDescent="0.25">
      <c r="E1255" t="str">
        <f>""</f>
        <v/>
      </c>
      <c r="F1255" t="str">
        <f>""</f>
        <v/>
      </c>
      <c r="H1255" t="str">
        <f t="shared" si="8"/>
        <v>4TH QTR 2019 WRKRS COMP/#0110</v>
      </c>
    </row>
    <row r="1256" spans="1:8" x14ac:dyDescent="0.25">
      <c r="E1256" t="str">
        <f>""</f>
        <v/>
      </c>
      <c r="F1256" t="str">
        <f>""</f>
        <v/>
      </c>
      <c r="H1256" t="str">
        <f t="shared" si="8"/>
        <v>4TH QTR 2019 WRKRS COMP/#0110</v>
      </c>
    </row>
    <row r="1257" spans="1:8" x14ac:dyDescent="0.25">
      <c r="E1257" t="str">
        <f>""</f>
        <v/>
      </c>
      <c r="F1257" t="str">
        <f>""</f>
        <v/>
      </c>
      <c r="H1257" t="str">
        <f t="shared" si="8"/>
        <v>4TH QTR 2019 WRKRS COMP/#0110</v>
      </c>
    </row>
    <row r="1258" spans="1:8" x14ac:dyDescent="0.25">
      <c r="E1258" t="str">
        <f>""</f>
        <v/>
      </c>
      <c r="F1258" t="str">
        <f>""</f>
        <v/>
      </c>
      <c r="H1258" t="str">
        <f t="shared" si="8"/>
        <v>4TH QTR 2019 WRKRS COMP/#0110</v>
      </c>
    </row>
    <row r="1259" spans="1:8" x14ac:dyDescent="0.25">
      <c r="E1259" t="str">
        <f>""</f>
        <v/>
      </c>
      <c r="F1259" t="str">
        <f>""</f>
        <v/>
      </c>
      <c r="H1259" t="str">
        <f t="shared" si="8"/>
        <v>4TH QTR 2019 WRKRS COMP/#0110</v>
      </c>
    </row>
    <row r="1260" spans="1:8" x14ac:dyDescent="0.25">
      <c r="E1260" t="str">
        <f>""</f>
        <v/>
      </c>
      <c r="F1260" t="str">
        <f>""</f>
        <v/>
      </c>
      <c r="H1260" t="str">
        <f t="shared" si="8"/>
        <v>4TH QTR 2019 WRKRS COMP/#0110</v>
      </c>
    </row>
    <row r="1261" spans="1:8" x14ac:dyDescent="0.25">
      <c r="E1261" t="str">
        <f>""</f>
        <v/>
      </c>
      <c r="F1261" t="str">
        <f>""</f>
        <v/>
      </c>
      <c r="H1261" t="str">
        <f t="shared" si="8"/>
        <v>4TH QTR 2019 WRKRS COMP/#0110</v>
      </c>
    </row>
    <row r="1262" spans="1:8" x14ac:dyDescent="0.25">
      <c r="E1262" t="str">
        <f>""</f>
        <v/>
      </c>
      <c r="F1262" t="str">
        <f>""</f>
        <v/>
      </c>
      <c r="H1262" t="str">
        <f t="shared" si="8"/>
        <v>4TH QTR 2019 WRKRS COMP/#0110</v>
      </c>
    </row>
    <row r="1263" spans="1:8" x14ac:dyDescent="0.25">
      <c r="E1263" t="str">
        <f>""</f>
        <v/>
      </c>
      <c r="F1263" t="str">
        <f>""</f>
        <v/>
      </c>
      <c r="H1263" t="str">
        <f t="shared" si="8"/>
        <v>4TH QTR 2019 WRKRS COMP/#0110</v>
      </c>
    </row>
    <row r="1264" spans="1:8" x14ac:dyDescent="0.25">
      <c r="E1264" t="str">
        <f>""</f>
        <v/>
      </c>
      <c r="F1264" t="str">
        <f>""</f>
        <v/>
      </c>
      <c r="H1264" t="str">
        <f t="shared" si="8"/>
        <v>4TH QTR 2019 WRKRS COMP/#0110</v>
      </c>
    </row>
    <row r="1265" spans="5:8" x14ac:dyDescent="0.25">
      <c r="E1265" t="str">
        <f>""</f>
        <v/>
      </c>
      <c r="F1265" t="str">
        <f>""</f>
        <v/>
      </c>
      <c r="H1265" t="str">
        <f t="shared" si="8"/>
        <v>4TH QTR 2019 WRKRS COMP/#0110</v>
      </c>
    </row>
    <row r="1266" spans="5:8" x14ac:dyDescent="0.25">
      <c r="E1266" t="str">
        <f>""</f>
        <v/>
      </c>
      <c r="F1266" t="str">
        <f>""</f>
        <v/>
      </c>
      <c r="H1266" t="str">
        <f t="shared" si="8"/>
        <v>4TH QTR 2019 WRKRS COMP/#0110</v>
      </c>
    </row>
    <row r="1267" spans="5:8" x14ac:dyDescent="0.25">
      <c r="E1267" t="str">
        <f>""</f>
        <v/>
      </c>
      <c r="F1267" t="str">
        <f>""</f>
        <v/>
      </c>
      <c r="H1267" t="str">
        <f t="shared" si="8"/>
        <v>4TH QTR 2019 WRKRS COMP/#0110</v>
      </c>
    </row>
    <row r="1268" spans="5:8" x14ac:dyDescent="0.25">
      <c r="E1268" t="str">
        <f>""</f>
        <v/>
      </c>
      <c r="F1268" t="str">
        <f>""</f>
        <v/>
      </c>
      <c r="H1268" t="str">
        <f t="shared" si="8"/>
        <v>4TH QTR 2019 WRKRS COMP/#0110</v>
      </c>
    </row>
    <row r="1269" spans="5:8" x14ac:dyDescent="0.25">
      <c r="E1269" t="str">
        <f>""</f>
        <v/>
      </c>
      <c r="F1269" t="str">
        <f>""</f>
        <v/>
      </c>
      <c r="H1269" t="str">
        <f t="shared" si="8"/>
        <v>4TH QTR 2019 WRKRS COMP/#0110</v>
      </c>
    </row>
    <row r="1270" spans="5:8" x14ac:dyDescent="0.25">
      <c r="E1270" t="str">
        <f>""</f>
        <v/>
      </c>
      <c r="F1270" t="str">
        <f>""</f>
        <v/>
      </c>
      <c r="H1270" t="str">
        <f t="shared" si="8"/>
        <v>4TH QTR 2019 WRKRS COMP/#0110</v>
      </c>
    </row>
    <row r="1271" spans="5:8" x14ac:dyDescent="0.25">
      <c r="E1271" t="str">
        <f>""</f>
        <v/>
      </c>
      <c r="F1271" t="str">
        <f>""</f>
        <v/>
      </c>
      <c r="H1271" t="str">
        <f t="shared" si="8"/>
        <v>4TH QTR 2019 WRKRS COMP/#0110</v>
      </c>
    </row>
    <row r="1272" spans="5:8" x14ac:dyDescent="0.25">
      <c r="E1272" t="str">
        <f>""</f>
        <v/>
      </c>
      <c r="F1272" t="str">
        <f>""</f>
        <v/>
      </c>
      <c r="H1272" t="str">
        <f t="shared" si="8"/>
        <v>4TH QTR 2019 WRKRS COMP/#0110</v>
      </c>
    </row>
    <row r="1273" spans="5:8" x14ac:dyDescent="0.25">
      <c r="E1273" t="str">
        <f>""</f>
        <v/>
      </c>
      <c r="F1273" t="str">
        <f>""</f>
        <v/>
      </c>
      <c r="H1273" t="str">
        <f t="shared" si="8"/>
        <v>4TH QTR 2019 WRKRS COMP/#0110</v>
      </c>
    </row>
    <row r="1274" spans="5:8" x14ac:dyDescent="0.25">
      <c r="E1274" t="str">
        <f>""</f>
        <v/>
      </c>
      <c r="F1274" t="str">
        <f>""</f>
        <v/>
      </c>
      <c r="H1274" t="str">
        <f t="shared" si="8"/>
        <v>4TH QTR 2019 WRKRS COMP/#0110</v>
      </c>
    </row>
    <row r="1275" spans="5:8" x14ac:dyDescent="0.25">
      <c r="E1275" t="str">
        <f>""</f>
        <v/>
      </c>
      <c r="F1275" t="str">
        <f>""</f>
        <v/>
      </c>
      <c r="H1275" t="str">
        <f t="shared" si="8"/>
        <v>4TH QTR 2019 WRKRS COMP/#0110</v>
      </c>
    </row>
    <row r="1276" spans="5:8" x14ac:dyDescent="0.25">
      <c r="E1276" t="str">
        <f>""</f>
        <v/>
      </c>
      <c r="F1276" t="str">
        <f>""</f>
        <v/>
      </c>
      <c r="H1276" t="str">
        <f t="shared" si="8"/>
        <v>4TH QTR 2019 WRKRS COMP/#0110</v>
      </c>
    </row>
    <row r="1277" spans="5:8" x14ac:dyDescent="0.25">
      <c r="E1277" t="str">
        <f>""</f>
        <v/>
      </c>
      <c r="F1277" t="str">
        <f>""</f>
        <v/>
      </c>
      <c r="H1277" t="str">
        <f t="shared" si="8"/>
        <v>4TH QTR 2019 WRKRS COMP/#0110</v>
      </c>
    </row>
    <row r="1278" spans="5:8" x14ac:dyDescent="0.25">
      <c r="E1278" t="str">
        <f>""</f>
        <v/>
      </c>
      <c r="F1278" t="str">
        <f>""</f>
        <v/>
      </c>
      <c r="H1278" t="str">
        <f t="shared" si="8"/>
        <v>4TH QTR 2019 WRKRS COMP/#0110</v>
      </c>
    </row>
    <row r="1279" spans="5:8" x14ac:dyDescent="0.25">
      <c r="E1279" t="str">
        <f>""</f>
        <v/>
      </c>
      <c r="F1279" t="str">
        <f>""</f>
        <v/>
      </c>
      <c r="H1279" t="str">
        <f t="shared" si="8"/>
        <v>4TH QTR 2019 WRKRS COMP/#0110</v>
      </c>
    </row>
    <row r="1280" spans="5:8" x14ac:dyDescent="0.25">
      <c r="E1280" t="str">
        <f>""</f>
        <v/>
      </c>
      <c r="F1280" t="str">
        <f>""</f>
        <v/>
      </c>
      <c r="H1280" t="str">
        <f t="shared" si="8"/>
        <v>4TH QTR 2019 WRKRS COMP/#0110</v>
      </c>
    </row>
    <row r="1281" spans="1:8" x14ac:dyDescent="0.25">
      <c r="E1281" t="str">
        <f>""</f>
        <v/>
      </c>
      <c r="F1281" t="str">
        <f>""</f>
        <v/>
      </c>
      <c r="H1281" t="str">
        <f t="shared" si="8"/>
        <v>4TH QTR 2019 WRKRS COMP/#0110</v>
      </c>
    </row>
    <row r="1282" spans="1:8" x14ac:dyDescent="0.25">
      <c r="E1282" t="str">
        <f>""</f>
        <v/>
      </c>
      <c r="F1282" t="str">
        <f>""</f>
        <v/>
      </c>
      <c r="H1282" t="str">
        <f t="shared" si="8"/>
        <v>4TH QTR 2019 WRKRS COMP/#0110</v>
      </c>
    </row>
    <row r="1283" spans="1:8" x14ac:dyDescent="0.25">
      <c r="E1283" t="str">
        <f>""</f>
        <v/>
      </c>
      <c r="F1283" t="str">
        <f>""</f>
        <v/>
      </c>
      <c r="H1283" t="str">
        <f t="shared" si="8"/>
        <v>4TH QTR 2019 WRKRS COMP/#0110</v>
      </c>
    </row>
    <row r="1284" spans="1:8" x14ac:dyDescent="0.25">
      <c r="E1284" t="str">
        <f>""</f>
        <v/>
      </c>
      <c r="F1284" t="str">
        <f>""</f>
        <v/>
      </c>
      <c r="H1284" t="str">
        <f t="shared" si="8"/>
        <v>4TH QTR 2019 WRKRS COMP/#0110</v>
      </c>
    </row>
    <row r="1285" spans="1:8" x14ac:dyDescent="0.25">
      <c r="E1285" t="str">
        <f>""</f>
        <v/>
      </c>
      <c r="F1285" t="str">
        <f>""</f>
        <v/>
      </c>
      <c r="H1285" t="str">
        <f t="shared" si="8"/>
        <v>4TH QTR 2019 WRKRS COMP/#0110</v>
      </c>
    </row>
    <row r="1286" spans="1:8" x14ac:dyDescent="0.25">
      <c r="E1286" t="str">
        <f>""</f>
        <v/>
      </c>
      <c r="F1286" t="str">
        <f>""</f>
        <v/>
      </c>
      <c r="H1286" t="str">
        <f t="shared" si="8"/>
        <v>4TH QTR 2019 WRKRS COMP/#0110</v>
      </c>
    </row>
    <row r="1287" spans="1:8" x14ac:dyDescent="0.25">
      <c r="E1287" t="str">
        <f>""</f>
        <v/>
      </c>
      <c r="F1287" t="str">
        <f>""</f>
        <v/>
      </c>
      <c r="H1287" t="str">
        <f t="shared" si="8"/>
        <v>4TH QTR 2019 WRKRS COMP/#0110</v>
      </c>
    </row>
    <row r="1288" spans="1:8" x14ac:dyDescent="0.25">
      <c r="E1288" t="str">
        <f>""</f>
        <v/>
      </c>
      <c r="F1288" t="str">
        <f>""</f>
        <v/>
      </c>
      <c r="H1288" t="str">
        <f t="shared" si="8"/>
        <v>4TH QTR 2019 WRKRS COMP/#0110</v>
      </c>
    </row>
    <row r="1289" spans="1:8" x14ac:dyDescent="0.25">
      <c r="E1289" t="str">
        <f>""</f>
        <v/>
      </c>
      <c r="F1289" t="str">
        <f>""</f>
        <v/>
      </c>
      <c r="H1289" t="str">
        <f t="shared" si="8"/>
        <v>4TH QTR 2019 WRKRS COMP/#0110</v>
      </c>
    </row>
    <row r="1290" spans="1:8" x14ac:dyDescent="0.25">
      <c r="E1290" t="str">
        <f>""</f>
        <v/>
      </c>
      <c r="F1290" t="str">
        <f>""</f>
        <v/>
      </c>
      <c r="H1290" t="str">
        <f t="shared" si="8"/>
        <v>4TH QTR 2019 WRKRS COMP/#0110</v>
      </c>
    </row>
    <row r="1291" spans="1:8" x14ac:dyDescent="0.25">
      <c r="E1291" t="str">
        <f>""</f>
        <v/>
      </c>
      <c r="F1291" t="str">
        <f>""</f>
        <v/>
      </c>
      <c r="H1291" t="str">
        <f t="shared" si="8"/>
        <v>4TH QTR 2019 WRKRS COMP/#0110</v>
      </c>
    </row>
    <row r="1292" spans="1:8" x14ac:dyDescent="0.25">
      <c r="A1292" t="s">
        <v>392</v>
      </c>
      <c r="B1292">
        <v>84121</v>
      </c>
      <c r="C1292" s="2">
        <v>200</v>
      </c>
      <c r="D1292" s="1">
        <v>43731</v>
      </c>
      <c r="E1292" t="str">
        <f>"201909181917"</f>
        <v>201909181917</v>
      </c>
      <c r="F1292" t="str">
        <f>"TRAINING"</f>
        <v>TRAINING</v>
      </c>
      <c r="G1292" s="2">
        <v>200</v>
      </c>
      <c r="H1292" t="str">
        <f>"TRAINING"</f>
        <v>TRAINING</v>
      </c>
    </row>
    <row r="1293" spans="1:8" x14ac:dyDescent="0.25">
      <c r="A1293" t="s">
        <v>393</v>
      </c>
      <c r="B1293">
        <v>83872</v>
      </c>
      <c r="C1293" s="2">
        <v>1000</v>
      </c>
      <c r="D1293" s="1">
        <v>43717</v>
      </c>
      <c r="E1293" t="str">
        <f>"201908281305"</f>
        <v>201908281305</v>
      </c>
      <c r="F1293" t="str">
        <f>"TEXAS LANTANA MEMBERSHIP"</f>
        <v>TEXAS LANTANA MEMBERSHIP</v>
      </c>
      <c r="G1293" s="2">
        <v>1000</v>
      </c>
      <c r="H1293" t="str">
        <f>"TEXAS LANTANA MEMBERSHIP"</f>
        <v>TEXAS LANTANA MEMBERSHIP</v>
      </c>
    </row>
    <row r="1294" spans="1:8" x14ac:dyDescent="0.25">
      <c r="A1294" t="s">
        <v>394</v>
      </c>
      <c r="B1294">
        <v>84122</v>
      </c>
      <c r="C1294" s="2">
        <v>310</v>
      </c>
      <c r="D1294" s="1">
        <v>43731</v>
      </c>
      <c r="E1294" t="str">
        <f>"10147"</f>
        <v>10147</v>
      </c>
      <c r="F1294" t="str">
        <f>"REGISTRATION-TIHCA 2019"</f>
        <v>REGISTRATION-TIHCA 2019</v>
      </c>
      <c r="G1294" s="2">
        <v>310</v>
      </c>
      <c r="H1294" t="str">
        <f>"REGISTRATION-TIHCA 2019"</f>
        <v>REGISTRATION-TIHCA 2019</v>
      </c>
    </row>
    <row r="1295" spans="1:8" x14ac:dyDescent="0.25">
      <c r="A1295" t="s">
        <v>395</v>
      </c>
      <c r="B1295">
        <v>84123</v>
      </c>
      <c r="C1295" s="2">
        <v>105</v>
      </c>
      <c r="D1295" s="1">
        <v>43731</v>
      </c>
      <c r="E1295" t="str">
        <f>"UI-455284"</f>
        <v>UI-455284</v>
      </c>
      <c r="F1295" t="str">
        <f>"Numbered Sequence"</f>
        <v>Numbered Sequence</v>
      </c>
      <c r="G1295" s="2">
        <v>105</v>
      </c>
      <c r="H1295" t="str">
        <f>"Numbered Sequence"</f>
        <v>Numbered Sequence</v>
      </c>
    </row>
    <row r="1296" spans="1:8" x14ac:dyDescent="0.25">
      <c r="A1296" t="s">
        <v>396</v>
      </c>
      <c r="B1296">
        <v>83873</v>
      </c>
      <c r="C1296" s="2">
        <v>1000</v>
      </c>
      <c r="D1296" s="1">
        <v>43717</v>
      </c>
      <c r="E1296" t="str">
        <f>"331"</f>
        <v>331</v>
      </c>
      <c r="F1296" t="str">
        <f>"TEXAN BENEFITS MEMBERSHIP"</f>
        <v>TEXAN BENEFITS MEMBERSHIP</v>
      </c>
      <c r="G1296" s="2">
        <v>1000</v>
      </c>
      <c r="H1296" t="str">
        <f>"TEXAN BENEFITS MEMBERSHIP"</f>
        <v>TEXAN BENEFITS MEMBERSHIP</v>
      </c>
    </row>
    <row r="1297" spans="1:8" x14ac:dyDescent="0.25">
      <c r="A1297" t="s">
        <v>397</v>
      </c>
      <c r="B1297">
        <v>83874</v>
      </c>
      <c r="C1297" s="2">
        <v>81</v>
      </c>
      <c r="D1297" s="1">
        <v>43717</v>
      </c>
      <c r="E1297" t="str">
        <f>"J2-65455"</f>
        <v>J2-65455</v>
      </c>
      <c r="F1297" t="str">
        <f>"A8245648 - J. DELGADO-SOTO"</f>
        <v>A8245648 - J. DELGADO-SOTO</v>
      </c>
      <c r="G1297" s="2">
        <v>81</v>
      </c>
      <c r="H1297" t="str">
        <f>"A8245648 - J. DELGADO-SOTO"</f>
        <v>A8245648 - J. DELGADO-SOTO</v>
      </c>
    </row>
    <row r="1298" spans="1:8" x14ac:dyDescent="0.25">
      <c r="A1298" t="s">
        <v>397</v>
      </c>
      <c r="B1298">
        <v>84124</v>
      </c>
      <c r="C1298" s="2">
        <v>272</v>
      </c>
      <c r="D1298" s="1">
        <v>43731</v>
      </c>
      <c r="E1298" t="str">
        <f>"1CO-2228-19"</f>
        <v>1CO-2228-19</v>
      </c>
      <c r="F1298" t="str">
        <f>"A8286615 - W.D. BUCK"</f>
        <v>A8286615 - W.D. BUCK</v>
      </c>
      <c r="G1298" s="2">
        <v>157.25</v>
      </c>
      <c r="H1298" t="str">
        <f>"A8286615 - W.D. BUCK"</f>
        <v>A8286615 - W.D. BUCK</v>
      </c>
    </row>
    <row r="1299" spans="1:8" x14ac:dyDescent="0.25">
      <c r="E1299" t="str">
        <f>"J2-65720"</f>
        <v>J2-65720</v>
      </c>
      <c r="F1299" t="str">
        <f>"A8270625 - E. VOROBIEVA"</f>
        <v>A8270625 - E. VOROBIEVA</v>
      </c>
      <c r="G1299" s="2">
        <v>114.75</v>
      </c>
      <c r="H1299" t="str">
        <f>"A8270625 - E. VOROBIEVA"</f>
        <v>A8270625 - E. VOROBIEVA</v>
      </c>
    </row>
    <row r="1300" spans="1:8" x14ac:dyDescent="0.25">
      <c r="A1300" t="s">
        <v>398</v>
      </c>
      <c r="B1300">
        <v>1398</v>
      </c>
      <c r="C1300" s="2">
        <v>223.24</v>
      </c>
      <c r="D1300" s="1">
        <v>43732</v>
      </c>
      <c r="E1300" t="str">
        <f>"201909171901"</f>
        <v>201909171901</v>
      </c>
      <c r="F1300" t="str">
        <f>"INDIGENT HEALTH"</f>
        <v>INDIGENT HEALTH</v>
      </c>
      <c r="G1300" s="2">
        <v>223.24</v>
      </c>
      <c r="H1300" t="str">
        <f>"INDIGENT HEALTH"</f>
        <v>INDIGENT HEALTH</v>
      </c>
    </row>
    <row r="1301" spans="1:8" x14ac:dyDescent="0.25">
      <c r="A1301" t="s">
        <v>399</v>
      </c>
      <c r="B1301">
        <v>83875</v>
      </c>
      <c r="C1301" s="2">
        <v>1316</v>
      </c>
      <c r="D1301" s="1">
        <v>43717</v>
      </c>
      <c r="E1301" t="str">
        <f>"119859"</f>
        <v>119859</v>
      </c>
      <c r="F1301" t="str">
        <f>"ACCT#188757/JUVENILE BOOT CAMP"</f>
        <v>ACCT#188757/JUVENILE BOOT CAMP</v>
      </c>
      <c r="G1301" s="2">
        <v>118.5</v>
      </c>
      <c r="H1301" t="str">
        <f>"ACCT#188757/JUVENILE BOOT CAMP"</f>
        <v>ACCT#188757/JUVENILE BOOT CAMP</v>
      </c>
    </row>
    <row r="1302" spans="1:8" x14ac:dyDescent="0.25">
      <c r="E1302" t="str">
        <f>"119867"</f>
        <v>119867</v>
      </c>
      <c r="F1302" t="str">
        <f>"ACCT#188757/RD&amp;BRIDGE/SIGN SHP"</f>
        <v>ACCT#188757/RD&amp;BRIDGE/SIGN SHP</v>
      </c>
      <c r="G1302" s="2">
        <v>95</v>
      </c>
      <c r="H1302" t="str">
        <f>"ACCT#188757/RD&amp;BRIDGE/SIGN SHP"</f>
        <v>ACCT#188757/RD&amp;BRIDGE/SIGN SHP</v>
      </c>
    </row>
    <row r="1303" spans="1:8" x14ac:dyDescent="0.25">
      <c r="E1303" t="str">
        <f>"120081"</f>
        <v>120081</v>
      </c>
      <c r="F1303" t="str">
        <f>"ACCT#188757/MIKE FISHER BLDG"</f>
        <v>ACCT#188757/MIKE FISHER BLDG</v>
      </c>
      <c r="G1303" s="2">
        <v>112</v>
      </c>
      <c r="H1303" t="str">
        <f>"ACCT#188757/MIKE FISHER BLDG"</f>
        <v>ACCT#188757/MIKE FISHER BLDG</v>
      </c>
    </row>
    <row r="1304" spans="1:8" x14ac:dyDescent="0.25">
      <c r="E1304" t="str">
        <f>"120650"</f>
        <v>120650</v>
      </c>
      <c r="F1304" t="str">
        <f>"ACCT#188757/COURTHOUSE"</f>
        <v>ACCT#188757/COURTHOUSE</v>
      </c>
      <c r="G1304" s="2">
        <v>137</v>
      </c>
      <c r="H1304" t="str">
        <f>"ACCT#188757/COURTHOUSE"</f>
        <v>ACCT#188757/COURTHOUSE</v>
      </c>
    </row>
    <row r="1305" spans="1:8" x14ac:dyDescent="0.25">
      <c r="E1305" t="str">
        <f>"120652"</f>
        <v>120652</v>
      </c>
      <c r="F1305" t="str">
        <f>"ACCT#188757/HISTORIC JAIL"</f>
        <v>ACCT#188757/HISTORIC JAIL</v>
      </c>
      <c r="G1305" s="2">
        <v>76</v>
      </c>
      <c r="H1305" t="str">
        <f>"ACCT#188757/HISTORIC JAIL"</f>
        <v>ACCT#188757/HISTORIC JAIL</v>
      </c>
    </row>
    <row r="1306" spans="1:8" x14ac:dyDescent="0.25">
      <c r="E1306" t="str">
        <f>"120664"</f>
        <v>120664</v>
      </c>
      <c r="F1306" t="str">
        <f>"ACCT#188757/EXT HABITAT OFFICE"</f>
        <v>ACCT#188757/EXT HABITAT OFFICE</v>
      </c>
      <c r="G1306" s="2">
        <v>89</v>
      </c>
      <c r="H1306" t="str">
        <f>"ACCT#188757/EXT HABITAT OFFICE"</f>
        <v>ACCT#188757/EXT HABITAT OFFICE</v>
      </c>
    </row>
    <row r="1307" spans="1:8" x14ac:dyDescent="0.25">
      <c r="E1307" t="str">
        <f>"121040"</f>
        <v>121040</v>
      </c>
      <c r="F1307" t="str">
        <f>"ACCT#188757/LBJ BLDG/HLTH DEPT"</f>
        <v>ACCT#188757/LBJ BLDG/HLTH DEPT</v>
      </c>
      <c r="G1307" s="2">
        <v>69</v>
      </c>
      <c r="H1307" t="str">
        <f>"ACCT#188757/LBJ BLDG/HLTH DEPT"</f>
        <v>ACCT#188757/LBJ BLDG/HLTH DEPT</v>
      </c>
    </row>
    <row r="1308" spans="1:8" x14ac:dyDescent="0.25">
      <c r="E1308" t="str">
        <f>"121049"</f>
        <v>121049</v>
      </c>
      <c r="F1308" t="str">
        <f>"ACCT#188757/PCT#4 RD &amp; BRIDGE"</f>
        <v>ACCT#188757/PCT#4 RD &amp; BRIDGE</v>
      </c>
      <c r="G1308" s="2">
        <v>95.5</v>
      </c>
      <c r="H1308" t="str">
        <f>"ACCT#188757/PCT#4 RD &amp; BRIDGE"</f>
        <v>ACCT#188757/PCT#4 RD &amp; BRIDGE</v>
      </c>
    </row>
    <row r="1309" spans="1:8" x14ac:dyDescent="0.25">
      <c r="E1309" t="str">
        <f>"121192"</f>
        <v>121192</v>
      </c>
      <c r="F1309" t="str">
        <f>"ACCT#188757/JUVENILE PROBATION"</f>
        <v>ACCT#188757/JUVENILE PROBATION</v>
      </c>
      <c r="G1309" s="2">
        <v>132</v>
      </c>
      <c r="H1309" t="str">
        <f>"ACCT#188757/JUVENILE PROBATION"</f>
        <v>ACCT#188757/JUVENILE PROBATION</v>
      </c>
    </row>
    <row r="1310" spans="1:8" x14ac:dyDescent="0.25">
      <c r="E1310" t="str">
        <f>"121227"</f>
        <v>121227</v>
      </c>
      <c r="F1310" t="str">
        <f>"ACCT#188757/TAX OFFICE"</f>
        <v>ACCT#188757/TAX OFFICE</v>
      </c>
      <c r="G1310" s="2">
        <v>102</v>
      </c>
      <c r="H1310" t="str">
        <f>"ACCT#188757/TAX OFFICE"</f>
        <v>ACCT#188757/TAX OFFICE</v>
      </c>
    </row>
    <row r="1311" spans="1:8" x14ac:dyDescent="0.25">
      <c r="E1311" t="str">
        <f>"121287"</f>
        <v>121287</v>
      </c>
      <c r="F1311" t="str">
        <f>"ACCT#188757/ANIMAL SHELTER"</f>
        <v>ACCT#188757/ANIMAL SHELTER</v>
      </c>
      <c r="G1311" s="2">
        <v>290</v>
      </c>
      <c r="H1311" t="str">
        <f>"ACCT#188757/ANIMAL SHELTER"</f>
        <v>ACCT#188757/ANIMAL SHELTER</v>
      </c>
    </row>
    <row r="1312" spans="1:8" x14ac:dyDescent="0.25">
      <c r="A1312" t="s">
        <v>399</v>
      </c>
      <c r="B1312">
        <v>84125</v>
      </c>
      <c r="C1312" s="2">
        <v>1701</v>
      </c>
      <c r="D1312" s="1">
        <v>43731</v>
      </c>
      <c r="E1312" t="str">
        <f>"121988"</f>
        <v>121988</v>
      </c>
      <c r="F1312" t="str">
        <f>"ACCT#188757/DPS/TDL"</f>
        <v>ACCT#188757/DPS/TDL</v>
      </c>
      <c r="G1312" s="2">
        <v>76</v>
      </c>
      <c r="H1312" t="str">
        <f>"ACCT#188757/DPS/TDL"</f>
        <v>ACCT#188757/DPS/TDL</v>
      </c>
    </row>
    <row r="1313" spans="1:8" x14ac:dyDescent="0.25">
      <c r="E1313" t="str">
        <f>"122194"</f>
        <v>122194</v>
      </c>
      <c r="F1313" t="str">
        <f>"ACCT#188757/CEDAR CREEK PARK"</f>
        <v>ACCT#188757/CEDAR CREEK PARK</v>
      </c>
      <c r="G1313" s="2">
        <v>125</v>
      </c>
      <c r="H1313" t="str">
        <f>"ACCT#188757/CEDAR CREEK PARK"</f>
        <v>ACCT#188757/CEDAR CREEK PARK</v>
      </c>
    </row>
    <row r="1314" spans="1:8" x14ac:dyDescent="0.25">
      <c r="E1314" t="str">
        <f>"122782"</f>
        <v>122782</v>
      </c>
      <c r="F1314" t="str">
        <f>"ACCT#188757/LOST PINES PARK"</f>
        <v>ACCT#188757/LOST PINES PARK</v>
      </c>
      <c r="G1314" s="2">
        <v>75</v>
      </c>
      <c r="H1314" t="str">
        <f>"ACCT#188757/LOST PINES PARK"</f>
        <v>ACCT#188757/LOST PINES PARK</v>
      </c>
    </row>
    <row r="1315" spans="1:8" x14ac:dyDescent="0.25">
      <c r="E1315" t="str">
        <f>"123027"</f>
        <v>123027</v>
      </c>
      <c r="F1315" t="str">
        <f>"ACCT#188757/COURTHOUSE"</f>
        <v>ACCT#188757/COURTHOUSE</v>
      </c>
      <c r="G1315" s="2">
        <v>225</v>
      </c>
      <c r="H1315" t="str">
        <f>"ACCT#188757/COURTHOUSE"</f>
        <v>ACCT#188757/COURTHOUSE</v>
      </c>
    </row>
    <row r="1316" spans="1:8" x14ac:dyDescent="0.25">
      <c r="E1316" t="str">
        <f>"123683"</f>
        <v>123683</v>
      </c>
      <c r="F1316" t="str">
        <f>"ACCT#188757/COURTHOUSE"</f>
        <v>ACCT#188757/COURTHOUSE</v>
      </c>
      <c r="G1316" s="2">
        <v>1200</v>
      </c>
      <c r="H1316" t="str">
        <f>"ACCT#188757/COURTHOUSE"</f>
        <v>ACCT#188757/COURTHOUSE</v>
      </c>
    </row>
    <row r="1317" spans="1:8" x14ac:dyDescent="0.25">
      <c r="A1317" t="s">
        <v>400</v>
      </c>
      <c r="B1317">
        <v>1385</v>
      </c>
      <c r="C1317" s="2">
        <v>500</v>
      </c>
      <c r="D1317" s="1">
        <v>43732</v>
      </c>
      <c r="E1317" t="str">
        <f>"201909171811"</f>
        <v>201909171811</v>
      </c>
      <c r="F1317" t="str">
        <f>"56876"</f>
        <v>56876</v>
      </c>
      <c r="G1317" s="2">
        <v>250</v>
      </c>
      <c r="H1317" t="str">
        <f>"56876"</f>
        <v>56876</v>
      </c>
    </row>
    <row r="1318" spans="1:8" x14ac:dyDescent="0.25">
      <c r="E1318" t="str">
        <f>"201909171812"</f>
        <v>201909171812</v>
      </c>
      <c r="F1318" t="str">
        <f>"55 773"</f>
        <v>55 773</v>
      </c>
      <c r="G1318" s="2">
        <v>250</v>
      </c>
      <c r="H1318" t="str">
        <f>"55 773"</f>
        <v>55 773</v>
      </c>
    </row>
    <row r="1319" spans="1:8" x14ac:dyDescent="0.25">
      <c r="A1319" t="s">
        <v>401</v>
      </c>
      <c r="B1319">
        <v>83876</v>
      </c>
      <c r="C1319" s="2">
        <v>3171</v>
      </c>
      <c r="D1319" s="1">
        <v>43717</v>
      </c>
      <c r="E1319" t="str">
        <f>"0039796-IN"</f>
        <v>0039796-IN</v>
      </c>
      <c r="F1319" t="str">
        <f>"Park Fill"</f>
        <v>Park Fill</v>
      </c>
      <c r="G1319" s="2">
        <v>3171</v>
      </c>
      <c r="H1319" t="str">
        <f>"Bulk Wood Fibre"</f>
        <v>Bulk Wood Fibre</v>
      </c>
    </row>
    <row r="1320" spans="1:8" x14ac:dyDescent="0.25">
      <c r="E1320" t="str">
        <f>""</f>
        <v/>
      </c>
      <c r="F1320" t="str">
        <f>""</f>
        <v/>
      </c>
      <c r="H1320" t="str">
        <f>"Freight"</f>
        <v>Freight</v>
      </c>
    </row>
    <row r="1321" spans="1:8" x14ac:dyDescent="0.25">
      <c r="A1321" t="s">
        <v>402</v>
      </c>
      <c r="B1321">
        <v>83877</v>
      </c>
      <c r="C1321" s="2">
        <v>185</v>
      </c>
      <c r="D1321" s="1">
        <v>43717</v>
      </c>
      <c r="E1321" t="str">
        <f>"022462"</f>
        <v>022462</v>
      </c>
      <c r="F1321" t="str">
        <f>"INV 022462"</f>
        <v>INV 022462</v>
      </c>
      <c r="G1321" s="2">
        <v>185</v>
      </c>
      <c r="H1321" t="str">
        <f>"INV 022462"</f>
        <v>INV 022462</v>
      </c>
    </row>
    <row r="1322" spans="1:8" x14ac:dyDescent="0.25">
      <c r="A1322" t="s">
        <v>403</v>
      </c>
      <c r="B1322">
        <v>83878</v>
      </c>
      <c r="C1322" s="2">
        <v>298</v>
      </c>
      <c r="D1322" s="1">
        <v>43717</v>
      </c>
      <c r="E1322" t="str">
        <f>"201909041440"</f>
        <v>201909041440</v>
      </c>
      <c r="F1322" t="str">
        <f>"REGISTRATION-LAUREN OTT"</f>
        <v>REGISTRATION-LAUREN OTT</v>
      </c>
      <c r="G1322" s="2">
        <v>149</v>
      </c>
      <c r="H1322" t="str">
        <f>"REGISTRATION-LAUREN OTT"</f>
        <v>REGISTRATION-LAUREN OTT</v>
      </c>
    </row>
    <row r="1323" spans="1:8" x14ac:dyDescent="0.25">
      <c r="E1323" t="str">
        <f>"201909041441"</f>
        <v>201909041441</v>
      </c>
      <c r="F1323" t="str">
        <f>"REGISTRATION-ETTA WILEY"</f>
        <v>REGISTRATION-ETTA WILEY</v>
      </c>
      <c r="G1323" s="2">
        <v>149</v>
      </c>
      <c r="H1323" t="str">
        <f>"REGISTRATION-ETTA WILEY"</f>
        <v>REGISTRATION-ETTA WILEY</v>
      </c>
    </row>
    <row r="1324" spans="1:8" x14ac:dyDescent="0.25">
      <c r="A1324" t="s">
        <v>404</v>
      </c>
      <c r="B1324">
        <v>1298</v>
      </c>
      <c r="C1324" s="2">
        <v>1425</v>
      </c>
      <c r="D1324" s="1">
        <v>43718</v>
      </c>
      <c r="E1324" t="str">
        <f>"201908281309"</f>
        <v>201908281309</v>
      </c>
      <c r="F1324" t="str">
        <f>"1250-21  36133688"</f>
        <v>1250-21  36133688</v>
      </c>
      <c r="G1324" s="2">
        <v>100</v>
      </c>
      <c r="H1324" t="str">
        <f>"1250-21  36133688"</f>
        <v>1250-21  36133688</v>
      </c>
    </row>
    <row r="1325" spans="1:8" x14ac:dyDescent="0.25">
      <c r="E1325" t="str">
        <f>"201908291352"</f>
        <v>201908291352</v>
      </c>
      <c r="F1325" t="str">
        <f>"16 382"</f>
        <v>16 382</v>
      </c>
      <c r="G1325" s="2">
        <v>400</v>
      </c>
      <c r="H1325" t="str">
        <f>"16 382"</f>
        <v>16 382</v>
      </c>
    </row>
    <row r="1326" spans="1:8" x14ac:dyDescent="0.25">
      <c r="E1326" t="str">
        <f>"201909041484"</f>
        <v>201909041484</v>
      </c>
      <c r="F1326" t="str">
        <f>"19-19811"</f>
        <v>19-19811</v>
      </c>
      <c r="G1326" s="2">
        <v>175</v>
      </c>
      <c r="H1326" t="str">
        <f>"19-19811"</f>
        <v>19-19811</v>
      </c>
    </row>
    <row r="1327" spans="1:8" x14ac:dyDescent="0.25">
      <c r="E1327" t="str">
        <f>"201909041487"</f>
        <v>201909041487</v>
      </c>
      <c r="F1327" t="str">
        <f>"11-14521"</f>
        <v>11-14521</v>
      </c>
      <c r="G1327" s="2">
        <v>250</v>
      </c>
      <c r="H1327" t="str">
        <f>"11-14521"</f>
        <v>11-14521</v>
      </c>
    </row>
    <row r="1328" spans="1:8" x14ac:dyDescent="0.25">
      <c r="E1328" t="str">
        <f>"201909041510"</f>
        <v>201909041510</v>
      </c>
      <c r="F1328" t="str">
        <f>"56 182"</f>
        <v>56 182</v>
      </c>
      <c r="G1328" s="2">
        <v>250</v>
      </c>
      <c r="H1328" t="str">
        <f>"56 182"</f>
        <v>56 182</v>
      </c>
    </row>
    <row r="1329" spans="1:8" x14ac:dyDescent="0.25">
      <c r="E1329" t="str">
        <f>"201909041511"</f>
        <v>201909041511</v>
      </c>
      <c r="F1329" t="str">
        <f>"56 549"</f>
        <v>56 549</v>
      </c>
      <c r="G1329" s="2">
        <v>250</v>
      </c>
      <c r="H1329" t="str">
        <f>"56 549"</f>
        <v>56 549</v>
      </c>
    </row>
    <row r="1330" spans="1:8" x14ac:dyDescent="0.25">
      <c r="A1330" t="s">
        <v>404</v>
      </c>
      <c r="B1330">
        <v>1373</v>
      </c>
      <c r="C1330" s="2">
        <v>4100</v>
      </c>
      <c r="D1330" s="1">
        <v>43732</v>
      </c>
      <c r="E1330" t="str">
        <f>"201909121667"</f>
        <v>201909121667</v>
      </c>
      <c r="F1330" t="str">
        <f>"17-18617"</f>
        <v>17-18617</v>
      </c>
      <c r="G1330" s="2">
        <v>2725</v>
      </c>
      <c r="H1330" t="str">
        <f>"17-18617"</f>
        <v>17-18617</v>
      </c>
    </row>
    <row r="1331" spans="1:8" x14ac:dyDescent="0.25">
      <c r="E1331" t="str">
        <f>"201909121741"</f>
        <v>201909121741</v>
      </c>
      <c r="F1331" t="str">
        <f>"16 785"</f>
        <v>16 785</v>
      </c>
      <c r="G1331" s="2">
        <v>400</v>
      </c>
      <c r="H1331" t="str">
        <f>"16 785"</f>
        <v>16 785</v>
      </c>
    </row>
    <row r="1332" spans="1:8" x14ac:dyDescent="0.25">
      <c r="E1332" t="str">
        <f>"201909171796"</f>
        <v>201909171796</v>
      </c>
      <c r="F1332" t="str">
        <f>"405309-2  405309-3"</f>
        <v>405309-2  405309-3</v>
      </c>
      <c r="G1332" s="2">
        <v>375</v>
      </c>
      <c r="H1332" t="str">
        <f>"405309-2  405309-3"</f>
        <v>405309-2  405309-3</v>
      </c>
    </row>
    <row r="1333" spans="1:8" x14ac:dyDescent="0.25">
      <c r="E1333" t="str">
        <f>"201909171797"</f>
        <v>201909171797</v>
      </c>
      <c r="F1333" t="str">
        <f>"303202019-B"</f>
        <v>303202019-B</v>
      </c>
      <c r="G1333" s="2">
        <v>250</v>
      </c>
      <c r="H1333" t="str">
        <f>"303202019-B"</f>
        <v>303202019-B</v>
      </c>
    </row>
    <row r="1334" spans="1:8" x14ac:dyDescent="0.25">
      <c r="E1334" t="str">
        <f>"201909171863"</f>
        <v>201909171863</v>
      </c>
      <c r="F1334" t="str">
        <f>"15-17030"</f>
        <v>15-17030</v>
      </c>
      <c r="G1334" s="2">
        <v>175</v>
      </c>
      <c r="H1334" t="str">
        <f>"15-17030"</f>
        <v>15-17030</v>
      </c>
    </row>
    <row r="1335" spans="1:8" x14ac:dyDescent="0.25">
      <c r="E1335" t="str">
        <f>"201909171864"</f>
        <v>201909171864</v>
      </c>
      <c r="F1335" t="str">
        <f>"18-18996"</f>
        <v>18-18996</v>
      </c>
      <c r="G1335" s="2">
        <v>175</v>
      </c>
      <c r="H1335" t="str">
        <f>"18-18996"</f>
        <v>18-18996</v>
      </c>
    </row>
    <row r="1336" spans="1:8" x14ac:dyDescent="0.25">
      <c r="A1336" t="s">
        <v>405</v>
      </c>
      <c r="B1336">
        <v>84126</v>
      </c>
      <c r="C1336" s="2">
        <v>100.8</v>
      </c>
      <c r="D1336" s="1">
        <v>43731</v>
      </c>
      <c r="E1336" t="str">
        <f>"000563399"</f>
        <v>000563399</v>
      </c>
      <c r="F1336" t="str">
        <f>"POL#15R29980-ZAS/ACCT#4812W108"</f>
        <v>POL#15R29980-ZAS/ACCT#4812W108</v>
      </c>
      <c r="G1336" s="2">
        <v>100.8</v>
      </c>
      <c r="H1336" t="str">
        <f>"POL#15R29980-ZAS/ACCT#4812W108"</f>
        <v>POL#15R29980-ZAS/ACCT#4812W108</v>
      </c>
    </row>
    <row r="1337" spans="1:8" x14ac:dyDescent="0.25">
      <c r="A1337" t="s">
        <v>406</v>
      </c>
      <c r="B1337">
        <v>84127</v>
      </c>
      <c r="C1337" s="2">
        <v>270</v>
      </c>
      <c r="D1337" s="1">
        <v>43731</v>
      </c>
      <c r="E1337" t="str">
        <f>"201909181912"</f>
        <v>201909181912</v>
      </c>
      <c r="F1337" t="str">
        <f>"PER DIEM"</f>
        <v>PER DIEM</v>
      </c>
      <c r="G1337" s="2">
        <v>270</v>
      </c>
      <c r="H1337" t="str">
        <f>"PER DIEM"</f>
        <v>PER DIEM</v>
      </c>
    </row>
    <row r="1338" spans="1:8" x14ac:dyDescent="0.25">
      <c r="A1338" t="s">
        <v>407</v>
      </c>
      <c r="B1338">
        <v>84128</v>
      </c>
      <c r="C1338" s="2">
        <v>1440.5</v>
      </c>
      <c r="D1338" s="1">
        <v>43731</v>
      </c>
      <c r="E1338" t="str">
        <f>"840852981"</f>
        <v>840852981</v>
      </c>
      <c r="F1338" t="str">
        <f>"ACCT#1000648597/WEST INFO CHRG"</f>
        <v>ACCT#1000648597/WEST INFO CHRG</v>
      </c>
      <c r="G1338" s="2">
        <v>548</v>
      </c>
      <c r="H1338" t="str">
        <f>"ACCT#1000648597/WEST INFO CHRG"</f>
        <v>ACCT#1000648597/WEST INFO CHRG</v>
      </c>
    </row>
    <row r="1339" spans="1:8" x14ac:dyDescent="0.25">
      <c r="E1339" t="str">
        <f>"840865825"</f>
        <v>840865825</v>
      </c>
      <c r="F1339" t="str">
        <f>"ACCT#1005022937/WEST INFO CHRG"</f>
        <v>ACCT#1005022937/WEST INFO CHRG</v>
      </c>
      <c r="G1339" s="2">
        <v>892.5</v>
      </c>
      <c r="H1339" t="str">
        <f>"ACCT#1005022937/WEST INFO CHRG"</f>
        <v>ACCT#1005022937/WEST INFO CHRG</v>
      </c>
    </row>
    <row r="1340" spans="1:8" x14ac:dyDescent="0.25">
      <c r="A1340" t="s">
        <v>408</v>
      </c>
      <c r="B1340">
        <v>83879</v>
      </c>
      <c r="C1340" s="2">
        <v>11327.73</v>
      </c>
      <c r="D1340" s="1">
        <v>43717</v>
      </c>
      <c r="E1340" t="str">
        <f>"0003669082819"</f>
        <v>0003669082819</v>
      </c>
      <c r="F1340" t="str">
        <f>"ACCT#8260163000003669"</f>
        <v>ACCT#8260163000003669</v>
      </c>
      <c r="G1340" s="2">
        <v>11327.73</v>
      </c>
      <c r="H1340" t="str">
        <f>"ACCT#8260163000003669"</f>
        <v>ACCT#8260163000003669</v>
      </c>
    </row>
    <row r="1341" spans="1:8" x14ac:dyDescent="0.25">
      <c r="E1341" t="str">
        <f>""</f>
        <v/>
      </c>
      <c r="F1341" t="str">
        <f>""</f>
        <v/>
      </c>
      <c r="H1341" t="str">
        <f>"ACCT#8260163000003669"</f>
        <v>ACCT#8260163000003669</v>
      </c>
    </row>
    <row r="1342" spans="1:8" x14ac:dyDescent="0.25">
      <c r="A1342" t="s">
        <v>409</v>
      </c>
      <c r="B1342">
        <v>84129</v>
      </c>
      <c r="C1342" s="2">
        <v>385.22</v>
      </c>
      <c r="D1342" s="1">
        <v>43731</v>
      </c>
      <c r="E1342" t="str">
        <f>"201909131749"</f>
        <v>201909131749</v>
      </c>
      <c r="F1342" t="str">
        <f>"REIMBURSE MEALS &amp; LODGING"</f>
        <v>REIMBURSE MEALS &amp; LODGING</v>
      </c>
      <c r="G1342" s="2">
        <v>385.22</v>
      </c>
    </row>
    <row r="1343" spans="1:8" x14ac:dyDescent="0.25">
      <c r="A1343" t="s">
        <v>409</v>
      </c>
      <c r="B1343">
        <v>84129</v>
      </c>
      <c r="C1343" s="2">
        <v>385.22</v>
      </c>
      <c r="D1343" s="1">
        <v>43738</v>
      </c>
      <c r="E1343" t="str">
        <f>"CHECK"</f>
        <v>CHECK</v>
      </c>
      <c r="F1343" t="str">
        <f>""</f>
        <v/>
      </c>
      <c r="G1343" s="2">
        <v>385.22</v>
      </c>
    </row>
    <row r="1344" spans="1:8" x14ac:dyDescent="0.25">
      <c r="A1344" t="s">
        <v>409</v>
      </c>
      <c r="B1344">
        <v>84152</v>
      </c>
      <c r="C1344" s="2">
        <v>72.8</v>
      </c>
      <c r="D1344" s="1">
        <v>43738</v>
      </c>
      <c r="E1344" t="str">
        <f>"201910022148"</f>
        <v>201910022148</v>
      </c>
      <c r="F1344" t="str">
        <f>"TRAVEL REIMBURSEMENT"</f>
        <v>TRAVEL REIMBURSEMENT</v>
      </c>
      <c r="G1344" s="2">
        <v>72.8</v>
      </c>
      <c r="H1344" t="str">
        <f>"TRAVEL REIMBURSEMENT"</f>
        <v>TRAVEL REIMBURSEMENT</v>
      </c>
    </row>
    <row r="1345" spans="1:8" x14ac:dyDescent="0.25">
      <c r="A1345" t="s">
        <v>410</v>
      </c>
      <c r="B1345">
        <v>83880</v>
      </c>
      <c r="C1345" s="2">
        <v>2515.42</v>
      </c>
      <c r="D1345" s="1">
        <v>43717</v>
      </c>
      <c r="E1345" t="str">
        <f>"201909041523"</f>
        <v>201909041523</v>
      </c>
      <c r="F1345" t="str">
        <f>"Acct# 6035301200160982"</f>
        <v>Acct# 6035301200160982</v>
      </c>
      <c r="G1345" s="2">
        <v>2515.42</v>
      </c>
      <c r="H1345" t="str">
        <f>"inv# 300566760"</f>
        <v>inv# 300566760</v>
      </c>
    </row>
    <row r="1346" spans="1:8" x14ac:dyDescent="0.25">
      <c r="E1346" t="str">
        <f>""</f>
        <v/>
      </c>
      <c r="F1346" t="str">
        <f>""</f>
        <v/>
      </c>
      <c r="H1346" t="str">
        <f>"inv# 300561346"</f>
        <v>inv# 300561346</v>
      </c>
    </row>
    <row r="1347" spans="1:8" x14ac:dyDescent="0.25">
      <c r="E1347" t="str">
        <f>""</f>
        <v/>
      </c>
      <c r="F1347" t="str">
        <f>""</f>
        <v/>
      </c>
      <c r="H1347" t="str">
        <f>"inv# 100601035"</f>
        <v>inv# 100601035</v>
      </c>
    </row>
    <row r="1348" spans="1:8" x14ac:dyDescent="0.25">
      <c r="E1348" t="str">
        <f>""</f>
        <v/>
      </c>
      <c r="F1348" t="str">
        <f>""</f>
        <v/>
      </c>
      <c r="H1348" t="str">
        <f>"inv# 300567578"</f>
        <v>inv# 300567578</v>
      </c>
    </row>
    <row r="1349" spans="1:8" x14ac:dyDescent="0.25">
      <c r="E1349" t="str">
        <f>""</f>
        <v/>
      </c>
      <c r="F1349" t="str">
        <f>""</f>
        <v/>
      </c>
      <c r="H1349" t="str">
        <f>"inv# 200587044"</f>
        <v>inv# 200587044</v>
      </c>
    </row>
    <row r="1350" spans="1:8" x14ac:dyDescent="0.25">
      <c r="E1350" t="str">
        <f>""</f>
        <v/>
      </c>
      <c r="F1350" t="str">
        <f>""</f>
        <v/>
      </c>
      <c r="H1350" t="str">
        <f>"inv# 200587045"</f>
        <v>inv# 200587045</v>
      </c>
    </row>
    <row r="1351" spans="1:8" x14ac:dyDescent="0.25">
      <c r="E1351" t="str">
        <f>""</f>
        <v/>
      </c>
      <c r="F1351" t="str">
        <f>""</f>
        <v/>
      </c>
      <c r="H1351" t="str">
        <f>"inv# 200591332"</f>
        <v>inv# 200591332</v>
      </c>
    </row>
    <row r="1352" spans="1:8" x14ac:dyDescent="0.25">
      <c r="E1352" t="str">
        <f>""</f>
        <v/>
      </c>
      <c r="F1352" t="str">
        <f>""</f>
        <v/>
      </c>
      <c r="H1352" t="str">
        <f>"inv# 300561184"</f>
        <v>inv# 300561184</v>
      </c>
    </row>
    <row r="1353" spans="1:8" x14ac:dyDescent="0.25">
      <c r="E1353" t="str">
        <f>""</f>
        <v/>
      </c>
      <c r="F1353" t="str">
        <f>""</f>
        <v/>
      </c>
      <c r="H1353" t="str">
        <f>"inv# 300564655"</f>
        <v>inv# 300564655</v>
      </c>
    </row>
    <row r="1354" spans="1:8" x14ac:dyDescent="0.25">
      <c r="E1354" t="str">
        <f>""</f>
        <v/>
      </c>
      <c r="F1354" t="str">
        <f>""</f>
        <v/>
      </c>
      <c r="H1354" t="str">
        <f>"inv# 100121759"</f>
        <v>inv# 100121759</v>
      </c>
    </row>
    <row r="1355" spans="1:8" x14ac:dyDescent="0.25">
      <c r="E1355" t="str">
        <f>""</f>
        <v/>
      </c>
      <c r="F1355" t="str">
        <f>""</f>
        <v/>
      </c>
      <c r="H1355" t="str">
        <f>"inv# 100124983"</f>
        <v>inv# 100124983</v>
      </c>
    </row>
    <row r="1356" spans="1:8" x14ac:dyDescent="0.25">
      <c r="E1356" t="str">
        <f>""</f>
        <v/>
      </c>
      <c r="F1356" t="str">
        <f>""</f>
        <v/>
      </c>
      <c r="H1356" t="str">
        <f>"inv# 100121675"</f>
        <v>inv# 100121675</v>
      </c>
    </row>
    <row r="1357" spans="1:8" x14ac:dyDescent="0.25">
      <c r="E1357" t="str">
        <f>""</f>
        <v/>
      </c>
      <c r="F1357" t="str">
        <f>""</f>
        <v/>
      </c>
      <c r="H1357" t="str">
        <f>"inv# 100121703"</f>
        <v>inv# 100121703</v>
      </c>
    </row>
    <row r="1358" spans="1:8" x14ac:dyDescent="0.25">
      <c r="E1358" t="str">
        <f>""</f>
        <v/>
      </c>
      <c r="F1358" t="str">
        <f>""</f>
        <v/>
      </c>
      <c r="H1358" t="str">
        <f>"inv# 100123532"</f>
        <v>inv# 100123532</v>
      </c>
    </row>
    <row r="1359" spans="1:8" x14ac:dyDescent="0.25">
      <c r="E1359" t="str">
        <f>""</f>
        <v/>
      </c>
      <c r="F1359" t="str">
        <f>""</f>
        <v/>
      </c>
      <c r="H1359" t="str">
        <f>"inv# 100124583"</f>
        <v>inv# 100124583</v>
      </c>
    </row>
    <row r="1360" spans="1:8" x14ac:dyDescent="0.25">
      <c r="E1360" t="str">
        <f>""</f>
        <v/>
      </c>
      <c r="F1360" t="str">
        <f>""</f>
        <v/>
      </c>
      <c r="H1360" t="str">
        <f>"inv# 100124938"</f>
        <v>inv# 100124938</v>
      </c>
    </row>
    <row r="1361" spans="1:8" x14ac:dyDescent="0.25">
      <c r="E1361" t="str">
        <f>""</f>
        <v/>
      </c>
      <c r="F1361" t="str">
        <f>""</f>
        <v/>
      </c>
      <c r="H1361" t="str">
        <f>"inv# 200052041"</f>
        <v>inv# 200052041</v>
      </c>
    </row>
    <row r="1362" spans="1:8" x14ac:dyDescent="0.25">
      <c r="E1362" t="str">
        <f>""</f>
        <v/>
      </c>
      <c r="F1362" t="str">
        <f>""</f>
        <v/>
      </c>
      <c r="H1362" t="str">
        <f>"inv# 200590028"</f>
        <v>inv# 200590028</v>
      </c>
    </row>
    <row r="1363" spans="1:8" x14ac:dyDescent="0.25">
      <c r="A1363" t="s">
        <v>411</v>
      </c>
      <c r="B1363">
        <v>83881</v>
      </c>
      <c r="C1363" s="2">
        <v>450</v>
      </c>
      <c r="D1363" s="1">
        <v>43717</v>
      </c>
      <c r="E1363" t="str">
        <f>"12400"</f>
        <v>12400</v>
      </c>
      <c r="F1363" t="str">
        <f t="shared" ref="F1363:F1369" si="9">"SERVICE"</f>
        <v>SERVICE</v>
      </c>
      <c r="G1363" s="2">
        <v>75</v>
      </c>
      <c r="H1363" t="str">
        <f t="shared" ref="H1363:H1369" si="10">"SERVICE"</f>
        <v>SERVICE</v>
      </c>
    </row>
    <row r="1364" spans="1:8" x14ac:dyDescent="0.25">
      <c r="E1364" t="str">
        <f>"12524"</f>
        <v>12524</v>
      </c>
      <c r="F1364" t="str">
        <f t="shared" si="9"/>
        <v>SERVICE</v>
      </c>
      <c r="G1364" s="2">
        <v>75</v>
      </c>
      <c r="H1364" t="str">
        <f t="shared" si="10"/>
        <v>SERVICE</v>
      </c>
    </row>
    <row r="1365" spans="1:8" x14ac:dyDescent="0.25">
      <c r="E1365" t="str">
        <f>"12915"</f>
        <v>12915</v>
      </c>
      <c r="F1365" t="str">
        <f t="shared" si="9"/>
        <v>SERVICE</v>
      </c>
      <c r="G1365" s="2">
        <v>75</v>
      </c>
      <c r="H1365" t="str">
        <f t="shared" si="10"/>
        <v>SERVICE</v>
      </c>
    </row>
    <row r="1366" spans="1:8" x14ac:dyDescent="0.25">
      <c r="E1366" t="str">
        <f>"13114"</f>
        <v>13114</v>
      </c>
      <c r="F1366" t="str">
        <f t="shared" si="9"/>
        <v>SERVICE</v>
      </c>
      <c r="G1366" s="2">
        <v>150</v>
      </c>
      <c r="H1366" t="str">
        <f t="shared" si="10"/>
        <v>SERVICE</v>
      </c>
    </row>
    <row r="1367" spans="1:8" x14ac:dyDescent="0.25">
      <c r="E1367" t="str">
        <f>"13118"</f>
        <v>13118</v>
      </c>
      <c r="F1367" t="str">
        <f t="shared" si="9"/>
        <v>SERVICE</v>
      </c>
      <c r="G1367" s="2">
        <v>75</v>
      </c>
      <c r="H1367" t="str">
        <f t="shared" si="10"/>
        <v>SERVICE</v>
      </c>
    </row>
    <row r="1368" spans="1:8" x14ac:dyDescent="0.25">
      <c r="A1368" t="s">
        <v>411</v>
      </c>
      <c r="B1368">
        <v>84130</v>
      </c>
      <c r="C1368" s="2">
        <v>225</v>
      </c>
      <c r="D1368" s="1">
        <v>43731</v>
      </c>
      <c r="E1368" t="str">
        <f>"12823"</f>
        <v>12823</v>
      </c>
      <c r="F1368" t="str">
        <f t="shared" si="9"/>
        <v>SERVICE</v>
      </c>
      <c r="G1368" s="2">
        <v>75</v>
      </c>
      <c r="H1368" t="str">
        <f t="shared" si="10"/>
        <v>SERVICE</v>
      </c>
    </row>
    <row r="1369" spans="1:8" x14ac:dyDescent="0.25">
      <c r="E1369" t="str">
        <f>"13233"</f>
        <v>13233</v>
      </c>
      <c r="F1369" t="str">
        <f t="shared" si="9"/>
        <v>SERVICE</v>
      </c>
      <c r="G1369" s="2">
        <v>150</v>
      </c>
      <c r="H1369" t="str">
        <f t="shared" si="10"/>
        <v>SERVICE</v>
      </c>
    </row>
    <row r="1370" spans="1:8" x14ac:dyDescent="0.25">
      <c r="A1370" t="s">
        <v>412</v>
      </c>
      <c r="B1370">
        <v>83882</v>
      </c>
      <c r="C1370" s="2">
        <v>14500</v>
      </c>
      <c r="D1370" s="1">
        <v>43717</v>
      </c>
      <c r="E1370" t="str">
        <f>"3300002610"</f>
        <v>3300002610</v>
      </c>
      <c r="F1370" t="str">
        <f>"CUST#100733/INV#3300002610"</f>
        <v>CUST#100733/INV#3300002610</v>
      </c>
      <c r="G1370" s="2">
        <v>5800</v>
      </c>
      <c r="H1370" t="str">
        <f>"CUST#100733/INV#3300002610"</f>
        <v>CUST#100733/INV#3300002610</v>
      </c>
    </row>
    <row r="1371" spans="1:8" x14ac:dyDescent="0.25">
      <c r="E1371" t="str">
        <f>"3300002662"</f>
        <v>3300002662</v>
      </c>
      <c r="F1371" t="str">
        <f>"CUST#100009/INV#3300002662"</f>
        <v>CUST#100009/INV#3300002662</v>
      </c>
      <c r="G1371" s="2">
        <v>5800</v>
      </c>
      <c r="H1371" t="str">
        <f>"CUST#100009/INV#3300002662"</f>
        <v>CUST#100009/INV#3300002662</v>
      </c>
    </row>
    <row r="1372" spans="1:8" x14ac:dyDescent="0.25">
      <c r="E1372" t="str">
        <f>"3300002670"</f>
        <v>3300002670</v>
      </c>
      <c r="F1372" t="str">
        <f>"CUST#100010/INV#3300002670"</f>
        <v>CUST#100010/INV#3300002670</v>
      </c>
      <c r="G1372" s="2">
        <v>2900</v>
      </c>
      <c r="H1372" t="str">
        <f>"CUST#100010/INV#3300002670"</f>
        <v>CUST#100010/INV#3300002670</v>
      </c>
    </row>
    <row r="1373" spans="1:8" x14ac:dyDescent="0.25">
      <c r="A1373" t="s">
        <v>413</v>
      </c>
      <c r="B1373">
        <v>84131</v>
      </c>
      <c r="C1373" s="2">
        <v>100</v>
      </c>
      <c r="D1373" s="1">
        <v>43731</v>
      </c>
      <c r="E1373" t="str">
        <f>"201909181911"</f>
        <v>201909181911</v>
      </c>
      <c r="F1373" t="str">
        <f>"TRAINING"</f>
        <v>TRAINING</v>
      </c>
      <c r="G1373" s="2">
        <v>100</v>
      </c>
    </row>
    <row r="1374" spans="1:8" x14ac:dyDescent="0.25">
      <c r="A1374" t="s">
        <v>414</v>
      </c>
      <c r="B1374">
        <v>1300</v>
      </c>
      <c r="C1374" s="2">
        <v>689.94</v>
      </c>
      <c r="D1374" s="1">
        <v>43718</v>
      </c>
      <c r="E1374" t="str">
        <f>"778275"</f>
        <v>778275</v>
      </c>
      <c r="F1374" t="str">
        <f>"INV 778275/ESTRAY TRAILER"</f>
        <v>INV 778275/ESTRAY TRAILER</v>
      </c>
      <c r="G1374" s="2">
        <v>405.72</v>
      </c>
      <c r="H1374" t="str">
        <f>"INV 778275/ESTRAY TRAILER"</f>
        <v>INV 778275/ESTRAY TRAILER</v>
      </c>
    </row>
    <row r="1375" spans="1:8" x14ac:dyDescent="0.25">
      <c r="E1375" t="str">
        <f>"778276"</f>
        <v>778276</v>
      </c>
      <c r="F1375" t="str">
        <f>"INV 778276 / UNIT 1672"</f>
        <v>INV 778276 / UNIT 1672</v>
      </c>
      <c r="G1375" s="2">
        <v>142.11000000000001</v>
      </c>
      <c r="H1375" t="str">
        <f>"INV 778276 / UNIT 1672"</f>
        <v>INV 778276 / UNIT 1672</v>
      </c>
    </row>
    <row r="1376" spans="1:8" x14ac:dyDescent="0.25">
      <c r="E1376" t="str">
        <f>"778277"</f>
        <v>778277</v>
      </c>
      <c r="F1376" t="str">
        <f>"INV 778277 / UNIT 6539"</f>
        <v>INV 778277 / UNIT 6539</v>
      </c>
      <c r="G1376" s="2">
        <v>142.11000000000001</v>
      </c>
      <c r="H1376" t="str">
        <f>"INV 778277 / UNIT 6539"</f>
        <v>INV 778277 / UNIT 6539</v>
      </c>
    </row>
    <row r="1377" spans="1:8" x14ac:dyDescent="0.25">
      <c r="A1377" t="s">
        <v>414</v>
      </c>
      <c r="B1377">
        <v>1375</v>
      </c>
      <c r="C1377" s="2">
        <v>988.45</v>
      </c>
      <c r="D1377" s="1">
        <v>43732</v>
      </c>
      <c r="E1377" t="str">
        <f>"779327"</f>
        <v>779327</v>
      </c>
      <c r="F1377" t="str">
        <f>"INV 779327/UNIT 6763"</f>
        <v>INV 779327/UNIT 6763</v>
      </c>
      <c r="G1377" s="2">
        <v>135.79</v>
      </c>
      <c r="H1377" t="str">
        <f>"INV 779327/UNIT 6763"</f>
        <v>INV 779327/UNIT 6763</v>
      </c>
    </row>
    <row r="1378" spans="1:8" x14ac:dyDescent="0.25">
      <c r="E1378" t="str">
        <f>"779582"</f>
        <v>779582</v>
      </c>
      <c r="F1378" t="str">
        <f>"INV 779582 / UNIT 1631"</f>
        <v>INV 779582 / UNIT 1631</v>
      </c>
      <c r="G1378" s="2">
        <v>142.11000000000001</v>
      </c>
      <c r="H1378" t="str">
        <f>"INV 779582 / UNIT 1631"</f>
        <v>INV 779582 / UNIT 1631</v>
      </c>
    </row>
    <row r="1379" spans="1:8" x14ac:dyDescent="0.25">
      <c r="E1379" t="str">
        <f>"779583"</f>
        <v>779583</v>
      </c>
      <c r="F1379" t="str">
        <f>"INV 779583 / UNIT 1670"</f>
        <v>INV 779583 / UNIT 1670</v>
      </c>
      <c r="G1379" s="2">
        <v>142.11000000000001</v>
      </c>
      <c r="H1379" t="str">
        <f>"INV 779583 / UNIT 1670"</f>
        <v>INV 779583 / UNIT 1670</v>
      </c>
    </row>
    <row r="1380" spans="1:8" x14ac:dyDescent="0.25">
      <c r="E1380" t="str">
        <f>"780698"</f>
        <v>780698</v>
      </c>
      <c r="F1380" t="str">
        <f>"INV 780698 / UNIT 4720"</f>
        <v>INV 780698 / UNIT 4720</v>
      </c>
      <c r="G1380" s="2">
        <v>568.44000000000005</v>
      </c>
      <c r="H1380" t="str">
        <f>"INV 780698 / UNIT 4720"</f>
        <v>INV 780698 / UNIT 4720</v>
      </c>
    </row>
    <row r="1381" spans="1:8" x14ac:dyDescent="0.25">
      <c r="A1381" t="s">
        <v>415</v>
      </c>
      <c r="B1381">
        <v>84132</v>
      </c>
      <c r="C1381" s="2">
        <v>115.29</v>
      </c>
      <c r="D1381" s="1">
        <v>43731</v>
      </c>
      <c r="E1381" t="str">
        <f>"201909171895"</f>
        <v>201909171895</v>
      </c>
      <c r="F1381" t="str">
        <f>"INDIGENT HEALTH"</f>
        <v>INDIGENT HEALTH</v>
      </c>
      <c r="G1381" s="2">
        <v>115.29</v>
      </c>
      <c r="H1381" t="str">
        <f>"INDIGENT HEALTH"</f>
        <v>INDIGENT HEALTH</v>
      </c>
    </row>
    <row r="1382" spans="1:8" x14ac:dyDescent="0.25">
      <c r="A1382" t="s">
        <v>416</v>
      </c>
      <c r="B1382">
        <v>1356</v>
      </c>
      <c r="C1382" s="2">
        <v>400</v>
      </c>
      <c r="D1382" s="1">
        <v>43718</v>
      </c>
      <c r="E1382" t="str">
        <f>"201908291348"</f>
        <v>201908291348</v>
      </c>
      <c r="F1382" t="str">
        <f>"16 381"</f>
        <v>16 381</v>
      </c>
      <c r="G1382" s="2">
        <v>400</v>
      </c>
      <c r="H1382" t="str">
        <f>"16 381"</f>
        <v>16 381</v>
      </c>
    </row>
    <row r="1383" spans="1:8" x14ac:dyDescent="0.25">
      <c r="A1383" t="s">
        <v>417</v>
      </c>
      <c r="B1383">
        <v>83883</v>
      </c>
      <c r="C1383" s="2">
        <v>93468.56</v>
      </c>
      <c r="D1383" s="1">
        <v>43717</v>
      </c>
      <c r="E1383" t="str">
        <f>"020-21251"</f>
        <v>020-21251</v>
      </c>
      <c r="F1383" t="str">
        <f>"CUST#42161/ORD#100019"</f>
        <v>CUST#42161/ORD#100019</v>
      </c>
      <c r="G1383" s="2">
        <v>35988.6</v>
      </c>
      <c r="H1383" t="str">
        <f>"CUST#42161/ORD#100019"</f>
        <v>CUST#42161/ORD#100019</v>
      </c>
    </row>
    <row r="1384" spans="1:8" x14ac:dyDescent="0.25">
      <c r="E1384" t="str">
        <f>"020-21252"</f>
        <v>020-21252</v>
      </c>
      <c r="F1384" t="str">
        <f>"CUST#42161/ORD#100020"</f>
        <v>CUST#42161/ORD#100020</v>
      </c>
      <c r="G1384" s="2">
        <v>556.97</v>
      </c>
      <c r="H1384" t="str">
        <f>"CUST#42161/ORD#100020"</f>
        <v>CUST#42161/ORD#100020</v>
      </c>
    </row>
    <row r="1385" spans="1:8" x14ac:dyDescent="0.25">
      <c r="E1385" t="str">
        <f>"025-269340"</f>
        <v>025-269340</v>
      </c>
      <c r="F1385" t="str">
        <f>"CUST#42161/ORD#113207"</f>
        <v>CUST#42161/ORD#113207</v>
      </c>
      <c r="G1385" s="2">
        <v>33252.82</v>
      </c>
      <c r="H1385" t="str">
        <f>"CUST#42161/ORD#113207"</f>
        <v>CUST#42161/ORD#113207</v>
      </c>
    </row>
    <row r="1386" spans="1:8" x14ac:dyDescent="0.25">
      <c r="E1386" t="str">
        <f>"130-8375"</f>
        <v>130-8375</v>
      </c>
      <c r="F1386" t="str">
        <f>"CUST#42161/ORD#6117"</f>
        <v>CUST#42161/ORD#6117</v>
      </c>
      <c r="G1386" s="2">
        <v>23670.17</v>
      </c>
      <c r="H1386" t="str">
        <f>"CUST#42161/ORD#6117"</f>
        <v>CUST#42161/ORD#6117</v>
      </c>
    </row>
    <row r="1387" spans="1:8" x14ac:dyDescent="0.25">
      <c r="A1387" t="s">
        <v>417</v>
      </c>
      <c r="B1387">
        <v>84133</v>
      </c>
      <c r="C1387" s="2">
        <v>1200</v>
      </c>
      <c r="D1387" s="1">
        <v>43731</v>
      </c>
      <c r="E1387" t="str">
        <f>"130-8658"</f>
        <v>130-8658</v>
      </c>
      <c r="F1387" t="str">
        <f>"Tyler remote installation"</f>
        <v>Tyler remote installation</v>
      </c>
      <c r="G1387" s="2">
        <v>1200</v>
      </c>
      <c r="H1387" t="str">
        <f>"remote installation"</f>
        <v>remote installation</v>
      </c>
    </row>
    <row r="1388" spans="1:8" x14ac:dyDescent="0.25">
      <c r="A1388" t="s">
        <v>418</v>
      </c>
      <c r="B1388">
        <v>1349</v>
      </c>
      <c r="C1388" s="2">
        <v>61.23</v>
      </c>
      <c r="D1388" s="1">
        <v>43718</v>
      </c>
      <c r="E1388" t="str">
        <f>"69821462-00"</f>
        <v>69821462-00</v>
      </c>
      <c r="F1388" t="str">
        <f>"INV 69821462-00"</f>
        <v>INV 69821462-00</v>
      </c>
      <c r="G1388" s="2">
        <v>61.23</v>
      </c>
      <c r="H1388" t="str">
        <f>"INV 69821462-00"</f>
        <v>INV 69821462-00</v>
      </c>
    </row>
    <row r="1389" spans="1:8" x14ac:dyDescent="0.25">
      <c r="A1389" t="s">
        <v>418</v>
      </c>
      <c r="B1389">
        <v>1425</v>
      </c>
      <c r="C1389" s="2">
        <v>328.49</v>
      </c>
      <c r="D1389" s="1">
        <v>43732</v>
      </c>
      <c r="E1389" t="str">
        <f>"69935518-00"</f>
        <v>69935518-00</v>
      </c>
      <c r="F1389" t="str">
        <f>"INV 69935518-00"</f>
        <v>INV 69935518-00</v>
      </c>
      <c r="G1389" s="2">
        <v>258.94</v>
      </c>
      <c r="H1389" t="str">
        <f>"INV 69935518-00"</f>
        <v>INV 69935518-00</v>
      </c>
    </row>
    <row r="1390" spans="1:8" x14ac:dyDescent="0.25">
      <c r="E1390" t="str">
        <f>"69981257-00"</f>
        <v>69981257-00</v>
      </c>
      <c r="F1390" t="str">
        <f>"INV 69981257-00"</f>
        <v>INV 69981257-00</v>
      </c>
      <c r="G1390" s="2">
        <v>69.55</v>
      </c>
      <c r="H1390" t="str">
        <f>"INV 69981257-00"</f>
        <v>INV 69981257-00</v>
      </c>
    </row>
    <row r="1391" spans="1:8" x14ac:dyDescent="0.25">
      <c r="A1391" t="s">
        <v>419</v>
      </c>
      <c r="B1391">
        <v>84134</v>
      </c>
      <c r="C1391" s="2">
        <v>71.25</v>
      </c>
      <c r="D1391" s="1">
        <v>43731</v>
      </c>
      <c r="E1391" t="str">
        <f>"000018VW63359"</f>
        <v>000018VW63359</v>
      </c>
      <c r="F1391" t="str">
        <f>"SHIPPING CHRGS"</f>
        <v>SHIPPING CHRGS</v>
      </c>
      <c r="G1391" s="2">
        <v>21.88</v>
      </c>
      <c r="H1391" t="str">
        <f>"SHIPPING CHRGS"</f>
        <v>SHIPPING CHRGS</v>
      </c>
    </row>
    <row r="1392" spans="1:8" x14ac:dyDescent="0.25">
      <c r="E1392" t="str">
        <f>"000018VW63369"</f>
        <v>000018VW63369</v>
      </c>
      <c r="F1392" t="str">
        <f>"INV 000018VW63369"</f>
        <v>INV 000018VW63369</v>
      </c>
      <c r="G1392" s="2">
        <v>49.37</v>
      </c>
      <c r="H1392" t="str">
        <f>"INV 000018VW63369"</f>
        <v>INV 000018VW63369</v>
      </c>
    </row>
    <row r="1393" spans="1:8" x14ac:dyDescent="0.25">
      <c r="A1393" t="s">
        <v>420</v>
      </c>
      <c r="B1393">
        <v>83884</v>
      </c>
      <c r="C1393" s="2">
        <v>135</v>
      </c>
      <c r="D1393" s="1">
        <v>43717</v>
      </c>
      <c r="E1393" t="str">
        <f>"201908301375"</f>
        <v>201908301375</v>
      </c>
      <c r="F1393" t="str">
        <f>"TRAVEL ADVANCE-PER DIEM"</f>
        <v>TRAVEL ADVANCE-PER DIEM</v>
      </c>
      <c r="G1393" s="2">
        <v>135</v>
      </c>
      <c r="H1393" t="str">
        <f>"TRAVEL ADVANCE-PER DIEM"</f>
        <v>TRAVEL ADVANCE-PER DIEM</v>
      </c>
    </row>
    <row r="1394" spans="1:8" x14ac:dyDescent="0.25">
      <c r="A1394" t="s">
        <v>421</v>
      </c>
      <c r="B1394">
        <v>83885</v>
      </c>
      <c r="C1394" s="2">
        <v>1595</v>
      </c>
      <c r="D1394" s="1">
        <v>43717</v>
      </c>
      <c r="E1394" t="str">
        <f>"23459"</f>
        <v>23459</v>
      </c>
      <c r="F1394" t="str">
        <f>"VERICOM LLC"</f>
        <v>VERICOM LLC</v>
      </c>
      <c r="G1394" s="2">
        <v>1595</v>
      </c>
      <c r="H1394" t="str">
        <f>"VC 4000"</f>
        <v>VC 4000</v>
      </c>
    </row>
    <row r="1395" spans="1:8" x14ac:dyDescent="0.25">
      <c r="A1395" t="s">
        <v>422</v>
      </c>
      <c r="B1395">
        <v>84135</v>
      </c>
      <c r="C1395" s="2">
        <v>4500</v>
      </c>
      <c r="D1395" s="1">
        <v>43731</v>
      </c>
      <c r="E1395" t="str">
        <f>"436-90-14"</f>
        <v>436-90-14</v>
      </c>
      <c r="F1395" t="str">
        <f>"INV 436-90-14"</f>
        <v>INV 436-90-14</v>
      </c>
      <c r="G1395" s="2">
        <v>4500</v>
      </c>
      <c r="H1395" t="str">
        <f>"INV 436-90-14"</f>
        <v>INV 436-90-14</v>
      </c>
    </row>
    <row r="1396" spans="1:8" x14ac:dyDescent="0.25">
      <c r="A1396" t="s">
        <v>423</v>
      </c>
      <c r="B1396">
        <v>84136</v>
      </c>
      <c r="C1396" s="2">
        <v>347.7</v>
      </c>
      <c r="D1396" s="1">
        <v>43731</v>
      </c>
      <c r="E1396" t="str">
        <f>"2009100"</f>
        <v>2009100</v>
      </c>
      <c r="F1396" t="str">
        <f>"ACCT#17460002268 003/REMOTE BA"</f>
        <v>ACCT#17460002268 003/REMOTE BA</v>
      </c>
      <c r="G1396" s="2">
        <v>347.7</v>
      </c>
      <c r="H1396" t="str">
        <f>"ACCT#17460002268 003/REMOTE BA"</f>
        <v>ACCT#17460002268 003/REMOTE BA</v>
      </c>
    </row>
    <row r="1397" spans="1:8" x14ac:dyDescent="0.25">
      <c r="A1397" t="s">
        <v>424</v>
      </c>
      <c r="B1397">
        <v>83886</v>
      </c>
      <c r="C1397" s="2">
        <v>49869.84</v>
      </c>
      <c r="D1397" s="1">
        <v>43717</v>
      </c>
      <c r="E1397" t="str">
        <f>"201909041521"</f>
        <v>201909041521</v>
      </c>
      <c r="F1397" t="str">
        <f>"acct# 869395921"</f>
        <v>acct# 869395921</v>
      </c>
      <c r="G1397" s="2">
        <v>49869.84</v>
      </c>
      <c r="H1397" t="str">
        <f>"Fuel"</f>
        <v>Fuel</v>
      </c>
    </row>
    <row r="1398" spans="1:8" x14ac:dyDescent="0.25">
      <c r="E1398" t="str">
        <f>""</f>
        <v/>
      </c>
      <c r="F1398" t="str">
        <f>""</f>
        <v/>
      </c>
      <c r="H1398" t="str">
        <f>"tax"</f>
        <v>tax</v>
      </c>
    </row>
    <row r="1399" spans="1:8" x14ac:dyDescent="0.25">
      <c r="E1399" t="str">
        <f>""</f>
        <v/>
      </c>
      <c r="F1399" t="str">
        <f>""</f>
        <v/>
      </c>
      <c r="H1399" t="str">
        <f>"Fuel"</f>
        <v>Fuel</v>
      </c>
    </row>
    <row r="1400" spans="1:8" x14ac:dyDescent="0.25">
      <c r="E1400" t="str">
        <f>""</f>
        <v/>
      </c>
      <c r="F1400" t="str">
        <f>""</f>
        <v/>
      </c>
      <c r="H1400" t="str">
        <f>"Tax"</f>
        <v>Tax</v>
      </c>
    </row>
    <row r="1401" spans="1:8" x14ac:dyDescent="0.25">
      <c r="E1401" t="str">
        <f>""</f>
        <v/>
      </c>
      <c r="F1401" t="str">
        <f>""</f>
        <v/>
      </c>
      <c r="H1401" t="str">
        <f>"Main"</f>
        <v>Main</v>
      </c>
    </row>
    <row r="1402" spans="1:8" x14ac:dyDescent="0.25">
      <c r="E1402" t="str">
        <f>""</f>
        <v/>
      </c>
      <c r="F1402" t="str">
        <f>""</f>
        <v/>
      </c>
      <c r="H1402" t="str">
        <f>"Fuel"</f>
        <v>Fuel</v>
      </c>
    </row>
    <row r="1403" spans="1:8" x14ac:dyDescent="0.25">
      <c r="E1403" t="str">
        <f>""</f>
        <v/>
      </c>
      <c r="F1403" t="str">
        <f>""</f>
        <v/>
      </c>
      <c r="H1403" t="str">
        <f>"Tax"</f>
        <v>Tax</v>
      </c>
    </row>
    <row r="1404" spans="1:8" x14ac:dyDescent="0.25">
      <c r="E1404" t="str">
        <f>""</f>
        <v/>
      </c>
      <c r="F1404" t="str">
        <f>""</f>
        <v/>
      </c>
      <c r="H1404" t="str">
        <f>"Fue"</f>
        <v>Fue</v>
      </c>
    </row>
    <row r="1405" spans="1:8" x14ac:dyDescent="0.25">
      <c r="E1405" t="str">
        <f>""</f>
        <v/>
      </c>
      <c r="F1405" t="str">
        <f>""</f>
        <v/>
      </c>
      <c r="H1405" t="str">
        <f>"Tax"</f>
        <v>Tax</v>
      </c>
    </row>
    <row r="1406" spans="1:8" x14ac:dyDescent="0.25">
      <c r="E1406" t="str">
        <f>""</f>
        <v/>
      </c>
      <c r="F1406" t="str">
        <f>""</f>
        <v/>
      </c>
      <c r="H1406" t="str">
        <f>"Main"</f>
        <v>Main</v>
      </c>
    </row>
    <row r="1407" spans="1:8" x14ac:dyDescent="0.25">
      <c r="E1407" t="str">
        <f>""</f>
        <v/>
      </c>
      <c r="F1407" t="str">
        <f>""</f>
        <v/>
      </c>
      <c r="H1407" t="str">
        <f>"Fuel"</f>
        <v>Fuel</v>
      </c>
    </row>
    <row r="1408" spans="1:8" x14ac:dyDescent="0.25">
      <c r="E1408" t="str">
        <f>""</f>
        <v/>
      </c>
      <c r="F1408" t="str">
        <f>""</f>
        <v/>
      </c>
      <c r="H1408" t="str">
        <f>"Tax"</f>
        <v>Tax</v>
      </c>
    </row>
    <row r="1409" spans="1:8" x14ac:dyDescent="0.25">
      <c r="E1409" t="str">
        <f>""</f>
        <v/>
      </c>
      <c r="F1409" t="str">
        <f>""</f>
        <v/>
      </c>
      <c r="H1409" t="str">
        <f>"Main"</f>
        <v>Main</v>
      </c>
    </row>
    <row r="1410" spans="1:8" x14ac:dyDescent="0.25">
      <c r="E1410" t="str">
        <f>""</f>
        <v/>
      </c>
      <c r="F1410" t="str">
        <f>""</f>
        <v/>
      </c>
      <c r="H1410" t="str">
        <f>"Fuel"</f>
        <v>Fuel</v>
      </c>
    </row>
    <row r="1411" spans="1:8" x14ac:dyDescent="0.25">
      <c r="E1411" t="str">
        <f>""</f>
        <v/>
      </c>
      <c r="F1411" t="str">
        <f>""</f>
        <v/>
      </c>
      <c r="H1411" t="str">
        <f>"Tax"</f>
        <v>Tax</v>
      </c>
    </row>
    <row r="1412" spans="1:8" x14ac:dyDescent="0.25">
      <c r="E1412" t="str">
        <f>""</f>
        <v/>
      </c>
      <c r="F1412" t="str">
        <f>""</f>
        <v/>
      </c>
      <c r="H1412" t="str">
        <f>"Main"</f>
        <v>Main</v>
      </c>
    </row>
    <row r="1413" spans="1:8" x14ac:dyDescent="0.25">
      <c r="E1413" t="str">
        <f>""</f>
        <v/>
      </c>
      <c r="F1413" t="str">
        <f>""</f>
        <v/>
      </c>
      <c r="H1413" t="str">
        <f>"Fuel"</f>
        <v>Fuel</v>
      </c>
    </row>
    <row r="1414" spans="1:8" x14ac:dyDescent="0.25">
      <c r="E1414" t="str">
        <f>""</f>
        <v/>
      </c>
      <c r="F1414" t="str">
        <f>""</f>
        <v/>
      </c>
      <c r="H1414" t="str">
        <f>"Tax"</f>
        <v>Tax</v>
      </c>
    </row>
    <row r="1415" spans="1:8" x14ac:dyDescent="0.25">
      <c r="E1415" t="str">
        <f>""</f>
        <v/>
      </c>
      <c r="F1415" t="str">
        <f>""</f>
        <v/>
      </c>
      <c r="H1415" t="str">
        <f>"Fuel"</f>
        <v>Fuel</v>
      </c>
    </row>
    <row r="1416" spans="1:8" x14ac:dyDescent="0.25">
      <c r="E1416" t="str">
        <f>""</f>
        <v/>
      </c>
      <c r="F1416" t="str">
        <f>""</f>
        <v/>
      </c>
      <c r="H1416" t="str">
        <f>"Tax"</f>
        <v>Tax</v>
      </c>
    </row>
    <row r="1417" spans="1:8" x14ac:dyDescent="0.25">
      <c r="E1417" t="str">
        <f>""</f>
        <v/>
      </c>
      <c r="F1417" t="str">
        <f>""</f>
        <v/>
      </c>
      <c r="H1417" t="str">
        <f>"Fuel"</f>
        <v>Fuel</v>
      </c>
    </row>
    <row r="1418" spans="1:8" x14ac:dyDescent="0.25">
      <c r="E1418" t="str">
        <f>""</f>
        <v/>
      </c>
      <c r="F1418" t="str">
        <f>""</f>
        <v/>
      </c>
      <c r="H1418" t="str">
        <f>"Tax"</f>
        <v>Tax</v>
      </c>
    </row>
    <row r="1419" spans="1:8" x14ac:dyDescent="0.25">
      <c r="E1419" t="str">
        <f>""</f>
        <v/>
      </c>
      <c r="F1419" t="str">
        <f>""</f>
        <v/>
      </c>
      <c r="H1419" t="str">
        <f>"Main"</f>
        <v>Main</v>
      </c>
    </row>
    <row r="1420" spans="1:8" x14ac:dyDescent="0.25">
      <c r="E1420" t="str">
        <f>""</f>
        <v/>
      </c>
      <c r="F1420" t="str">
        <f>""</f>
        <v/>
      </c>
      <c r="H1420" t="str">
        <f>"Main"</f>
        <v>Main</v>
      </c>
    </row>
    <row r="1421" spans="1:8" x14ac:dyDescent="0.25">
      <c r="E1421" t="str">
        <f>""</f>
        <v/>
      </c>
      <c r="F1421" t="str">
        <f>""</f>
        <v/>
      </c>
      <c r="H1421" t="str">
        <f>"Main"</f>
        <v>Main</v>
      </c>
    </row>
    <row r="1422" spans="1:8" x14ac:dyDescent="0.25">
      <c r="A1422" t="s">
        <v>425</v>
      </c>
      <c r="B1422">
        <v>1357</v>
      </c>
      <c r="C1422" s="2">
        <v>1367.5</v>
      </c>
      <c r="D1422" s="1">
        <v>43718</v>
      </c>
      <c r="E1422" t="str">
        <f>"345619"</f>
        <v>345619</v>
      </c>
      <c r="F1422" t="str">
        <f>"Sign Shop Materials"</f>
        <v>Sign Shop Materials</v>
      </c>
      <c r="G1422" s="2">
        <v>1367.5</v>
      </c>
      <c r="H1422" t="str">
        <f>"0550083"</f>
        <v>0550083</v>
      </c>
    </row>
    <row r="1423" spans="1:8" x14ac:dyDescent="0.25">
      <c r="A1423" t="s">
        <v>425</v>
      </c>
      <c r="B1423">
        <v>1435</v>
      </c>
      <c r="C1423" s="2">
        <v>1338.5</v>
      </c>
      <c r="D1423" s="1">
        <v>43732</v>
      </c>
      <c r="E1423" t="str">
        <f>"346178"</f>
        <v>346178</v>
      </c>
      <c r="F1423" t="str">
        <f>"Sign Shop Material"</f>
        <v>Sign Shop Material</v>
      </c>
      <c r="G1423" s="2">
        <v>1338.5</v>
      </c>
      <c r="H1423" t="str">
        <f>"12x18 Reflect. White"</f>
        <v>12x18 Reflect. White</v>
      </c>
    </row>
    <row r="1424" spans="1:8" x14ac:dyDescent="0.25">
      <c r="E1424" t="str">
        <f>""</f>
        <v/>
      </c>
      <c r="F1424" t="str">
        <f>""</f>
        <v/>
      </c>
      <c r="H1424" t="str">
        <f>"12x18 Reflect. Yello"</f>
        <v>12x18 Reflect. Yello</v>
      </c>
    </row>
    <row r="1425" spans="1:8" x14ac:dyDescent="0.25">
      <c r="E1425" t="str">
        <f>""</f>
        <v/>
      </c>
      <c r="F1425" t="str">
        <f>""</f>
        <v/>
      </c>
      <c r="H1425" t="str">
        <f>"18x18 Reflect. Yello"</f>
        <v>18x18 Reflect. Yello</v>
      </c>
    </row>
    <row r="1426" spans="1:8" x14ac:dyDescent="0.25">
      <c r="A1426" t="s">
        <v>426</v>
      </c>
      <c r="B1426">
        <v>1304</v>
      </c>
      <c r="C1426" s="2">
        <v>2630.27</v>
      </c>
      <c r="D1426" s="1">
        <v>43718</v>
      </c>
      <c r="E1426" t="str">
        <f>"17244"</f>
        <v>17244</v>
      </c>
      <c r="F1426" t="str">
        <f>"COLD MIX/FREIGHT/PCT#4"</f>
        <v>COLD MIX/FREIGHT/PCT#4</v>
      </c>
      <c r="G1426" s="2">
        <v>2630.27</v>
      </c>
      <c r="H1426" t="str">
        <f>"COLD MIX/FREIGHT/PCT#4"</f>
        <v>COLD MIX/FREIGHT/PCT#4</v>
      </c>
    </row>
    <row r="1427" spans="1:8" x14ac:dyDescent="0.25">
      <c r="A1427" t="s">
        <v>427</v>
      </c>
      <c r="B1427">
        <v>1426</v>
      </c>
      <c r="C1427" s="2">
        <v>269.89999999999998</v>
      </c>
      <c r="D1427" s="1">
        <v>43732</v>
      </c>
      <c r="E1427" t="str">
        <f>"SCAUS0061211"</f>
        <v>SCAUS0061211</v>
      </c>
      <c r="F1427" t="str">
        <f>"CUST#BASPR4/PCT#4"</f>
        <v>CUST#BASPR4/PCT#4</v>
      </c>
      <c r="G1427" s="2">
        <v>269.89999999999998</v>
      </c>
      <c r="H1427" t="str">
        <f>"CUST#BASPR4/PCT#4"</f>
        <v>CUST#BASPR4/PCT#4</v>
      </c>
    </row>
    <row r="1428" spans="1:8" x14ac:dyDescent="0.25">
      <c r="A1428" t="s">
        <v>428</v>
      </c>
      <c r="B1428">
        <v>83757</v>
      </c>
      <c r="C1428" s="2">
        <v>25809.29</v>
      </c>
      <c r="D1428" s="1">
        <v>43714</v>
      </c>
      <c r="E1428" t="str">
        <f>"10066072"</f>
        <v>10066072</v>
      </c>
      <c r="F1428" t="str">
        <f>"ACCT#5150-005117630/09012019"</f>
        <v>ACCT#5150-005117630/09012019</v>
      </c>
      <c r="G1428" s="2">
        <v>250.29</v>
      </c>
      <c r="H1428" t="str">
        <f>"ACCT#5150-005117630/09012019"</f>
        <v>ACCT#5150-005117630/09012019</v>
      </c>
    </row>
    <row r="1429" spans="1:8" x14ac:dyDescent="0.25">
      <c r="E1429" t="str">
        <f>"10066079"</f>
        <v>10066079</v>
      </c>
      <c r="F1429" t="str">
        <f>"ACCT#5150-005117766/09012019"</f>
        <v>ACCT#5150-005117766/09012019</v>
      </c>
      <c r="G1429" s="2">
        <v>109.87</v>
      </c>
      <c r="H1429" t="str">
        <f>"ACCT#5150-005117766/09012019"</f>
        <v>ACCT#5150-005117766/09012019</v>
      </c>
    </row>
    <row r="1430" spans="1:8" x14ac:dyDescent="0.25">
      <c r="E1430" t="str">
        <f>"10066083"</f>
        <v>10066083</v>
      </c>
      <c r="F1430" t="str">
        <f>"ACCT#5150-005117838/09012019"</f>
        <v>ACCT#5150-005117838/09012019</v>
      </c>
      <c r="G1430" s="2">
        <v>101.68</v>
      </c>
      <c r="H1430" t="str">
        <f>"ACCT#5150-005117838/09012019"</f>
        <v>ACCT#5150-005117838/09012019</v>
      </c>
    </row>
    <row r="1431" spans="1:8" x14ac:dyDescent="0.25">
      <c r="E1431" t="str">
        <f>"10066085"</f>
        <v>10066085</v>
      </c>
      <c r="F1431" t="str">
        <f>"ACCT#5150-005117882/09012019"</f>
        <v>ACCT#5150-005117882/09012019</v>
      </c>
      <c r="G1431" s="2">
        <v>137.32</v>
      </c>
      <c r="H1431" t="str">
        <f>"ACCT#5150-005117882/09012019"</f>
        <v>ACCT#5150-005117882/09012019</v>
      </c>
    </row>
    <row r="1432" spans="1:8" x14ac:dyDescent="0.25">
      <c r="E1432" t="str">
        <f>"10066093"</f>
        <v>10066093</v>
      </c>
      <c r="F1432" t="str">
        <f>"ACCT#5150-005118183/09012019"</f>
        <v>ACCT#5150-005118183/09012019</v>
      </c>
      <c r="G1432" s="2">
        <v>589.49</v>
      </c>
      <c r="H1432" t="str">
        <f>"ACCT#5150-005118183/09012019"</f>
        <v>ACCT#5150-005118183/09012019</v>
      </c>
    </row>
    <row r="1433" spans="1:8" x14ac:dyDescent="0.25">
      <c r="E1433" t="str">
        <f>"10066154"</f>
        <v>10066154</v>
      </c>
      <c r="F1433" t="str">
        <f>"ACCT#5150-005129483/09012019"</f>
        <v>ACCT#5150-005129483/09012019</v>
      </c>
      <c r="G1433" s="2">
        <v>24514</v>
      </c>
      <c r="H1433" t="str">
        <f>"ACCT#5150-005129483/09012019"</f>
        <v>ACCT#5150-005129483/09012019</v>
      </c>
    </row>
    <row r="1434" spans="1:8" x14ac:dyDescent="0.25">
      <c r="E1434" t="str">
        <f>"10071217"</f>
        <v>10071217</v>
      </c>
      <c r="F1434" t="str">
        <f>"ACCT#5150-16203415/09012019"</f>
        <v>ACCT#5150-16203415/09012019</v>
      </c>
      <c r="G1434" s="2">
        <v>79.22</v>
      </c>
      <c r="H1434" t="str">
        <f>"ACCT#5150-16203415/09012019"</f>
        <v>ACCT#5150-16203415/09012019</v>
      </c>
    </row>
    <row r="1435" spans="1:8" x14ac:dyDescent="0.25">
      <c r="E1435" t="str">
        <f>"10071218"</f>
        <v>10071218</v>
      </c>
      <c r="F1435" t="str">
        <f>"ACCT#5150-16203417/09012019"</f>
        <v>ACCT#5150-16203417/09012019</v>
      </c>
      <c r="G1435" s="2">
        <v>27.42</v>
      </c>
      <c r="H1435" t="str">
        <f>"ACCT#5150-16203417/09012019"</f>
        <v>ACCT#5150-16203417/09012019</v>
      </c>
    </row>
    <row r="1436" spans="1:8" x14ac:dyDescent="0.25">
      <c r="A1436" t="s">
        <v>429</v>
      </c>
      <c r="B1436">
        <v>83887</v>
      </c>
      <c r="C1436" s="2">
        <v>412.3</v>
      </c>
      <c r="D1436" s="1">
        <v>43717</v>
      </c>
      <c r="E1436" t="str">
        <f>"0053792-2161-6"</f>
        <v>0053792-2161-6</v>
      </c>
      <c r="F1436" t="str">
        <f>"CUST ID:2-56581-95066/ANIMAL C"</f>
        <v>CUST ID:2-56581-95066/ANIMAL C</v>
      </c>
      <c r="G1436" s="2">
        <v>412.3</v>
      </c>
      <c r="H1436" t="str">
        <f>"CUST ID:2-56581-95066/ANIMAL C"</f>
        <v>CUST ID:2-56581-95066/ANIMAL C</v>
      </c>
    </row>
    <row r="1437" spans="1:8" x14ac:dyDescent="0.25">
      <c r="A1437" t="s">
        <v>429</v>
      </c>
      <c r="B1437">
        <v>84137</v>
      </c>
      <c r="C1437" s="2">
        <v>3997.49</v>
      </c>
      <c r="D1437" s="1">
        <v>43731</v>
      </c>
      <c r="E1437" t="str">
        <f>"0022297-2161-4"</f>
        <v>0022297-2161-4</v>
      </c>
      <c r="F1437" t="str">
        <f>"CUST#2-57060-55062/RD&amp;BRID/P4"</f>
        <v>CUST#2-57060-55062/RD&amp;BRID/P4</v>
      </c>
      <c r="G1437" s="2">
        <v>3887.38</v>
      </c>
      <c r="H1437" t="str">
        <f>"CUST#2-57060-55062/RD&amp;BRID/P4"</f>
        <v>CUST#2-57060-55062/RD&amp;BRID/P4</v>
      </c>
    </row>
    <row r="1438" spans="1:8" x14ac:dyDescent="0.25">
      <c r="E1438" t="str">
        <f>"0039172-2162-8"</f>
        <v>0039172-2162-8</v>
      </c>
      <c r="F1438" t="str">
        <f>"CUST#16-27603-83003/ANIMAL SVC"</f>
        <v>CUST#16-27603-83003/ANIMAL SVC</v>
      </c>
      <c r="G1438" s="2">
        <v>110.11</v>
      </c>
      <c r="H1438" t="str">
        <f>"CUST#16-27603-83003/ANIMAL SVC"</f>
        <v>CUST#16-27603-83003/ANIMAL SVC</v>
      </c>
    </row>
    <row r="1439" spans="1:8" x14ac:dyDescent="0.25">
      <c r="A1439" t="s">
        <v>430</v>
      </c>
      <c r="B1439">
        <v>83888</v>
      </c>
      <c r="C1439" s="2">
        <v>85</v>
      </c>
      <c r="D1439" s="1">
        <v>43717</v>
      </c>
      <c r="E1439" t="str">
        <f>"201908281322"</f>
        <v>201908281322</v>
      </c>
      <c r="F1439" t="str">
        <f>"TRAVEL ADVANCE-PER DIEM"</f>
        <v>TRAVEL ADVANCE-PER DIEM</v>
      </c>
      <c r="G1439" s="2">
        <v>85</v>
      </c>
      <c r="H1439" t="str">
        <f>"TRAVEL ADVANCE-PER DIEM"</f>
        <v>TRAVEL ADVANCE-PER DIEM</v>
      </c>
    </row>
    <row r="1440" spans="1:8" x14ac:dyDescent="0.25">
      <c r="A1440" t="s">
        <v>431</v>
      </c>
      <c r="B1440">
        <v>1313</v>
      </c>
      <c r="C1440" s="2">
        <v>450</v>
      </c>
      <c r="D1440" s="1">
        <v>43718</v>
      </c>
      <c r="E1440" t="str">
        <f>"4174"</f>
        <v>4174</v>
      </c>
      <c r="F1440" t="str">
        <f>"EMBROIDERY/CAPS/PCT#4"</f>
        <v>EMBROIDERY/CAPS/PCT#4</v>
      </c>
      <c r="G1440" s="2">
        <v>450</v>
      </c>
      <c r="H1440" t="str">
        <f>"EMBROIDERY/CAPS/PCT#4"</f>
        <v>EMBROIDERY/CAPS/PCT#4</v>
      </c>
    </row>
    <row r="1441" spans="1:8" x14ac:dyDescent="0.25">
      <c r="A1441" t="s">
        <v>431</v>
      </c>
      <c r="B1441">
        <v>1391</v>
      </c>
      <c r="C1441" s="2">
        <v>183.5</v>
      </c>
      <c r="D1441" s="1">
        <v>43732</v>
      </c>
      <c r="E1441" t="str">
        <f>"4161"</f>
        <v>4161</v>
      </c>
      <c r="F1441" t="str">
        <f>"INV 4161"</f>
        <v>INV 4161</v>
      </c>
      <c r="G1441" s="2">
        <v>183.5</v>
      </c>
      <c r="H1441" t="str">
        <f>"INV 4161"</f>
        <v>INV 4161</v>
      </c>
    </row>
    <row r="1442" spans="1:8" x14ac:dyDescent="0.25">
      <c r="A1442" t="s">
        <v>432</v>
      </c>
      <c r="B1442">
        <v>83889</v>
      </c>
      <c r="C1442" s="2">
        <v>475.13</v>
      </c>
      <c r="D1442" s="1">
        <v>43717</v>
      </c>
      <c r="E1442" t="str">
        <f>"201909031409"</f>
        <v>201909031409</v>
      </c>
      <c r="F1442" t="str">
        <f>""</f>
        <v/>
      </c>
      <c r="G1442" s="2">
        <v>475.13</v>
      </c>
      <c r="H1442" t="str">
        <f>""</f>
        <v/>
      </c>
    </row>
    <row r="1443" spans="1:8" x14ac:dyDescent="0.25">
      <c r="A1443" t="s">
        <v>432</v>
      </c>
      <c r="B1443">
        <v>84138</v>
      </c>
      <c r="C1443" s="2">
        <v>80</v>
      </c>
      <c r="D1443" s="1">
        <v>43731</v>
      </c>
      <c r="E1443" t="str">
        <f>"201909181926"</f>
        <v>201909181926</v>
      </c>
      <c r="F1443" t="str">
        <f>"PER DIEM"</f>
        <v>PER DIEM</v>
      </c>
      <c r="G1443" s="2">
        <v>80</v>
      </c>
      <c r="H1443" t="str">
        <f>"PER DIEM"</f>
        <v>PER DIEM</v>
      </c>
    </row>
    <row r="1444" spans="1:8" x14ac:dyDescent="0.25">
      <c r="A1444" t="s">
        <v>433</v>
      </c>
      <c r="B1444">
        <v>1386</v>
      </c>
      <c r="C1444" s="2">
        <v>12609.89</v>
      </c>
      <c r="D1444" s="1">
        <v>43732</v>
      </c>
      <c r="E1444" t="str">
        <f>"23076"</f>
        <v>23076</v>
      </c>
      <c r="F1444" t="str">
        <f>"INV 23076"</f>
        <v>INV 23076</v>
      </c>
      <c r="G1444" s="2">
        <v>12609.89</v>
      </c>
      <c r="H1444" t="str">
        <f>"INV 23076"</f>
        <v>INV 23076</v>
      </c>
    </row>
    <row r="1445" spans="1:8" x14ac:dyDescent="0.25">
      <c r="A1445" t="s">
        <v>434</v>
      </c>
      <c r="B1445">
        <v>83905</v>
      </c>
      <c r="C1445" s="2">
        <v>4106</v>
      </c>
      <c r="D1445" s="1">
        <v>43717</v>
      </c>
      <c r="E1445" t="str">
        <f>"201909091632"</f>
        <v>201909091632</v>
      </c>
      <c r="F1445" t="str">
        <f>"ROW EASEMENT / P2"</f>
        <v>ROW EASEMENT / P2</v>
      </c>
      <c r="G1445" s="2">
        <v>4106</v>
      </c>
      <c r="H1445" t="str">
        <f>"ROW EASEMENT / P2"</f>
        <v>ROW EASEMENT / P2</v>
      </c>
    </row>
    <row r="1446" spans="1:8" x14ac:dyDescent="0.25">
      <c r="A1446" t="s">
        <v>435</v>
      </c>
      <c r="B1446">
        <v>83890</v>
      </c>
      <c r="C1446" s="2">
        <v>70</v>
      </c>
      <c r="D1446" s="1">
        <v>43717</v>
      </c>
      <c r="E1446" t="str">
        <f>"12795"</f>
        <v>12795</v>
      </c>
      <c r="F1446" t="str">
        <f>"SERVICE"</f>
        <v>SERVICE</v>
      </c>
      <c r="G1446" s="2">
        <v>70</v>
      </c>
      <c r="H1446" t="str">
        <f>"SERVICE"</f>
        <v>SERVICE</v>
      </c>
    </row>
    <row r="1447" spans="1:8" x14ac:dyDescent="0.25">
      <c r="A1447" t="s">
        <v>435</v>
      </c>
      <c r="B1447">
        <v>84139</v>
      </c>
      <c r="C1447" s="2">
        <v>70</v>
      </c>
      <c r="D1447" s="1">
        <v>43731</v>
      </c>
      <c r="E1447" t="str">
        <f>"13250"</f>
        <v>13250</v>
      </c>
      <c r="F1447" t="str">
        <f>"SERVICE"</f>
        <v>SERVICE</v>
      </c>
      <c r="G1447" s="2">
        <v>70</v>
      </c>
      <c r="H1447" t="str">
        <f>"SERVICE"</f>
        <v>SERVICE</v>
      </c>
    </row>
    <row r="1448" spans="1:8" x14ac:dyDescent="0.25">
      <c r="A1448" t="s">
        <v>436</v>
      </c>
      <c r="B1448">
        <v>83891</v>
      </c>
      <c r="C1448" s="2">
        <v>11932.8</v>
      </c>
      <c r="D1448" s="1">
        <v>43717</v>
      </c>
      <c r="E1448" t="str">
        <f>"79475"</f>
        <v>79475</v>
      </c>
      <c r="F1448" t="str">
        <f>"Arched culvert inv# 79475"</f>
        <v>Arched culvert inv# 79475</v>
      </c>
      <c r="G1448" s="2">
        <v>11932.8</v>
      </c>
      <c r="H1448" t="str">
        <f>"Item# 152416"</f>
        <v>Item# 152416</v>
      </c>
    </row>
    <row r="1449" spans="1:8" x14ac:dyDescent="0.25">
      <c r="E1449" t="str">
        <f>""</f>
        <v/>
      </c>
      <c r="F1449" t="str">
        <f>""</f>
        <v/>
      </c>
      <c r="H1449" t="str">
        <f>"item# 363014"</f>
        <v>item# 363014</v>
      </c>
    </row>
    <row r="1450" spans="1:8" x14ac:dyDescent="0.25">
      <c r="E1450" t="str">
        <f>""</f>
        <v/>
      </c>
      <c r="F1450" t="str">
        <f>""</f>
        <v/>
      </c>
      <c r="H1450" t="str">
        <f>"15' Arching Fee"</f>
        <v>15' Arching Fee</v>
      </c>
    </row>
    <row r="1451" spans="1:8" x14ac:dyDescent="0.25">
      <c r="E1451" t="str">
        <f>""</f>
        <v/>
      </c>
      <c r="F1451" t="str">
        <f>""</f>
        <v/>
      </c>
      <c r="H1451" t="str">
        <f>"36  Arching Fee"</f>
        <v>36  Arching Fee</v>
      </c>
    </row>
    <row r="1452" spans="1:8" x14ac:dyDescent="0.25">
      <c r="A1452" t="s">
        <v>437</v>
      </c>
      <c r="B1452">
        <v>1436</v>
      </c>
      <c r="C1452" s="2">
        <v>144.59</v>
      </c>
      <c r="D1452" s="1">
        <v>43732</v>
      </c>
      <c r="E1452" t="str">
        <f>"098089751"</f>
        <v>098089751</v>
      </c>
      <c r="F1452" t="str">
        <f>"CUST#662445931/REF#VTX000000X"</f>
        <v>CUST#662445931/REF#VTX000000X</v>
      </c>
      <c r="G1452" s="2">
        <v>144.59</v>
      </c>
      <c r="H1452" t="str">
        <f>"CUST#662445931/REF#VTX000000X"</f>
        <v>CUST#662445931/REF#VTX000000X</v>
      </c>
    </row>
    <row r="1453" spans="1:8" x14ac:dyDescent="0.25">
      <c r="A1453" t="s">
        <v>438</v>
      </c>
      <c r="B1453">
        <v>83892</v>
      </c>
      <c r="C1453" s="2">
        <v>4087.92</v>
      </c>
      <c r="D1453" s="1">
        <v>43717</v>
      </c>
      <c r="E1453" t="str">
        <f>"0013612"</f>
        <v>0013612</v>
      </c>
      <c r="F1453" t="str">
        <f>"423-6396 423-5844 16363"</f>
        <v>423-6396 423-5844 16363</v>
      </c>
      <c r="G1453" s="2">
        <v>4087.92</v>
      </c>
      <c r="H1453" t="str">
        <f>"423-6396 423-5844 16363"</f>
        <v>423-6396 423-5844 16363</v>
      </c>
    </row>
    <row r="1454" spans="1:8" x14ac:dyDescent="0.25">
      <c r="A1454" t="s">
        <v>439</v>
      </c>
      <c r="B1454">
        <v>83893</v>
      </c>
      <c r="C1454" s="2">
        <v>1423.92</v>
      </c>
      <c r="D1454" s="1">
        <v>43717</v>
      </c>
      <c r="E1454" t="str">
        <f>"9008786625"</f>
        <v>9008786625</v>
      </c>
      <c r="F1454" t="str">
        <f>"CUST#2000053103/ANIMAL SHELTER"</f>
        <v>CUST#2000053103/ANIMAL SHELTER</v>
      </c>
      <c r="G1454" s="2">
        <v>416</v>
      </c>
      <c r="H1454" t="str">
        <f>"CUST#2000053103/ANIMAL SHELTER"</f>
        <v>CUST#2000053103/ANIMAL SHELTER</v>
      </c>
    </row>
    <row r="1455" spans="1:8" x14ac:dyDescent="0.25">
      <c r="E1455" t="str">
        <f>"9008786652"</f>
        <v>9008786652</v>
      </c>
      <c r="F1455" t="str">
        <f>"CUST#2000053103/ANIMAL SHELTER"</f>
        <v>CUST#2000053103/ANIMAL SHELTER</v>
      </c>
      <c r="G1455" s="2">
        <v>249.2</v>
      </c>
      <c r="H1455" t="str">
        <f>"CUST#2000053103/ANIMAL SHELTER"</f>
        <v>CUST#2000053103/ANIMAL SHELTER</v>
      </c>
    </row>
    <row r="1456" spans="1:8" x14ac:dyDescent="0.25">
      <c r="E1456" t="str">
        <f>"9008786680"</f>
        <v>9008786680</v>
      </c>
      <c r="F1456" t="str">
        <f>"CUST#2000053103/ANIMAL SHELTER"</f>
        <v>CUST#2000053103/ANIMAL SHELTER</v>
      </c>
      <c r="G1456" s="2">
        <v>758.72</v>
      </c>
      <c r="H1456" t="str">
        <f>"CUST#2000053103/ANIMAL SHELTER"</f>
        <v>CUST#2000053103/ANIMAL SHELTER</v>
      </c>
    </row>
    <row r="1457" spans="1:8" x14ac:dyDescent="0.25">
      <c r="A1457" t="s">
        <v>439</v>
      </c>
      <c r="B1457">
        <v>84140</v>
      </c>
      <c r="C1457" s="2">
        <v>528.15</v>
      </c>
      <c r="D1457" s="1">
        <v>43731</v>
      </c>
      <c r="E1457" t="str">
        <f>"9008818168"</f>
        <v>9008818168</v>
      </c>
      <c r="F1457" t="str">
        <f>"CUST#2000053103/ANIMAL SHELTER"</f>
        <v>CUST#2000053103/ANIMAL SHELTER</v>
      </c>
      <c r="G1457" s="2">
        <v>154.35</v>
      </c>
      <c r="H1457" t="str">
        <f>"CUST#2000053103/ANIMAL SHELTER"</f>
        <v>CUST#2000053103/ANIMAL SHELTER</v>
      </c>
    </row>
    <row r="1458" spans="1:8" x14ac:dyDescent="0.25">
      <c r="E1458" t="str">
        <f>"9008859626"</f>
        <v>9008859626</v>
      </c>
      <c r="F1458" t="str">
        <f>"CUST#2000053103/ANIMAL SHELTER"</f>
        <v>CUST#2000053103/ANIMAL SHELTER</v>
      </c>
      <c r="G1458" s="2">
        <v>373.8</v>
      </c>
      <c r="H1458" t="str">
        <f>"CUST#2000053103/ANIMAL SHELTER"</f>
        <v>CUST#2000053103/ANIMAL SHELTER</v>
      </c>
    </row>
    <row r="1459" spans="1:8" x14ac:dyDescent="0.25">
      <c r="A1459" t="s">
        <v>440</v>
      </c>
      <c r="B1459">
        <v>83894</v>
      </c>
      <c r="C1459" s="2">
        <v>524.67999999999995</v>
      </c>
      <c r="D1459" s="1">
        <v>43717</v>
      </c>
      <c r="E1459" t="str">
        <f>"INV6388014"</f>
        <v>INV6388014</v>
      </c>
      <c r="F1459" t="str">
        <f>"Chairs"</f>
        <v>Chairs</v>
      </c>
      <c r="G1459" s="2">
        <v>524.67999999999995</v>
      </c>
      <c r="H1459" t="str">
        <f>"invoice INV6388014"</f>
        <v>invoice INV6388014</v>
      </c>
    </row>
    <row r="1460" spans="1:8" x14ac:dyDescent="0.25">
      <c r="E1460" t="str">
        <f>""</f>
        <v/>
      </c>
      <c r="F1460" t="str">
        <f>""</f>
        <v/>
      </c>
      <c r="H1460" t="str">
        <f>"inv# INV6415755"</f>
        <v>inv# INV6415755</v>
      </c>
    </row>
    <row r="1461" spans="1:8" x14ac:dyDescent="0.25">
      <c r="A1461" t="s">
        <v>12</v>
      </c>
      <c r="B1461">
        <v>84141</v>
      </c>
      <c r="C1461" s="2">
        <v>238</v>
      </c>
      <c r="D1461" s="1">
        <v>43731</v>
      </c>
      <c r="E1461" t="str">
        <f>"318302"</f>
        <v>318302</v>
      </c>
      <c r="F1461" t="str">
        <f>"FIRE EXT MAINT SVC/LPHCP"</f>
        <v>FIRE EXT MAINT SVC/LPHCP</v>
      </c>
      <c r="G1461" s="2">
        <v>238</v>
      </c>
      <c r="H1461" t="str">
        <f>"FIRE EXT MAINT SVC/LPHCP"</f>
        <v>FIRE EXT MAINT SVC/LPHCP</v>
      </c>
    </row>
    <row r="1462" spans="1:8" x14ac:dyDescent="0.25">
      <c r="A1462" t="s">
        <v>441</v>
      </c>
      <c r="B1462">
        <v>84142</v>
      </c>
      <c r="C1462" s="2">
        <v>9120</v>
      </c>
      <c r="D1462" s="1">
        <v>43731</v>
      </c>
      <c r="E1462" t="str">
        <f>"18-7310.2"</f>
        <v>18-7310.2</v>
      </c>
      <c r="F1462" t="str">
        <f>"Inv# 18-7310.2"</f>
        <v>Inv# 18-7310.2</v>
      </c>
      <c r="G1462" s="2">
        <v>9120</v>
      </c>
      <c r="H1462" t="str">
        <f>"Inv# 18-7310.2"</f>
        <v>Inv# 18-7310.2</v>
      </c>
    </row>
    <row r="1463" spans="1:8" x14ac:dyDescent="0.25">
      <c r="A1463" t="s">
        <v>64</v>
      </c>
      <c r="B1463">
        <v>83907</v>
      </c>
      <c r="C1463" s="2">
        <v>444.08</v>
      </c>
      <c r="D1463" s="1">
        <v>43719</v>
      </c>
      <c r="E1463" t="str">
        <f>"201909111645"</f>
        <v>201909111645</v>
      </c>
      <c r="F1463" t="str">
        <f>"ACCT#5000057374 / 09072019"</f>
        <v>ACCT#5000057374 / 09072019</v>
      </c>
      <c r="G1463" s="2">
        <v>444.08</v>
      </c>
      <c r="H1463" t="str">
        <f>"ACCT#5000057374 / 09072019"</f>
        <v>ACCT#5000057374 / 09072019</v>
      </c>
    </row>
    <row r="1464" spans="1:8" x14ac:dyDescent="0.25">
      <c r="A1464" t="s">
        <v>442</v>
      </c>
      <c r="B1464">
        <v>83895</v>
      </c>
      <c r="C1464" s="2">
        <v>194400</v>
      </c>
      <c r="D1464" s="1">
        <v>43717</v>
      </c>
      <c r="E1464" t="str">
        <f>"201909031398"</f>
        <v>201909031398</v>
      </c>
      <c r="F1464" t="str">
        <f>"SALE OF CONSERVATION CREDITS"</f>
        <v>SALE OF CONSERVATION CREDITS</v>
      </c>
      <c r="G1464" s="2">
        <v>194400</v>
      </c>
      <c r="H1464" t="str">
        <f>"SALE OF CONSERVATION CREDITS"</f>
        <v>SALE OF CONSERVATION CREDITS</v>
      </c>
    </row>
    <row r="1465" spans="1:8" x14ac:dyDescent="0.25">
      <c r="A1465" t="s">
        <v>75</v>
      </c>
      <c r="B1465">
        <v>217</v>
      </c>
      <c r="C1465" s="2">
        <v>174.31</v>
      </c>
      <c r="D1465" s="1">
        <v>43717</v>
      </c>
      <c r="E1465" t="str">
        <f>"201909041526"</f>
        <v>201909041526</v>
      </c>
      <c r="F1465" t="str">
        <f>"Acct# 0058"</f>
        <v>Acct# 0058</v>
      </c>
      <c r="G1465" s="2">
        <v>174.31</v>
      </c>
      <c r="H1465" t="str">
        <f>"walmart"</f>
        <v>walmart</v>
      </c>
    </row>
    <row r="1466" spans="1:8" x14ac:dyDescent="0.25">
      <c r="A1466" t="s">
        <v>75</v>
      </c>
      <c r="B1466">
        <v>268</v>
      </c>
      <c r="C1466" s="2">
        <v>80.069999999999993</v>
      </c>
      <c r="D1466" s="1">
        <v>43738</v>
      </c>
      <c r="E1466" t="str">
        <f>"201911073061"</f>
        <v>201911073061</v>
      </c>
      <c r="F1466" t="str">
        <f>"aCCT# 0058"</f>
        <v>aCCT# 0058</v>
      </c>
      <c r="G1466" s="2">
        <v>80.069999999999993</v>
      </c>
      <c r="H1466" t="str">
        <f>"Walmart"</f>
        <v>Walmart</v>
      </c>
    </row>
    <row r="1467" spans="1:8" x14ac:dyDescent="0.25">
      <c r="A1467" t="s">
        <v>128</v>
      </c>
      <c r="B1467">
        <v>84143</v>
      </c>
      <c r="C1467" s="2">
        <v>29114.1</v>
      </c>
      <c r="D1467" s="1">
        <v>43731</v>
      </c>
      <c r="E1467" t="str">
        <f>"9402125067"</f>
        <v>9402125067</v>
      </c>
      <c r="F1467" t="str">
        <f>"ACCT#912897/BOL#25501/PCT#3"</f>
        <v>ACCT#912897/BOL#25501/PCT#3</v>
      </c>
      <c r="G1467" s="2">
        <v>14594.26</v>
      </c>
      <c r="H1467" t="str">
        <f>"ACCT#912897/BOL#25501/PCT#3"</f>
        <v>ACCT#912897/BOL#25501/PCT#3</v>
      </c>
    </row>
    <row r="1468" spans="1:8" x14ac:dyDescent="0.25">
      <c r="E1468" t="str">
        <f>"9402125921"</f>
        <v>9402125921</v>
      </c>
      <c r="F1468" t="str">
        <f>"ACCT#912897/BOL#25507/PCT#3"</f>
        <v>ACCT#912897/BOL#25507/PCT#3</v>
      </c>
      <c r="G1468" s="2">
        <v>14519.84</v>
      </c>
      <c r="H1468" t="str">
        <f>"ACCT#912897/BOL#25507/PCT#3"</f>
        <v>ACCT#912897/BOL#25507/PCT#3</v>
      </c>
    </row>
    <row r="1469" spans="1:8" x14ac:dyDescent="0.25">
      <c r="A1469" t="s">
        <v>443</v>
      </c>
      <c r="B1469">
        <v>83896</v>
      </c>
      <c r="C1469" s="2">
        <v>300</v>
      </c>
      <c r="D1469" s="1">
        <v>43717</v>
      </c>
      <c r="E1469" t="str">
        <f>"SI52690"</f>
        <v>SI52690</v>
      </c>
      <c r="F1469" t="str">
        <f>"S.S.P. INC."</f>
        <v>S.S.P. INC.</v>
      </c>
      <c r="G1469" s="2">
        <v>300</v>
      </c>
      <c r="H1469" t="str">
        <f>"Locker"</f>
        <v>Locker</v>
      </c>
    </row>
    <row r="1470" spans="1:8" x14ac:dyDescent="0.25">
      <c r="E1470" t="str">
        <f>""</f>
        <v/>
      </c>
      <c r="F1470" t="str">
        <f>""</f>
        <v/>
      </c>
      <c r="H1470" t="str">
        <f>"Shipping"</f>
        <v>Shipping</v>
      </c>
    </row>
    <row r="1471" spans="1:8" x14ac:dyDescent="0.25">
      <c r="A1471" t="s">
        <v>195</v>
      </c>
      <c r="B1471">
        <v>83897</v>
      </c>
      <c r="C1471" s="2">
        <v>44.83</v>
      </c>
      <c r="D1471" s="1">
        <v>43717</v>
      </c>
      <c r="E1471" t="str">
        <f>"201909041518"</f>
        <v>201909041518</v>
      </c>
      <c r="F1471" t="str">
        <f>"ACCT#1645/WILDFIRE MITIGATION"</f>
        <v>ACCT#1645/WILDFIRE MITIGATION</v>
      </c>
      <c r="G1471" s="2">
        <v>44.83</v>
      </c>
      <c r="H1471" t="str">
        <f>"ACCT#1645/WILDFIRE MITIGATION"</f>
        <v>ACCT#1645/WILDFIRE MITIGATION</v>
      </c>
    </row>
    <row r="1472" spans="1:8" x14ac:dyDescent="0.25">
      <c r="A1472" t="s">
        <v>444</v>
      </c>
      <c r="B1472">
        <v>84144</v>
      </c>
      <c r="C1472" s="2">
        <v>2779.34</v>
      </c>
      <c r="D1472" s="1">
        <v>43731</v>
      </c>
      <c r="E1472" t="str">
        <f>"3808"</f>
        <v>3808</v>
      </c>
      <c r="F1472" t="str">
        <f>"HMGP ADMIN/DRAINAGE IMPROV PRO"</f>
        <v>HMGP ADMIN/DRAINAGE IMPROV PRO</v>
      </c>
      <c r="G1472" s="2">
        <v>2779.34</v>
      </c>
      <c r="H1472" t="str">
        <f>"HMGP ADMIN/DRAINAGE IMPROV PRO"</f>
        <v>HMGP ADMIN/DRAINAGE IMPROV PRO</v>
      </c>
    </row>
    <row r="1473" spans="1:8" x14ac:dyDescent="0.25">
      <c r="A1473" t="s">
        <v>313</v>
      </c>
      <c r="B1473">
        <v>84145</v>
      </c>
      <c r="C1473" s="2">
        <v>45</v>
      </c>
      <c r="D1473" s="1">
        <v>43731</v>
      </c>
      <c r="E1473" t="str">
        <f>"286110-APTF"</f>
        <v>286110-APTF</v>
      </c>
      <c r="F1473" t="str">
        <f>"CUST ID:BASCOU/DRUG SCREENING"</f>
        <v>CUST ID:BASCOU/DRUG SCREENING</v>
      </c>
      <c r="G1473" s="2">
        <v>45</v>
      </c>
      <c r="H1473" t="str">
        <f>"CUST ID:BASCOU/DRUG SCREENING"</f>
        <v>CUST ID:BASCOU/DRUG SCREENING</v>
      </c>
    </row>
    <row r="1474" spans="1:8" x14ac:dyDescent="0.25">
      <c r="A1474" t="s">
        <v>445</v>
      </c>
      <c r="B1474">
        <v>84146</v>
      </c>
      <c r="C1474" s="2">
        <v>7245</v>
      </c>
      <c r="D1474" s="1">
        <v>43731</v>
      </c>
      <c r="E1474" t="str">
        <f>"4574000034"</f>
        <v>4574000034</v>
      </c>
      <c r="F1474" t="str">
        <f>"CUST#F457400000/WO 159748"</f>
        <v>CUST#F457400000/WO 159748</v>
      </c>
      <c r="G1474" s="2">
        <v>7245</v>
      </c>
      <c r="H1474" t="str">
        <f>"CUST#F457400000/WO 159748"</f>
        <v>CUST#F457400000/WO 159748</v>
      </c>
    </row>
    <row r="1475" spans="1:8" x14ac:dyDescent="0.25">
      <c r="A1475" t="s">
        <v>391</v>
      </c>
      <c r="B1475">
        <v>83898</v>
      </c>
      <c r="C1475" s="2">
        <v>1086</v>
      </c>
      <c r="D1475" s="1">
        <v>43717</v>
      </c>
      <c r="E1475" t="str">
        <f>"23557-WC4 245"</f>
        <v>23557-WC4 245</v>
      </c>
      <c r="F1475" t="str">
        <f>"4TH QTR 2019 WRKRS COMP/#0110"</f>
        <v>4TH QTR 2019 WRKRS COMP/#0110</v>
      </c>
      <c r="G1475" s="2">
        <v>1086</v>
      </c>
      <c r="H1475" t="str">
        <f>"4TH QTR 2019 WRKRS COMP/#0110"</f>
        <v>4TH QTR 2019 WRKRS COMP/#0110</v>
      </c>
    </row>
    <row r="1476" spans="1:8" x14ac:dyDescent="0.25">
      <c r="A1476" t="s">
        <v>446</v>
      </c>
      <c r="B1476">
        <v>84147</v>
      </c>
      <c r="C1476" s="2">
        <v>1000</v>
      </c>
      <c r="D1476" s="1">
        <v>43731</v>
      </c>
      <c r="E1476" t="str">
        <f>"T299"</f>
        <v>T299</v>
      </c>
      <c r="F1476" t="str">
        <f>"Towing"</f>
        <v>Towing</v>
      </c>
      <c r="G1476" s="2">
        <v>1000</v>
      </c>
      <c r="H1476" t="str">
        <f>"Payment"</f>
        <v>Payment</v>
      </c>
    </row>
    <row r="1477" spans="1:8" x14ac:dyDescent="0.25">
      <c r="A1477" t="s">
        <v>410</v>
      </c>
      <c r="B1477">
        <v>83899</v>
      </c>
      <c r="C1477" s="2">
        <v>17.989999999999998</v>
      </c>
      <c r="D1477" s="1">
        <v>43717</v>
      </c>
      <c r="E1477" t="str">
        <f>"300566337"</f>
        <v>300566337</v>
      </c>
      <c r="F1477" t="str">
        <f>"Acct# 6035301200160982"</f>
        <v>Acct# 6035301200160982</v>
      </c>
      <c r="G1477" s="2">
        <v>17.989999999999998</v>
      </c>
      <c r="H1477" t="str">
        <f>"inv# 300566337"</f>
        <v>inv# 300566337</v>
      </c>
    </row>
    <row r="1478" spans="1:8" x14ac:dyDescent="0.25">
      <c r="A1478" t="s">
        <v>447</v>
      </c>
      <c r="B1478">
        <v>218</v>
      </c>
      <c r="C1478" s="2">
        <v>450</v>
      </c>
      <c r="D1478" s="1">
        <v>43717</v>
      </c>
      <c r="E1478" t="str">
        <f>"5470660"</f>
        <v>5470660</v>
      </c>
      <c r="F1478" t="str">
        <f>"PAYING AGENT FEE - SERIES 2018"</f>
        <v>PAYING AGENT FEE - SERIES 2018</v>
      </c>
      <c r="G1478" s="2">
        <v>450</v>
      </c>
      <c r="H1478" t="str">
        <f>"PAYING AGENT FEE - SERIES 2018"</f>
        <v>PAYING AGENT FEE - SERIES 2018</v>
      </c>
    </row>
    <row r="1479" spans="1:8" x14ac:dyDescent="0.25">
      <c r="A1479" t="s">
        <v>448</v>
      </c>
      <c r="B1479">
        <v>84148</v>
      </c>
      <c r="C1479" s="2">
        <v>2336.5100000000002</v>
      </c>
      <c r="D1479" s="1">
        <v>43731</v>
      </c>
      <c r="E1479" t="str">
        <f>"W02407"</f>
        <v>W02407</v>
      </c>
      <c r="F1479" t="str">
        <f>"ACCT#BASTR002"</f>
        <v>ACCT#BASTR002</v>
      </c>
      <c r="G1479" s="2">
        <v>2336.5100000000002</v>
      </c>
      <c r="H1479" t="str">
        <f>"ACCT#BASTR002"</f>
        <v>ACCT#BASTR002</v>
      </c>
    </row>
    <row r="1480" spans="1:8" x14ac:dyDescent="0.25">
      <c r="A1480" t="s">
        <v>424</v>
      </c>
      <c r="B1480">
        <v>83900</v>
      </c>
      <c r="C1480" s="2">
        <v>1962.17</v>
      </c>
      <c r="D1480" s="1">
        <v>43717</v>
      </c>
      <c r="E1480" t="str">
        <f>"201909041522"</f>
        <v>201909041522</v>
      </c>
      <c r="F1480" t="str">
        <f>"acct# 869395921"</f>
        <v>acct# 869395921</v>
      </c>
      <c r="G1480" s="2">
        <v>1962.17</v>
      </c>
      <c r="H1480" t="str">
        <f>"Fuel"</f>
        <v>Fuel</v>
      </c>
    </row>
    <row r="1481" spans="1:8" x14ac:dyDescent="0.25">
      <c r="E1481" t="str">
        <f>""</f>
        <v/>
      </c>
      <c r="F1481" t="str">
        <f>""</f>
        <v/>
      </c>
      <c r="H1481" t="str">
        <f>"Tax"</f>
        <v>Tax</v>
      </c>
    </row>
    <row r="1482" spans="1:8" x14ac:dyDescent="0.25">
      <c r="E1482" t="str">
        <f>""</f>
        <v/>
      </c>
      <c r="F1482" t="str">
        <f>""</f>
        <v/>
      </c>
      <c r="H1482" t="str">
        <f>"Maintenance"</f>
        <v>Maintenance</v>
      </c>
    </row>
    <row r="1483" spans="1:8" x14ac:dyDescent="0.25">
      <c r="A1483" t="s">
        <v>449</v>
      </c>
      <c r="B1483">
        <v>232</v>
      </c>
      <c r="C1483" s="2">
        <v>5479.44</v>
      </c>
      <c r="D1483" s="1">
        <v>43734</v>
      </c>
      <c r="E1483" t="str">
        <f>"201909231973"</f>
        <v>201909231973</v>
      </c>
      <c r="F1483" t="str">
        <f>"ALLSTATE-AMERICAN HERITAGE LIF"</f>
        <v>ALLSTATE-AMERICAN HERITAGE LIF</v>
      </c>
      <c r="G1483" s="2">
        <v>0.02</v>
      </c>
      <c r="H1483" t="str">
        <f>"ALLSTATE-AMERICAN HERITAGE LIF"</f>
        <v>ALLSTATE-AMERICAN HERITAGE LIF</v>
      </c>
    </row>
    <row r="1484" spans="1:8" x14ac:dyDescent="0.25">
      <c r="E1484" t="str">
        <f>"AS 201909031425"</f>
        <v>AS 201909031425</v>
      </c>
      <c r="F1484" t="str">
        <f t="shared" ref="F1484:F1497" si="11">"ALLSTATE"</f>
        <v>ALLSTATE</v>
      </c>
      <c r="G1484" s="2">
        <v>533.49</v>
      </c>
      <c r="H1484" t="str">
        <f t="shared" ref="H1484:H1497" si="12">"ALLSTATE"</f>
        <v>ALLSTATE</v>
      </c>
    </row>
    <row r="1485" spans="1:8" x14ac:dyDescent="0.25">
      <c r="E1485" t="str">
        <f>"AS 201909031426"</f>
        <v>AS 201909031426</v>
      </c>
      <c r="F1485" t="str">
        <f t="shared" si="11"/>
        <v>ALLSTATE</v>
      </c>
      <c r="G1485" s="2">
        <v>27.14</v>
      </c>
      <c r="H1485" t="str">
        <f t="shared" si="12"/>
        <v>ALLSTATE</v>
      </c>
    </row>
    <row r="1486" spans="1:8" x14ac:dyDescent="0.25">
      <c r="E1486" t="str">
        <f>"AS 201909181931"</f>
        <v>AS 201909181931</v>
      </c>
      <c r="F1486" t="str">
        <f t="shared" si="11"/>
        <v>ALLSTATE</v>
      </c>
      <c r="G1486" s="2">
        <v>533.49</v>
      </c>
      <c r="H1486" t="str">
        <f t="shared" si="12"/>
        <v>ALLSTATE</v>
      </c>
    </row>
    <row r="1487" spans="1:8" x14ac:dyDescent="0.25">
      <c r="E1487" t="str">
        <f>"AS 201909181934"</f>
        <v>AS 201909181934</v>
      </c>
      <c r="F1487" t="str">
        <f t="shared" si="11"/>
        <v>ALLSTATE</v>
      </c>
      <c r="G1487" s="2">
        <v>27.14</v>
      </c>
      <c r="H1487" t="str">
        <f t="shared" si="12"/>
        <v>ALLSTATE</v>
      </c>
    </row>
    <row r="1488" spans="1:8" x14ac:dyDescent="0.25">
      <c r="E1488" t="str">
        <f>"ASD201909031425"</f>
        <v>ASD201909031425</v>
      </c>
      <c r="F1488" t="str">
        <f t="shared" si="11"/>
        <v>ALLSTATE</v>
      </c>
      <c r="G1488" s="2">
        <v>193.93</v>
      </c>
      <c r="H1488" t="str">
        <f t="shared" si="12"/>
        <v>ALLSTATE</v>
      </c>
    </row>
    <row r="1489" spans="1:8" x14ac:dyDescent="0.25">
      <c r="E1489" t="str">
        <f>"ASD201909181931"</f>
        <v>ASD201909181931</v>
      </c>
      <c r="F1489" t="str">
        <f t="shared" si="11"/>
        <v>ALLSTATE</v>
      </c>
      <c r="G1489" s="2">
        <v>193.93</v>
      </c>
      <c r="H1489" t="str">
        <f t="shared" si="12"/>
        <v>ALLSTATE</v>
      </c>
    </row>
    <row r="1490" spans="1:8" x14ac:dyDescent="0.25">
      <c r="E1490" t="str">
        <f>"ASI201909031425"</f>
        <v>ASI201909031425</v>
      </c>
      <c r="F1490" t="str">
        <f t="shared" si="11"/>
        <v>ALLSTATE</v>
      </c>
      <c r="G1490" s="2">
        <v>621.97</v>
      </c>
      <c r="H1490" t="str">
        <f t="shared" si="12"/>
        <v>ALLSTATE</v>
      </c>
    </row>
    <row r="1491" spans="1:8" x14ac:dyDescent="0.25">
      <c r="E1491" t="str">
        <f>"ASI201909031426"</f>
        <v>ASI201909031426</v>
      </c>
      <c r="F1491" t="str">
        <f t="shared" si="11"/>
        <v>ALLSTATE</v>
      </c>
      <c r="G1491" s="2">
        <v>67.150000000000006</v>
      </c>
      <c r="H1491" t="str">
        <f t="shared" si="12"/>
        <v>ALLSTATE</v>
      </c>
    </row>
    <row r="1492" spans="1:8" x14ac:dyDescent="0.25">
      <c r="E1492" t="str">
        <f>"ASI201909181931"</f>
        <v>ASI201909181931</v>
      </c>
      <c r="F1492" t="str">
        <f t="shared" si="11"/>
        <v>ALLSTATE</v>
      </c>
      <c r="G1492" s="2">
        <v>621.97</v>
      </c>
      <c r="H1492" t="str">
        <f t="shared" si="12"/>
        <v>ALLSTATE</v>
      </c>
    </row>
    <row r="1493" spans="1:8" x14ac:dyDescent="0.25">
      <c r="E1493" t="str">
        <f>"ASI201909181934"</f>
        <v>ASI201909181934</v>
      </c>
      <c r="F1493" t="str">
        <f t="shared" si="11"/>
        <v>ALLSTATE</v>
      </c>
      <c r="G1493" s="2">
        <v>67.150000000000006</v>
      </c>
      <c r="H1493" t="str">
        <f t="shared" si="12"/>
        <v>ALLSTATE</v>
      </c>
    </row>
    <row r="1494" spans="1:8" x14ac:dyDescent="0.25">
      <c r="E1494" t="str">
        <f>"AST201909031425"</f>
        <v>AST201909031425</v>
      </c>
      <c r="F1494" t="str">
        <f t="shared" si="11"/>
        <v>ALLSTATE</v>
      </c>
      <c r="G1494" s="2">
        <v>1253.42</v>
      </c>
      <c r="H1494" t="str">
        <f t="shared" si="12"/>
        <v>ALLSTATE</v>
      </c>
    </row>
    <row r="1495" spans="1:8" x14ac:dyDescent="0.25">
      <c r="E1495" t="str">
        <f>"AST201909031426"</f>
        <v>AST201909031426</v>
      </c>
      <c r="F1495" t="str">
        <f t="shared" si="11"/>
        <v>ALLSTATE</v>
      </c>
      <c r="G1495" s="2">
        <v>42.61</v>
      </c>
      <c r="H1495" t="str">
        <f t="shared" si="12"/>
        <v>ALLSTATE</v>
      </c>
    </row>
    <row r="1496" spans="1:8" x14ac:dyDescent="0.25">
      <c r="E1496" t="str">
        <f>"AST201909181931"</f>
        <v>AST201909181931</v>
      </c>
      <c r="F1496" t="str">
        <f t="shared" si="11"/>
        <v>ALLSTATE</v>
      </c>
      <c r="G1496" s="2">
        <v>1253.42</v>
      </c>
      <c r="H1496" t="str">
        <f t="shared" si="12"/>
        <v>ALLSTATE</v>
      </c>
    </row>
    <row r="1497" spans="1:8" x14ac:dyDescent="0.25">
      <c r="E1497" t="str">
        <f>"AST201909181934"</f>
        <v>AST201909181934</v>
      </c>
      <c r="F1497" t="str">
        <f t="shared" si="11"/>
        <v>ALLSTATE</v>
      </c>
      <c r="G1497" s="2">
        <v>42.61</v>
      </c>
      <c r="H1497" t="str">
        <f t="shared" si="12"/>
        <v>ALLSTATE</v>
      </c>
    </row>
    <row r="1498" spans="1:8" x14ac:dyDescent="0.25">
      <c r="A1498" t="s">
        <v>450</v>
      </c>
      <c r="B1498">
        <v>228</v>
      </c>
      <c r="C1498" s="2">
        <v>26637.5</v>
      </c>
      <c r="D1498" s="1">
        <v>43734</v>
      </c>
      <c r="E1498" t="str">
        <f>"201909231966"</f>
        <v>201909231966</v>
      </c>
      <c r="F1498" t="str">
        <f>"AmWINS Group Benefits  Inc."</f>
        <v>AmWINS Group Benefits  Inc.</v>
      </c>
      <c r="G1498" s="2">
        <v>26637.5</v>
      </c>
      <c r="H1498" t="str">
        <f>"AmWINS Group Benefits  Inc."</f>
        <v>AmWINS Group Benefits  Inc.</v>
      </c>
    </row>
    <row r="1499" spans="1:8" x14ac:dyDescent="0.25">
      <c r="A1499" t="s">
        <v>451</v>
      </c>
      <c r="B1499">
        <v>212</v>
      </c>
      <c r="C1499" s="2">
        <v>2753.54</v>
      </c>
      <c r="D1499" s="1">
        <v>43714</v>
      </c>
      <c r="E1499" t="str">
        <f>"DHM201909031427"</f>
        <v>DHM201909031427</v>
      </c>
      <c r="F1499" t="str">
        <f>"AP - DENTAL HMO"</f>
        <v>AP - DENTAL HMO</v>
      </c>
      <c r="G1499" s="2">
        <v>61.39</v>
      </c>
      <c r="H1499" t="str">
        <f>"AP - DENTAL HMO"</f>
        <v>AP - DENTAL HMO</v>
      </c>
    </row>
    <row r="1500" spans="1:8" x14ac:dyDescent="0.25">
      <c r="E1500" t="str">
        <f>"DTX201909031427"</f>
        <v>DTX201909031427</v>
      </c>
      <c r="F1500" t="str">
        <f>"AP - TEXAS DENTAL"</f>
        <v>AP - TEXAS DENTAL</v>
      </c>
      <c r="G1500" s="2">
        <v>386.34</v>
      </c>
      <c r="H1500" t="str">
        <f>"AP - TEXAS DENTAL"</f>
        <v>AP - TEXAS DENTAL</v>
      </c>
    </row>
    <row r="1501" spans="1:8" x14ac:dyDescent="0.25">
      <c r="E1501" t="str">
        <f>"FD 201909031427"</f>
        <v>FD 201909031427</v>
      </c>
      <c r="F1501" t="str">
        <f>"AP - FT DEARBORN PRE-TAX"</f>
        <v>AP - FT DEARBORN PRE-TAX</v>
      </c>
      <c r="G1501" s="2">
        <v>184.65</v>
      </c>
      <c r="H1501" t="str">
        <f>"AP - FT DEARBORN PRE-TAX"</f>
        <v>AP - FT DEARBORN PRE-TAX</v>
      </c>
    </row>
    <row r="1502" spans="1:8" x14ac:dyDescent="0.25">
      <c r="E1502" t="str">
        <f>"FDT201909031427"</f>
        <v>FDT201909031427</v>
      </c>
      <c r="F1502" t="str">
        <f>"AP - FT DEARBORN AFTER TAX"</f>
        <v>AP - FT DEARBORN AFTER TAX</v>
      </c>
      <c r="G1502" s="2">
        <v>65.92</v>
      </c>
      <c r="H1502" t="str">
        <f>"AP - FT DEARBORN AFTER TAX"</f>
        <v>AP - FT DEARBORN AFTER TAX</v>
      </c>
    </row>
    <row r="1503" spans="1:8" x14ac:dyDescent="0.25">
      <c r="E1503" t="str">
        <f>"FLX201909031427"</f>
        <v>FLX201909031427</v>
      </c>
      <c r="F1503" t="str">
        <f>"AP - TEX FLEX"</f>
        <v>AP - TEX FLEX</v>
      </c>
      <c r="G1503" s="2">
        <v>209.5</v>
      </c>
      <c r="H1503" t="str">
        <f>"AP - TEX FLEX"</f>
        <v>AP - TEX FLEX</v>
      </c>
    </row>
    <row r="1504" spans="1:8" x14ac:dyDescent="0.25">
      <c r="E1504" t="str">
        <f>"MHS201909031427"</f>
        <v>MHS201909031427</v>
      </c>
      <c r="F1504" t="str">
        <f>"AP - HEALTH SELECT MEDICAL"</f>
        <v>AP - HEALTH SELECT MEDICAL</v>
      </c>
      <c r="G1504" s="2">
        <v>1257.6500000000001</v>
      </c>
      <c r="H1504" t="str">
        <f>"AP - HEALTH SELECT MEDICAL"</f>
        <v>AP - HEALTH SELECT MEDICAL</v>
      </c>
    </row>
    <row r="1505" spans="1:8" x14ac:dyDescent="0.25">
      <c r="E1505" t="str">
        <f>"MSW201909031427"</f>
        <v>MSW201909031427</v>
      </c>
      <c r="F1505" t="str">
        <f>"AP - SCOTT &amp; WHITE MEDICAL"</f>
        <v>AP - SCOTT &amp; WHITE MEDICAL</v>
      </c>
      <c r="G1505" s="2">
        <v>551.08000000000004</v>
      </c>
      <c r="H1505" t="str">
        <f>"AP - SCOTT &amp; WHITE MEDICAL"</f>
        <v>AP - SCOTT &amp; WHITE MEDICAL</v>
      </c>
    </row>
    <row r="1506" spans="1:8" x14ac:dyDescent="0.25">
      <c r="E1506" t="str">
        <f>"SPE201909031427"</f>
        <v>SPE201909031427</v>
      </c>
      <c r="F1506" t="str">
        <f>"AP - STATE VISION"</f>
        <v>AP - STATE VISION</v>
      </c>
      <c r="G1506" s="2">
        <v>37.01</v>
      </c>
      <c r="H1506" t="str">
        <f>"AP - STATE VISION"</f>
        <v>AP - STATE VISION</v>
      </c>
    </row>
    <row r="1507" spans="1:8" x14ac:dyDescent="0.25">
      <c r="A1507" t="s">
        <v>451</v>
      </c>
      <c r="B1507">
        <v>220</v>
      </c>
      <c r="C1507" s="2">
        <v>2758.66</v>
      </c>
      <c r="D1507" s="1">
        <v>43728</v>
      </c>
      <c r="E1507" t="str">
        <f>"DHM201909181935"</f>
        <v>DHM201909181935</v>
      </c>
      <c r="F1507" t="str">
        <f>"AP - DENTAL HMO"</f>
        <v>AP - DENTAL HMO</v>
      </c>
      <c r="G1507" s="2">
        <v>61.39</v>
      </c>
      <c r="H1507" t="str">
        <f>"AP - DENTAL HMO"</f>
        <v>AP - DENTAL HMO</v>
      </c>
    </row>
    <row r="1508" spans="1:8" x14ac:dyDescent="0.25">
      <c r="E1508" t="str">
        <f>"DTX201909181935"</f>
        <v>DTX201909181935</v>
      </c>
      <c r="F1508" t="str">
        <f>"AP - TEXAS DENTAL"</f>
        <v>AP - TEXAS DENTAL</v>
      </c>
      <c r="G1508" s="2">
        <v>386.34</v>
      </c>
      <c r="H1508" t="str">
        <f>"AP - TEXAS DENTAL"</f>
        <v>AP - TEXAS DENTAL</v>
      </c>
    </row>
    <row r="1509" spans="1:8" x14ac:dyDescent="0.25">
      <c r="E1509" t="str">
        <f>"FD 201909181935"</f>
        <v>FD 201909181935</v>
      </c>
      <c r="F1509" t="str">
        <f>"AP - FT DEARBORN PRE-TAX"</f>
        <v>AP - FT DEARBORN PRE-TAX</v>
      </c>
      <c r="G1509" s="2">
        <v>184.65</v>
      </c>
      <c r="H1509" t="str">
        <f>"AP - FT DEARBORN PRE-TAX"</f>
        <v>AP - FT DEARBORN PRE-TAX</v>
      </c>
    </row>
    <row r="1510" spans="1:8" x14ac:dyDescent="0.25">
      <c r="E1510" t="str">
        <f>"FDT201909181935"</f>
        <v>FDT201909181935</v>
      </c>
      <c r="F1510" t="str">
        <f>"AP - FT DEARBORN AFTER TAX"</f>
        <v>AP - FT DEARBORN AFTER TAX</v>
      </c>
      <c r="G1510" s="2">
        <v>65.92</v>
      </c>
      <c r="H1510" t="str">
        <f>"AP - FT DEARBORN AFTER TAX"</f>
        <v>AP - FT DEARBORN AFTER TAX</v>
      </c>
    </row>
    <row r="1511" spans="1:8" x14ac:dyDescent="0.25">
      <c r="E1511" t="str">
        <f>"FLX201909181935"</f>
        <v>FLX201909181935</v>
      </c>
      <c r="F1511" t="str">
        <f>"AP - TEX FLEX"</f>
        <v>AP - TEX FLEX</v>
      </c>
      <c r="G1511" s="2">
        <v>209.5</v>
      </c>
      <c r="H1511" t="str">
        <f>"AP - TEX FLEX"</f>
        <v>AP - TEX FLEX</v>
      </c>
    </row>
    <row r="1512" spans="1:8" x14ac:dyDescent="0.25">
      <c r="E1512" t="str">
        <f>"MHS201909181935"</f>
        <v>MHS201909181935</v>
      </c>
      <c r="F1512" t="str">
        <f>"AP - HEALTH SELECT MEDICAL"</f>
        <v>AP - HEALTH SELECT MEDICAL</v>
      </c>
      <c r="G1512" s="2">
        <v>1257.6500000000001</v>
      </c>
      <c r="H1512" t="str">
        <f>"AP - HEALTH SELECT MEDICAL"</f>
        <v>AP - HEALTH SELECT MEDICAL</v>
      </c>
    </row>
    <row r="1513" spans="1:8" x14ac:dyDescent="0.25">
      <c r="E1513" t="str">
        <f>"MSW201909181935"</f>
        <v>MSW201909181935</v>
      </c>
      <c r="F1513" t="str">
        <f>"AP - SCOTT &amp; WHITE MEDICAL"</f>
        <v>AP - SCOTT &amp; WHITE MEDICAL</v>
      </c>
      <c r="G1513" s="2">
        <v>551.08000000000004</v>
      </c>
      <c r="H1513" t="str">
        <f>"AP - SCOTT &amp; WHITE MEDICAL"</f>
        <v>AP - SCOTT &amp; WHITE MEDICAL</v>
      </c>
    </row>
    <row r="1514" spans="1:8" x14ac:dyDescent="0.25">
      <c r="E1514" t="str">
        <f>"SPE201909181935"</f>
        <v>SPE201909181935</v>
      </c>
      <c r="F1514" t="str">
        <f>"AP - STATE VISION"</f>
        <v>AP - STATE VISION</v>
      </c>
      <c r="G1514" s="2">
        <v>42.13</v>
      </c>
      <c r="H1514" t="str">
        <f>"AP - STATE VISION"</f>
        <v>AP - STATE VISION</v>
      </c>
    </row>
    <row r="1515" spans="1:8" x14ac:dyDescent="0.25">
      <c r="A1515" t="s">
        <v>452</v>
      </c>
      <c r="B1515">
        <v>233</v>
      </c>
      <c r="C1515" s="2">
        <v>4147.5200000000004</v>
      </c>
      <c r="D1515" s="1">
        <v>43734</v>
      </c>
      <c r="E1515" t="str">
        <f>"201909231969"</f>
        <v>201909231969</v>
      </c>
      <c r="F1515" t="str">
        <f>"Krystal Stabeno"</f>
        <v>Krystal Stabeno</v>
      </c>
      <c r="G1515" s="2">
        <v>31.46</v>
      </c>
      <c r="H1515" t="str">
        <f>"Krystal Stabeno"</f>
        <v>Krystal Stabeno</v>
      </c>
    </row>
    <row r="1516" spans="1:8" x14ac:dyDescent="0.25">
      <c r="E1516" t="str">
        <f>"201909231972"</f>
        <v>201909231972</v>
      </c>
      <c r="F1516" t="str">
        <f>"COLONIAL LIFE &amp; ACCIDENT INS."</f>
        <v>COLONIAL LIFE &amp; ACCIDENT INS.</v>
      </c>
      <c r="G1516" s="2">
        <v>0.5</v>
      </c>
      <c r="H1516" t="str">
        <f>"COLONIAL LIFE &amp; ACCIDENT INS."</f>
        <v>COLONIAL LIFE &amp; ACCIDENT INS.</v>
      </c>
    </row>
    <row r="1517" spans="1:8" x14ac:dyDescent="0.25">
      <c r="E1517" t="str">
        <f>"CL 201909031425"</f>
        <v>CL 201909031425</v>
      </c>
      <c r="F1517" t="str">
        <f t="shared" ref="F1517:F1536" si="13">"COLONIAL"</f>
        <v>COLONIAL</v>
      </c>
      <c r="G1517" s="2">
        <v>600.07000000000005</v>
      </c>
      <c r="H1517" t="str">
        <f t="shared" ref="H1517:H1536" si="14">"COLONIAL"</f>
        <v>COLONIAL</v>
      </c>
    </row>
    <row r="1518" spans="1:8" x14ac:dyDescent="0.25">
      <c r="E1518" t="str">
        <f>"CL 201909031426"</f>
        <v>CL 201909031426</v>
      </c>
      <c r="F1518" t="str">
        <f t="shared" si="13"/>
        <v>COLONIAL</v>
      </c>
      <c r="G1518" s="2">
        <v>14.49</v>
      </c>
      <c r="H1518" t="str">
        <f t="shared" si="14"/>
        <v>COLONIAL</v>
      </c>
    </row>
    <row r="1519" spans="1:8" x14ac:dyDescent="0.25">
      <c r="E1519" t="str">
        <f>"CL 201909181931"</f>
        <v>CL 201909181931</v>
      </c>
      <c r="F1519" t="str">
        <f t="shared" si="13"/>
        <v>COLONIAL</v>
      </c>
      <c r="G1519" s="2">
        <v>600.07000000000005</v>
      </c>
      <c r="H1519" t="str">
        <f t="shared" si="14"/>
        <v>COLONIAL</v>
      </c>
    </row>
    <row r="1520" spans="1:8" x14ac:dyDescent="0.25">
      <c r="E1520" t="str">
        <f>"CL 201909181934"</f>
        <v>CL 201909181934</v>
      </c>
      <c r="F1520" t="str">
        <f t="shared" si="13"/>
        <v>COLONIAL</v>
      </c>
      <c r="G1520" s="2">
        <v>14.49</v>
      </c>
      <c r="H1520" t="str">
        <f t="shared" si="14"/>
        <v>COLONIAL</v>
      </c>
    </row>
    <row r="1521" spans="5:8" x14ac:dyDescent="0.25">
      <c r="E1521" t="str">
        <f>"CLC201909031425"</f>
        <v>CLC201909031425</v>
      </c>
      <c r="F1521" t="str">
        <f t="shared" si="13"/>
        <v>COLONIAL</v>
      </c>
      <c r="G1521" s="2">
        <v>33.99</v>
      </c>
      <c r="H1521" t="str">
        <f t="shared" si="14"/>
        <v>COLONIAL</v>
      </c>
    </row>
    <row r="1522" spans="5:8" x14ac:dyDescent="0.25">
      <c r="E1522" t="str">
        <f>"CLC201909181931"</f>
        <v>CLC201909181931</v>
      </c>
      <c r="F1522" t="str">
        <f t="shared" si="13"/>
        <v>COLONIAL</v>
      </c>
      <c r="G1522" s="2">
        <v>33.99</v>
      </c>
      <c r="H1522" t="str">
        <f t="shared" si="14"/>
        <v>COLONIAL</v>
      </c>
    </row>
    <row r="1523" spans="5:8" x14ac:dyDescent="0.25">
      <c r="E1523" t="str">
        <f>"CLI201909031425"</f>
        <v>CLI201909031425</v>
      </c>
      <c r="F1523" t="str">
        <f t="shared" si="13"/>
        <v>COLONIAL</v>
      </c>
      <c r="G1523" s="2">
        <v>534.92999999999995</v>
      </c>
      <c r="H1523" t="str">
        <f t="shared" si="14"/>
        <v>COLONIAL</v>
      </c>
    </row>
    <row r="1524" spans="5:8" x14ac:dyDescent="0.25">
      <c r="E1524" t="str">
        <f>"CLI201909181931"</f>
        <v>CLI201909181931</v>
      </c>
      <c r="F1524" t="str">
        <f t="shared" si="13"/>
        <v>COLONIAL</v>
      </c>
      <c r="G1524" s="2">
        <v>534.92999999999995</v>
      </c>
      <c r="H1524" t="str">
        <f t="shared" si="14"/>
        <v>COLONIAL</v>
      </c>
    </row>
    <row r="1525" spans="5:8" x14ac:dyDescent="0.25">
      <c r="E1525" t="str">
        <f>"CLK201909031425"</f>
        <v>CLK201909031425</v>
      </c>
      <c r="F1525" t="str">
        <f t="shared" si="13"/>
        <v>COLONIAL</v>
      </c>
      <c r="G1525" s="2">
        <v>27.09</v>
      </c>
      <c r="H1525" t="str">
        <f t="shared" si="14"/>
        <v>COLONIAL</v>
      </c>
    </row>
    <row r="1526" spans="5:8" x14ac:dyDescent="0.25">
      <c r="E1526" t="str">
        <f>"CLK201909181931"</f>
        <v>CLK201909181931</v>
      </c>
      <c r="F1526" t="str">
        <f t="shared" si="13"/>
        <v>COLONIAL</v>
      </c>
      <c r="G1526" s="2">
        <v>27.09</v>
      </c>
      <c r="H1526" t="str">
        <f t="shared" si="14"/>
        <v>COLONIAL</v>
      </c>
    </row>
    <row r="1527" spans="5:8" x14ac:dyDescent="0.25">
      <c r="E1527" t="str">
        <f>"CLS201909031425"</f>
        <v>CLS201909031425</v>
      </c>
      <c r="F1527" t="str">
        <f t="shared" si="13"/>
        <v>COLONIAL</v>
      </c>
      <c r="G1527" s="2">
        <v>327.99</v>
      </c>
      <c r="H1527" t="str">
        <f t="shared" si="14"/>
        <v>COLONIAL</v>
      </c>
    </row>
    <row r="1528" spans="5:8" x14ac:dyDescent="0.25">
      <c r="E1528" t="str">
        <f>"CLS201909031426"</f>
        <v>CLS201909031426</v>
      </c>
      <c r="F1528" t="str">
        <f t="shared" si="13"/>
        <v>COLONIAL</v>
      </c>
      <c r="G1528" s="2">
        <v>12.84</v>
      </c>
      <c r="H1528" t="str">
        <f t="shared" si="14"/>
        <v>COLONIAL</v>
      </c>
    </row>
    <row r="1529" spans="5:8" x14ac:dyDescent="0.25">
      <c r="E1529" t="str">
        <f>"CLS201909181931"</f>
        <v>CLS201909181931</v>
      </c>
      <c r="F1529" t="str">
        <f t="shared" si="13"/>
        <v>COLONIAL</v>
      </c>
      <c r="G1529" s="2">
        <v>327.99</v>
      </c>
      <c r="H1529" t="str">
        <f t="shared" si="14"/>
        <v>COLONIAL</v>
      </c>
    </row>
    <row r="1530" spans="5:8" x14ac:dyDescent="0.25">
      <c r="E1530" t="str">
        <f>"CLS201909181934"</f>
        <v>CLS201909181934</v>
      </c>
      <c r="F1530" t="str">
        <f t="shared" si="13"/>
        <v>COLONIAL</v>
      </c>
      <c r="G1530" s="2">
        <v>12.84</v>
      </c>
      <c r="H1530" t="str">
        <f t="shared" si="14"/>
        <v>COLONIAL</v>
      </c>
    </row>
    <row r="1531" spans="5:8" x14ac:dyDescent="0.25">
      <c r="E1531" t="str">
        <f>"CLT201909031425"</f>
        <v>CLT201909031425</v>
      </c>
      <c r="F1531" t="str">
        <f t="shared" si="13"/>
        <v>COLONIAL</v>
      </c>
      <c r="G1531" s="2">
        <v>300.85000000000002</v>
      </c>
      <c r="H1531" t="str">
        <f t="shared" si="14"/>
        <v>COLONIAL</v>
      </c>
    </row>
    <row r="1532" spans="5:8" x14ac:dyDescent="0.25">
      <c r="E1532" t="str">
        <f>"CLT201909181931"</f>
        <v>CLT201909181931</v>
      </c>
      <c r="F1532" t="str">
        <f t="shared" si="13"/>
        <v>COLONIAL</v>
      </c>
      <c r="G1532" s="2">
        <v>300.85000000000002</v>
      </c>
      <c r="H1532" t="str">
        <f t="shared" si="14"/>
        <v>COLONIAL</v>
      </c>
    </row>
    <row r="1533" spans="5:8" x14ac:dyDescent="0.25">
      <c r="E1533" t="str">
        <f>"CLU201909031425"</f>
        <v>CLU201909031425</v>
      </c>
      <c r="F1533" t="str">
        <f t="shared" si="13"/>
        <v>COLONIAL</v>
      </c>
      <c r="G1533" s="2">
        <v>111.55</v>
      </c>
      <c r="H1533" t="str">
        <f t="shared" si="14"/>
        <v>COLONIAL</v>
      </c>
    </row>
    <row r="1534" spans="5:8" x14ac:dyDescent="0.25">
      <c r="E1534" t="str">
        <f>"CLU201909181931"</f>
        <v>CLU201909181931</v>
      </c>
      <c r="F1534" t="str">
        <f t="shared" si="13"/>
        <v>COLONIAL</v>
      </c>
      <c r="G1534" s="2">
        <v>111.55</v>
      </c>
      <c r="H1534" t="str">
        <f t="shared" si="14"/>
        <v>COLONIAL</v>
      </c>
    </row>
    <row r="1535" spans="5:8" x14ac:dyDescent="0.25">
      <c r="E1535" t="str">
        <f>"CLW201909031425"</f>
        <v>CLW201909031425</v>
      </c>
      <c r="F1535" t="str">
        <f t="shared" si="13"/>
        <v>COLONIAL</v>
      </c>
      <c r="G1535" s="2">
        <v>93.98</v>
      </c>
      <c r="H1535" t="str">
        <f t="shared" si="14"/>
        <v>COLONIAL</v>
      </c>
    </row>
    <row r="1536" spans="5:8" x14ac:dyDescent="0.25">
      <c r="E1536" t="str">
        <f>"CLW201909181931"</f>
        <v>CLW201909181931</v>
      </c>
      <c r="F1536" t="str">
        <f t="shared" si="13"/>
        <v>COLONIAL</v>
      </c>
      <c r="G1536" s="2">
        <v>93.98</v>
      </c>
      <c r="H1536" t="str">
        <f t="shared" si="14"/>
        <v>COLONIAL</v>
      </c>
    </row>
    <row r="1537" spans="1:8" x14ac:dyDescent="0.25">
      <c r="A1537" t="s">
        <v>453</v>
      </c>
      <c r="B1537">
        <v>213</v>
      </c>
      <c r="C1537" s="2">
        <v>8397.7199999999993</v>
      </c>
      <c r="D1537" s="1">
        <v>43714</v>
      </c>
      <c r="E1537" t="str">
        <f>"CPI201909031425"</f>
        <v>CPI201909031425</v>
      </c>
      <c r="F1537" t="str">
        <f>"DEFERRED COMP 457B PAYABLE"</f>
        <v>DEFERRED COMP 457B PAYABLE</v>
      </c>
      <c r="G1537" s="2">
        <v>8290.2199999999993</v>
      </c>
      <c r="H1537" t="str">
        <f>"DEFERRED COMP 457B PAYABLE"</f>
        <v>DEFERRED COMP 457B PAYABLE</v>
      </c>
    </row>
    <row r="1538" spans="1:8" x14ac:dyDescent="0.25">
      <c r="E1538" t="str">
        <f>"CPI201909031426"</f>
        <v>CPI201909031426</v>
      </c>
      <c r="F1538" t="str">
        <f>"DEFERRED COMP 457B PAYABLE"</f>
        <v>DEFERRED COMP 457B PAYABLE</v>
      </c>
      <c r="G1538" s="2">
        <v>107.5</v>
      </c>
      <c r="H1538" t="str">
        <f>"DEFERRED COMP 457B PAYABLE"</f>
        <v>DEFERRED COMP 457B PAYABLE</v>
      </c>
    </row>
    <row r="1539" spans="1:8" x14ac:dyDescent="0.25">
      <c r="A1539" t="s">
        <v>453</v>
      </c>
      <c r="B1539">
        <v>221</v>
      </c>
      <c r="C1539" s="2">
        <v>8267.69</v>
      </c>
      <c r="D1539" s="1">
        <v>43728</v>
      </c>
      <c r="E1539" t="str">
        <f>"CPI201909181931"</f>
        <v>CPI201909181931</v>
      </c>
      <c r="F1539" t="str">
        <f>"DEFERRED COMP 457B PAYABLE"</f>
        <v>DEFERRED COMP 457B PAYABLE</v>
      </c>
      <c r="G1539" s="2">
        <v>8160.19</v>
      </c>
      <c r="H1539" t="str">
        <f>"DEFERRED COMP 457B PAYABLE"</f>
        <v>DEFERRED COMP 457B PAYABLE</v>
      </c>
    </row>
    <row r="1540" spans="1:8" x14ac:dyDescent="0.25">
      <c r="E1540" t="str">
        <f>"CPI201909181934"</f>
        <v>CPI201909181934</v>
      </c>
      <c r="F1540" t="str">
        <f>"DEFERRED COMP 457B PAYABLE"</f>
        <v>DEFERRED COMP 457B PAYABLE</v>
      </c>
      <c r="G1540" s="2">
        <v>107.5</v>
      </c>
      <c r="H1540" t="str">
        <f>"DEFERRED COMP 457B PAYABLE"</f>
        <v>DEFERRED COMP 457B PAYABLE</v>
      </c>
    </row>
    <row r="1541" spans="1:8" x14ac:dyDescent="0.25">
      <c r="A1541" t="s">
        <v>454</v>
      </c>
      <c r="B1541">
        <v>47612</v>
      </c>
      <c r="C1541" s="2">
        <v>853.85</v>
      </c>
      <c r="D1541" s="1">
        <v>43714</v>
      </c>
      <c r="E1541" t="str">
        <f>"B13201909031425"</f>
        <v>B13201909031425</v>
      </c>
      <c r="F1541" t="str">
        <f>"Rosa Warren 15-10357-TMD"</f>
        <v>Rosa Warren 15-10357-TMD</v>
      </c>
      <c r="G1541" s="2">
        <v>853.85</v>
      </c>
      <c r="H1541" t="str">
        <f>"Rosa Warren 15-10357-TMD"</f>
        <v>Rosa Warren 15-10357-TMD</v>
      </c>
    </row>
    <row r="1542" spans="1:8" x14ac:dyDescent="0.25">
      <c r="A1542" t="s">
        <v>454</v>
      </c>
      <c r="B1542">
        <v>47631</v>
      </c>
      <c r="C1542" s="2">
        <v>853.85</v>
      </c>
      <c r="D1542" s="1">
        <v>43728</v>
      </c>
      <c r="E1542" t="str">
        <f>"B13201909181931"</f>
        <v>B13201909181931</v>
      </c>
      <c r="F1542" t="str">
        <f>"Rosa Warren 15-10357-TMD"</f>
        <v>Rosa Warren 15-10357-TMD</v>
      </c>
      <c r="G1542" s="2">
        <v>853.85</v>
      </c>
      <c r="H1542" t="str">
        <f>"Rosa Warren 15-10357-TMD"</f>
        <v>Rosa Warren 15-10357-TMD</v>
      </c>
    </row>
    <row r="1543" spans="1:8" x14ac:dyDescent="0.25">
      <c r="A1543" t="s">
        <v>455</v>
      </c>
      <c r="B1543">
        <v>236</v>
      </c>
      <c r="C1543" s="2">
        <v>113.22</v>
      </c>
      <c r="D1543" s="1">
        <v>43731</v>
      </c>
      <c r="E1543" t="str">
        <f>"201909231979"</f>
        <v>201909231979</v>
      </c>
      <c r="F1543" t="str">
        <f>"GAYLE WILHELM RETIREE REFUND"</f>
        <v>GAYLE WILHELM RETIREE REFUND</v>
      </c>
      <c r="G1543" s="2">
        <v>113.22</v>
      </c>
      <c r="H1543" t="str">
        <f>"GAYLE WILHELM RETIREE REFUND"</f>
        <v>GAYLE WILHELM RETIREE REFUND</v>
      </c>
    </row>
    <row r="1544" spans="1:8" x14ac:dyDescent="0.25">
      <c r="A1544" t="s">
        <v>456</v>
      </c>
      <c r="B1544">
        <v>229</v>
      </c>
      <c r="C1544" s="2">
        <v>40221.550000000003</v>
      </c>
      <c r="D1544" s="1">
        <v>43734</v>
      </c>
      <c r="E1544" t="str">
        <f>"201909231963"</f>
        <v>201909231963</v>
      </c>
      <c r="F1544" t="str">
        <f>"GUARDIAN Rounding"</f>
        <v>GUARDIAN Rounding</v>
      </c>
      <c r="G1544" s="2">
        <v>-7.05</v>
      </c>
      <c r="H1544" t="str">
        <f>"GUARDIAN Rounding"</f>
        <v>GUARDIAN Rounding</v>
      </c>
    </row>
    <row r="1545" spans="1:8" x14ac:dyDescent="0.25">
      <c r="E1545" t="str">
        <f>"201909231962"</f>
        <v>201909231962</v>
      </c>
      <c r="F1545" t="str">
        <f>"GUARDIAN Retiree Sept 2019"</f>
        <v>GUARDIAN Retiree Sept 2019</v>
      </c>
      <c r="G1545" s="2">
        <v>3567.1</v>
      </c>
      <c r="H1545" t="str">
        <f>"GUARDIAN Retiree Sept 2019"</f>
        <v>GUARDIAN Retiree Sept 2019</v>
      </c>
    </row>
    <row r="1546" spans="1:8" x14ac:dyDescent="0.25">
      <c r="E1546" t="str">
        <f>"ADC201909031425"</f>
        <v>ADC201909031425</v>
      </c>
      <c r="F1546" t="str">
        <f t="shared" ref="F1546:F1558" si="15">"GUARDIAN"</f>
        <v>GUARDIAN</v>
      </c>
      <c r="G1546" s="2">
        <v>4.51</v>
      </c>
      <c r="H1546" t="str">
        <f t="shared" ref="H1546:H1609" si="16">"GUARDIAN"</f>
        <v>GUARDIAN</v>
      </c>
    </row>
    <row r="1547" spans="1:8" x14ac:dyDescent="0.25">
      <c r="E1547" t="str">
        <f>"ADC201909031426"</f>
        <v>ADC201909031426</v>
      </c>
      <c r="F1547" t="str">
        <f t="shared" si="15"/>
        <v>GUARDIAN</v>
      </c>
      <c r="G1547" s="2">
        <v>0.16</v>
      </c>
      <c r="H1547" t="str">
        <f t="shared" si="16"/>
        <v>GUARDIAN</v>
      </c>
    </row>
    <row r="1548" spans="1:8" x14ac:dyDescent="0.25">
      <c r="E1548" t="str">
        <f>"ADC201909181931"</f>
        <v>ADC201909181931</v>
      </c>
      <c r="F1548" t="str">
        <f t="shared" si="15"/>
        <v>GUARDIAN</v>
      </c>
      <c r="G1548" s="2">
        <v>4.51</v>
      </c>
      <c r="H1548" t="str">
        <f t="shared" si="16"/>
        <v>GUARDIAN</v>
      </c>
    </row>
    <row r="1549" spans="1:8" x14ac:dyDescent="0.25">
      <c r="E1549" t="str">
        <f>"ADC201909181934"</f>
        <v>ADC201909181934</v>
      </c>
      <c r="F1549" t="str">
        <f t="shared" si="15"/>
        <v>GUARDIAN</v>
      </c>
      <c r="G1549" s="2">
        <v>0.16</v>
      </c>
      <c r="H1549" t="str">
        <f t="shared" si="16"/>
        <v>GUARDIAN</v>
      </c>
    </row>
    <row r="1550" spans="1:8" x14ac:dyDescent="0.25">
      <c r="E1550" t="str">
        <f>"ADE201909031425"</f>
        <v>ADE201909031425</v>
      </c>
      <c r="F1550" t="str">
        <f t="shared" si="15"/>
        <v>GUARDIAN</v>
      </c>
      <c r="G1550" s="2">
        <v>220.22</v>
      </c>
      <c r="H1550" t="str">
        <f t="shared" si="16"/>
        <v>GUARDIAN</v>
      </c>
    </row>
    <row r="1551" spans="1:8" x14ac:dyDescent="0.25">
      <c r="E1551" t="str">
        <f>"ADE201909031426"</f>
        <v>ADE201909031426</v>
      </c>
      <c r="F1551" t="str">
        <f t="shared" si="15"/>
        <v>GUARDIAN</v>
      </c>
      <c r="G1551" s="2">
        <v>6.3</v>
      </c>
      <c r="H1551" t="str">
        <f t="shared" si="16"/>
        <v>GUARDIAN</v>
      </c>
    </row>
    <row r="1552" spans="1:8" x14ac:dyDescent="0.25">
      <c r="E1552" t="str">
        <f>"ADE201909181931"</f>
        <v>ADE201909181931</v>
      </c>
      <c r="F1552" t="str">
        <f t="shared" si="15"/>
        <v>GUARDIAN</v>
      </c>
      <c r="G1552" s="2">
        <v>220.22</v>
      </c>
      <c r="H1552" t="str">
        <f t="shared" si="16"/>
        <v>GUARDIAN</v>
      </c>
    </row>
    <row r="1553" spans="5:8" x14ac:dyDescent="0.25">
      <c r="E1553" t="str">
        <f>"ADE201909181934"</f>
        <v>ADE201909181934</v>
      </c>
      <c r="F1553" t="str">
        <f t="shared" si="15"/>
        <v>GUARDIAN</v>
      </c>
      <c r="G1553" s="2">
        <v>6.3</v>
      </c>
      <c r="H1553" t="str">
        <f t="shared" si="16"/>
        <v>GUARDIAN</v>
      </c>
    </row>
    <row r="1554" spans="5:8" x14ac:dyDescent="0.25">
      <c r="E1554" t="str">
        <f>"ADS201909031425"</f>
        <v>ADS201909031425</v>
      </c>
      <c r="F1554" t="str">
        <f t="shared" si="15"/>
        <v>GUARDIAN</v>
      </c>
      <c r="G1554" s="2">
        <v>39.72</v>
      </c>
      <c r="H1554" t="str">
        <f t="shared" si="16"/>
        <v>GUARDIAN</v>
      </c>
    </row>
    <row r="1555" spans="5:8" x14ac:dyDescent="0.25">
      <c r="E1555" t="str">
        <f>"ADS201909031426"</f>
        <v>ADS201909031426</v>
      </c>
      <c r="F1555" t="str">
        <f t="shared" si="15"/>
        <v>GUARDIAN</v>
      </c>
      <c r="G1555" s="2">
        <v>0.53</v>
      </c>
      <c r="H1555" t="str">
        <f t="shared" si="16"/>
        <v>GUARDIAN</v>
      </c>
    </row>
    <row r="1556" spans="5:8" x14ac:dyDescent="0.25">
      <c r="E1556" t="str">
        <f>"ADS201909181931"</f>
        <v>ADS201909181931</v>
      </c>
      <c r="F1556" t="str">
        <f t="shared" si="15"/>
        <v>GUARDIAN</v>
      </c>
      <c r="G1556" s="2">
        <v>39.72</v>
      </c>
      <c r="H1556" t="str">
        <f t="shared" si="16"/>
        <v>GUARDIAN</v>
      </c>
    </row>
    <row r="1557" spans="5:8" x14ac:dyDescent="0.25">
      <c r="E1557" t="str">
        <f>"ADS201909181934"</f>
        <v>ADS201909181934</v>
      </c>
      <c r="F1557" t="str">
        <f t="shared" si="15"/>
        <v>GUARDIAN</v>
      </c>
      <c r="G1557" s="2">
        <v>0.53</v>
      </c>
      <c r="H1557" t="str">
        <f t="shared" si="16"/>
        <v>GUARDIAN</v>
      </c>
    </row>
    <row r="1558" spans="5:8" x14ac:dyDescent="0.25">
      <c r="E1558" t="str">
        <f>"GDC201909031425"</f>
        <v>GDC201909031425</v>
      </c>
      <c r="F1558" t="str">
        <f t="shared" si="15"/>
        <v>GUARDIAN</v>
      </c>
      <c r="G1558" s="2">
        <v>2648.88</v>
      </c>
      <c r="H1558" t="str">
        <f t="shared" si="16"/>
        <v>GUARDIAN</v>
      </c>
    </row>
    <row r="1559" spans="5:8" x14ac:dyDescent="0.25">
      <c r="E1559" t="str">
        <f>""</f>
        <v/>
      </c>
      <c r="F1559" t="str">
        <f>""</f>
        <v/>
      </c>
      <c r="H1559" t="str">
        <f t="shared" si="16"/>
        <v>GUARDIAN</v>
      </c>
    </row>
    <row r="1560" spans="5:8" x14ac:dyDescent="0.25">
      <c r="E1560" t="str">
        <f>""</f>
        <v/>
      </c>
      <c r="F1560" t="str">
        <f>""</f>
        <v/>
      </c>
      <c r="H1560" t="str">
        <f t="shared" si="16"/>
        <v>GUARDIAN</v>
      </c>
    </row>
    <row r="1561" spans="5:8" x14ac:dyDescent="0.25">
      <c r="E1561" t="str">
        <f>""</f>
        <v/>
      </c>
      <c r="F1561" t="str">
        <f>""</f>
        <v/>
      </c>
      <c r="H1561" t="str">
        <f t="shared" si="16"/>
        <v>GUARDIAN</v>
      </c>
    </row>
    <row r="1562" spans="5:8" x14ac:dyDescent="0.25">
      <c r="E1562" t="str">
        <f>""</f>
        <v/>
      </c>
      <c r="F1562" t="str">
        <f>""</f>
        <v/>
      </c>
      <c r="H1562" t="str">
        <f t="shared" si="16"/>
        <v>GUARDIAN</v>
      </c>
    </row>
    <row r="1563" spans="5:8" x14ac:dyDescent="0.25">
      <c r="E1563" t="str">
        <f>""</f>
        <v/>
      </c>
      <c r="F1563" t="str">
        <f>""</f>
        <v/>
      </c>
      <c r="H1563" t="str">
        <f t="shared" si="16"/>
        <v>GUARDIAN</v>
      </c>
    </row>
    <row r="1564" spans="5:8" x14ac:dyDescent="0.25">
      <c r="E1564" t="str">
        <f>""</f>
        <v/>
      </c>
      <c r="F1564" t="str">
        <f>""</f>
        <v/>
      </c>
      <c r="H1564" t="str">
        <f t="shared" si="16"/>
        <v>GUARDIAN</v>
      </c>
    </row>
    <row r="1565" spans="5:8" x14ac:dyDescent="0.25">
      <c r="E1565" t="str">
        <f>""</f>
        <v/>
      </c>
      <c r="F1565" t="str">
        <f>""</f>
        <v/>
      </c>
      <c r="H1565" t="str">
        <f t="shared" si="16"/>
        <v>GUARDIAN</v>
      </c>
    </row>
    <row r="1566" spans="5:8" x14ac:dyDescent="0.25">
      <c r="E1566" t="str">
        <f>""</f>
        <v/>
      </c>
      <c r="F1566" t="str">
        <f>""</f>
        <v/>
      </c>
      <c r="H1566" t="str">
        <f t="shared" si="16"/>
        <v>GUARDIAN</v>
      </c>
    </row>
    <row r="1567" spans="5:8" x14ac:dyDescent="0.25">
      <c r="E1567" t="str">
        <f>""</f>
        <v/>
      </c>
      <c r="F1567" t="str">
        <f>""</f>
        <v/>
      </c>
      <c r="H1567" t="str">
        <f t="shared" si="16"/>
        <v>GUARDIAN</v>
      </c>
    </row>
    <row r="1568" spans="5:8" x14ac:dyDescent="0.25">
      <c r="E1568" t="str">
        <f>""</f>
        <v/>
      </c>
      <c r="F1568" t="str">
        <f>""</f>
        <v/>
      </c>
      <c r="H1568" t="str">
        <f t="shared" si="16"/>
        <v>GUARDIAN</v>
      </c>
    </row>
    <row r="1569" spans="5:8" x14ac:dyDescent="0.25">
      <c r="E1569" t="str">
        <f>""</f>
        <v/>
      </c>
      <c r="F1569" t="str">
        <f>""</f>
        <v/>
      </c>
      <c r="H1569" t="str">
        <f t="shared" si="16"/>
        <v>GUARDIAN</v>
      </c>
    </row>
    <row r="1570" spans="5:8" x14ac:dyDescent="0.25">
      <c r="E1570" t="str">
        <f>""</f>
        <v/>
      </c>
      <c r="F1570" t="str">
        <f>""</f>
        <v/>
      </c>
      <c r="H1570" t="str">
        <f t="shared" si="16"/>
        <v>GUARDIAN</v>
      </c>
    </row>
    <row r="1571" spans="5:8" x14ac:dyDescent="0.25">
      <c r="E1571" t="str">
        <f>""</f>
        <v/>
      </c>
      <c r="F1571" t="str">
        <f>""</f>
        <v/>
      </c>
      <c r="H1571" t="str">
        <f t="shared" si="16"/>
        <v>GUARDIAN</v>
      </c>
    </row>
    <row r="1572" spans="5:8" x14ac:dyDescent="0.25">
      <c r="E1572" t="str">
        <f>""</f>
        <v/>
      </c>
      <c r="F1572" t="str">
        <f>""</f>
        <v/>
      </c>
      <c r="H1572" t="str">
        <f t="shared" si="16"/>
        <v>GUARDIAN</v>
      </c>
    </row>
    <row r="1573" spans="5:8" x14ac:dyDescent="0.25">
      <c r="E1573" t="str">
        <f>""</f>
        <v/>
      </c>
      <c r="F1573" t="str">
        <f>""</f>
        <v/>
      </c>
      <c r="H1573" t="str">
        <f t="shared" si="16"/>
        <v>GUARDIAN</v>
      </c>
    </row>
    <row r="1574" spans="5:8" x14ac:dyDescent="0.25">
      <c r="E1574" t="str">
        <f>""</f>
        <v/>
      </c>
      <c r="F1574" t="str">
        <f>""</f>
        <v/>
      </c>
      <c r="H1574" t="str">
        <f t="shared" si="16"/>
        <v>GUARDIAN</v>
      </c>
    </row>
    <row r="1575" spans="5:8" x14ac:dyDescent="0.25">
      <c r="E1575" t="str">
        <f>""</f>
        <v/>
      </c>
      <c r="F1575" t="str">
        <f>""</f>
        <v/>
      </c>
      <c r="H1575" t="str">
        <f t="shared" si="16"/>
        <v>GUARDIAN</v>
      </c>
    </row>
    <row r="1576" spans="5:8" x14ac:dyDescent="0.25">
      <c r="E1576" t="str">
        <f>""</f>
        <v/>
      </c>
      <c r="F1576" t="str">
        <f>""</f>
        <v/>
      </c>
      <c r="H1576" t="str">
        <f t="shared" si="16"/>
        <v>GUARDIAN</v>
      </c>
    </row>
    <row r="1577" spans="5:8" x14ac:dyDescent="0.25">
      <c r="E1577" t="str">
        <f>""</f>
        <v/>
      </c>
      <c r="F1577" t="str">
        <f>""</f>
        <v/>
      </c>
      <c r="H1577" t="str">
        <f t="shared" si="16"/>
        <v>GUARDIAN</v>
      </c>
    </row>
    <row r="1578" spans="5:8" x14ac:dyDescent="0.25">
      <c r="E1578" t="str">
        <f>""</f>
        <v/>
      </c>
      <c r="F1578" t="str">
        <f>""</f>
        <v/>
      </c>
      <c r="H1578" t="str">
        <f t="shared" si="16"/>
        <v>GUARDIAN</v>
      </c>
    </row>
    <row r="1579" spans="5:8" x14ac:dyDescent="0.25">
      <c r="E1579" t="str">
        <f>""</f>
        <v/>
      </c>
      <c r="F1579" t="str">
        <f>""</f>
        <v/>
      </c>
      <c r="H1579" t="str">
        <f t="shared" si="16"/>
        <v>GUARDIAN</v>
      </c>
    </row>
    <row r="1580" spans="5:8" x14ac:dyDescent="0.25">
      <c r="E1580" t="str">
        <f>""</f>
        <v/>
      </c>
      <c r="F1580" t="str">
        <f>""</f>
        <v/>
      </c>
      <c r="H1580" t="str">
        <f t="shared" si="16"/>
        <v>GUARDIAN</v>
      </c>
    </row>
    <row r="1581" spans="5:8" x14ac:dyDescent="0.25">
      <c r="E1581" t="str">
        <f>""</f>
        <v/>
      </c>
      <c r="F1581" t="str">
        <f>""</f>
        <v/>
      </c>
      <c r="H1581" t="str">
        <f t="shared" si="16"/>
        <v>GUARDIAN</v>
      </c>
    </row>
    <row r="1582" spans="5:8" x14ac:dyDescent="0.25">
      <c r="E1582" t="str">
        <f>""</f>
        <v/>
      </c>
      <c r="F1582" t="str">
        <f>""</f>
        <v/>
      </c>
      <c r="H1582" t="str">
        <f t="shared" si="16"/>
        <v>GUARDIAN</v>
      </c>
    </row>
    <row r="1583" spans="5:8" x14ac:dyDescent="0.25">
      <c r="E1583" t="str">
        <f>""</f>
        <v/>
      </c>
      <c r="F1583" t="str">
        <f>""</f>
        <v/>
      </c>
      <c r="H1583" t="str">
        <f t="shared" si="16"/>
        <v>GUARDIAN</v>
      </c>
    </row>
    <row r="1584" spans="5:8" x14ac:dyDescent="0.25">
      <c r="E1584" t="str">
        <f>""</f>
        <v/>
      </c>
      <c r="F1584" t="str">
        <f>""</f>
        <v/>
      </c>
      <c r="H1584" t="str">
        <f t="shared" si="16"/>
        <v>GUARDIAN</v>
      </c>
    </row>
    <row r="1585" spans="5:8" x14ac:dyDescent="0.25">
      <c r="E1585" t="str">
        <f>""</f>
        <v/>
      </c>
      <c r="F1585" t="str">
        <f>""</f>
        <v/>
      </c>
      <c r="H1585" t="str">
        <f t="shared" si="16"/>
        <v>GUARDIAN</v>
      </c>
    </row>
    <row r="1586" spans="5:8" x14ac:dyDescent="0.25">
      <c r="E1586" t="str">
        <f>""</f>
        <v/>
      </c>
      <c r="F1586" t="str">
        <f>""</f>
        <v/>
      </c>
      <c r="H1586" t="str">
        <f t="shared" si="16"/>
        <v>GUARDIAN</v>
      </c>
    </row>
    <row r="1587" spans="5:8" x14ac:dyDescent="0.25">
      <c r="E1587" t="str">
        <f>""</f>
        <v/>
      </c>
      <c r="F1587" t="str">
        <f>""</f>
        <v/>
      </c>
      <c r="H1587" t="str">
        <f t="shared" si="16"/>
        <v>GUARDIAN</v>
      </c>
    </row>
    <row r="1588" spans="5:8" x14ac:dyDescent="0.25">
      <c r="E1588" t="str">
        <f>"GDC201909031426"</f>
        <v>GDC201909031426</v>
      </c>
      <c r="F1588" t="str">
        <f>"GUARDIAN"</f>
        <v>GUARDIAN</v>
      </c>
      <c r="G1588" s="2">
        <v>135.84</v>
      </c>
      <c r="H1588" t="str">
        <f t="shared" si="16"/>
        <v>GUARDIAN</v>
      </c>
    </row>
    <row r="1589" spans="5:8" x14ac:dyDescent="0.25">
      <c r="E1589" t="str">
        <f>""</f>
        <v/>
      </c>
      <c r="F1589" t="str">
        <f>""</f>
        <v/>
      </c>
      <c r="H1589" t="str">
        <f t="shared" si="16"/>
        <v>GUARDIAN</v>
      </c>
    </row>
    <row r="1590" spans="5:8" x14ac:dyDescent="0.25">
      <c r="E1590" t="str">
        <f>"GDC201909181931"</f>
        <v>GDC201909181931</v>
      </c>
      <c r="F1590" t="str">
        <f>"GUARDIAN"</f>
        <v>GUARDIAN</v>
      </c>
      <c r="G1590" s="2">
        <v>2648.88</v>
      </c>
      <c r="H1590" t="str">
        <f t="shared" si="16"/>
        <v>GUARDIAN</v>
      </c>
    </row>
    <row r="1591" spans="5:8" x14ac:dyDescent="0.25">
      <c r="E1591" t="str">
        <f>""</f>
        <v/>
      </c>
      <c r="F1591" t="str">
        <f>""</f>
        <v/>
      </c>
      <c r="H1591" t="str">
        <f t="shared" si="16"/>
        <v>GUARDIAN</v>
      </c>
    </row>
    <row r="1592" spans="5:8" x14ac:dyDescent="0.25">
      <c r="E1592" t="str">
        <f>""</f>
        <v/>
      </c>
      <c r="F1592" t="str">
        <f>""</f>
        <v/>
      </c>
      <c r="H1592" t="str">
        <f t="shared" si="16"/>
        <v>GUARDIAN</v>
      </c>
    </row>
    <row r="1593" spans="5:8" x14ac:dyDescent="0.25">
      <c r="E1593" t="str">
        <f>""</f>
        <v/>
      </c>
      <c r="F1593" t="str">
        <f>""</f>
        <v/>
      </c>
      <c r="H1593" t="str">
        <f t="shared" si="16"/>
        <v>GUARDIAN</v>
      </c>
    </row>
    <row r="1594" spans="5:8" x14ac:dyDescent="0.25">
      <c r="E1594" t="str">
        <f>""</f>
        <v/>
      </c>
      <c r="F1594" t="str">
        <f>""</f>
        <v/>
      </c>
      <c r="H1594" t="str">
        <f t="shared" si="16"/>
        <v>GUARDIAN</v>
      </c>
    </row>
    <row r="1595" spans="5:8" x14ac:dyDescent="0.25">
      <c r="E1595" t="str">
        <f>""</f>
        <v/>
      </c>
      <c r="F1595" t="str">
        <f>""</f>
        <v/>
      </c>
      <c r="H1595" t="str">
        <f t="shared" si="16"/>
        <v>GUARDIAN</v>
      </c>
    </row>
    <row r="1596" spans="5:8" x14ac:dyDescent="0.25">
      <c r="E1596" t="str">
        <f>""</f>
        <v/>
      </c>
      <c r="F1596" t="str">
        <f>""</f>
        <v/>
      </c>
      <c r="H1596" t="str">
        <f t="shared" si="16"/>
        <v>GUARDIAN</v>
      </c>
    </row>
    <row r="1597" spans="5:8" x14ac:dyDescent="0.25">
      <c r="E1597" t="str">
        <f>""</f>
        <v/>
      </c>
      <c r="F1597" t="str">
        <f>""</f>
        <v/>
      </c>
      <c r="H1597" t="str">
        <f t="shared" si="16"/>
        <v>GUARDIAN</v>
      </c>
    </row>
    <row r="1598" spans="5:8" x14ac:dyDescent="0.25">
      <c r="E1598" t="str">
        <f>""</f>
        <v/>
      </c>
      <c r="F1598" t="str">
        <f>""</f>
        <v/>
      </c>
      <c r="H1598" t="str">
        <f t="shared" si="16"/>
        <v>GUARDIAN</v>
      </c>
    </row>
    <row r="1599" spans="5:8" x14ac:dyDescent="0.25">
      <c r="E1599" t="str">
        <f>""</f>
        <v/>
      </c>
      <c r="F1599" t="str">
        <f>""</f>
        <v/>
      </c>
      <c r="H1599" t="str">
        <f t="shared" si="16"/>
        <v>GUARDIAN</v>
      </c>
    </row>
    <row r="1600" spans="5:8" x14ac:dyDescent="0.25">
      <c r="E1600" t="str">
        <f>""</f>
        <v/>
      </c>
      <c r="F1600" t="str">
        <f>""</f>
        <v/>
      </c>
      <c r="H1600" t="str">
        <f t="shared" si="16"/>
        <v>GUARDIAN</v>
      </c>
    </row>
    <row r="1601" spans="5:8" x14ac:dyDescent="0.25">
      <c r="E1601" t="str">
        <f>""</f>
        <v/>
      </c>
      <c r="F1601" t="str">
        <f>""</f>
        <v/>
      </c>
      <c r="H1601" t="str">
        <f t="shared" si="16"/>
        <v>GUARDIAN</v>
      </c>
    </row>
    <row r="1602" spans="5:8" x14ac:dyDescent="0.25">
      <c r="E1602" t="str">
        <f>""</f>
        <v/>
      </c>
      <c r="F1602" t="str">
        <f>""</f>
        <v/>
      </c>
      <c r="H1602" t="str">
        <f t="shared" si="16"/>
        <v>GUARDIAN</v>
      </c>
    </row>
    <row r="1603" spans="5:8" x14ac:dyDescent="0.25">
      <c r="E1603" t="str">
        <f>""</f>
        <v/>
      </c>
      <c r="F1603" t="str">
        <f>""</f>
        <v/>
      </c>
      <c r="H1603" t="str">
        <f t="shared" si="16"/>
        <v>GUARDIAN</v>
      </c>
    </row>
    <row r="1604" spans="5:8" x14ac:dyDescent="0.25">
      <c r="E1604" t="str">
        <f>""</f>
        <v/>
      </c>
      <c r="F1604" t="str">
        <f>""</f>
        <v/>
      </c>
      <c r="H1604" t="str">
        <f t="shared" si="16"/>
        <v>GUARDIAN</v>
      </c>
    </row>
    <row r="1605" spans="5:8" x14ac:dyDescent="0.25">
      <c r="E1605" t="str">
        <f>""</f>
        <v/>
      </c>
      <c r="F1605" t="str">
        <f>""</f>
        <v/>
      </c>
      <c r="H1605" t="str">
        <f t="shared" si="16"/>
        <v>GUARDIAN</v>
      </c>
    </row>
    <row r="1606" spans="5:8" x14ac:dyDescent="0.25">
      <c r="E1606" t="str">
        <f>""</f>
        <v/>
      </c>
      <c r="F1606" t="str">
        <f>""</f>
        <v/>
      </c>
      <c r="H1606" t="str">
        <f t="shared" si="16"/>
        <v>GUARDIAN</v>
      </c>
    </row>
    <row r="1607" spans="5:8" x14ac:dyDescent="0.25">
      <c r="E1607" t="str">
        <f>""</f>
        <v/>
      </c>
      <c r="F1607" t="str">
        <f>""</f>
        <v/>
      </c>
      <c r="H1607" t="str">
        <f t="shared" si="16"/>
        <v>GUARDIAN</v>
      </c>
    </row>
    <row r="1608" spans="5:8" x14ac:dyDescent="0.25">
      <c r="E1608" t="str">
        <f>""</f>
        <v/>
      </c>
      <c r="F1608" t="str">
        <f>""</f>
        <v/>
      </c>
      <c r="H1608" t="str">
        <f t="shared" si="16"/>
        <v>GUARDIAN</v>
      </c>
    </row>
    <row r="1609" spans="5:8" x14ac:dyDescent="0.25">
      <c r="E1609" t="str">
        <f>""</f>
        <v/>
      </c>
      <c r="F1609" t="str">
        <f>""</f>
        <v/>
      </c>
      <c r="H1609" t="str">
        <f t="shared" si="16"/>
        <v>GUARDIAN</v>
      </c>
    </row>
    <row r="1610" spans="5:8" x14ac:dyDescent="0.25">
      <c r="E1610" t="str">
        <f>""</f>
        <v/>
      </c>
      <c r="F1610" t="str">
        <f>""</f>
        <v/>
      </c>
      <c r="H1610" t="str">
        <f t="shared" ref="H1610:H1673" si="17">"GUARDIAN"</f>
        <v>GUARDIAN</v>
      </c>
    </row>
    <row r="1611" spans="5:8" x14ac:dyDescent="0.25">
      <c r="E1611" t="str">
        <f>""</f>
        <v/>
      </c>
      <c r="F1611" t="str">
        <f>""</f>
        <v/>
      </c>
      <c r="H1611" t="str">
        <f t="shared" si="17"/>
        <v>GUARDIAN</v>
      </c>
    </row>
    <row r="1612" spans="5:8" x14ac:dyDescent="0.25">
      <c r="E1612" t="str">
        <f>""</f>
        <v/>
      </c>
      <c r="F1612" t="str">
        <f>""</f>
        <v/>
      </c>
      <c r="H1612" t="str">
        <f t="shared" si="17"/>
        <v>GUARDIAN</v>
      </c>
    </row>
    <row r="1613" spans="5:8" x14ac:dyDescent="0.25">
      <c r="E1613" t="str">
        <f>""</f>
        <v/>
      </c>
      <c r="F1613" t="str">
        <f>""</f>
        <v/>
      </c>
      <c r="H1613" t="str">
        <f t="shared" si="17"/>
        <v>GUARDIAN</v>
      </c>
    </row>
    <row r="1614" spans="5:8" x14ac:dyDescent="0.25">
      <c r="E1614" t="str">
        <f>""</f>
        <v/>
      </c>
      <c r="F1614" t="str">
        <f>""</f>
        <v/>
      </c>
      <c r="H1614" t="str">
        <f t="shared" si="17"/>
        <v>GUARDIAN</v>
      </c>
    </row>
    <row r="1615" spans="5:8" x14ac:dyDescent="0.25">
      <c r="E1615" t="str">
        <f>""</f>
        <v/>
      </c>
      <c r="F1615" t="str">
        <f>""</f>
        <v/>
      </c>
      <c r="H1615" t="str">
        <f t="shared" si="17"/>
        <v>GUARDIAN</v>
      </c>
    </row>
    <row r="1616" spans="5:8" x14ac:dyDescent="0.25">
      <c r="E1616" t="str">
        <f>""</f>
        <v/>
      </c>
      <c r="F1616" t="str">
        <f>""</f>
        <v/>
      </c>
      <c r="H1616" t="str">
        <f t="shared" si="17"/>
        <v>GUARDIAN</v>
      </c>
    </row>
    <row r="1617" spans="5:8" x14ac:dyDescent="0.25">
      <c r="E1617" t="str">
        <f>""</f>
        <v/>
      </c>
      <c r="F1617" t="str">
        <f>""</f>
        <v/>
      </c>
      <c r="H1617" t="str">
        <f t="shared" si="17"/>
        <v>GUARDIAN</v>
      </c>
    </row>
    <row r="1618" spans="5:8" x14ac:dyDescent="0.25">
      <c r="E1618" t="str">
        <f>""</f>
        <v/>
      </c>
      <c r="F1618" t="str">
        <f>""</f>
        <v/>
      </c>
      <c r="H1618" t="str">
        <f t="shared" si="17"/>
        <v>GUARDIAN</v>
      </c>
    </row>
    <row r="1619" spans="5:8" x14ac:dyDescent="0.25">
      <c r="E1619" t="str">
        <f>""</f>
        <v/>
      </c>
      <c r="F1619" t="str">
        <f>""</f>
        <v/>
      </c>
      <c r="H1619" t="str">
        <f t="shared" si="17"/>
        <v>GUARDIAN</v>
      </c>
    </row>
    <row r="1620" spans="5:8" x14ac:dyDescent="0.25">
      <c r="E1620" t="str">
        <f>""</f>
        <v/>
      </c>
      <c r="F1620" t="str">
        <f>""</f>
        <v/>
      </c>
      <c r="H1620" t="str">
        <f t="shared" si="17"/>
        <v>GUARDIAN</v>
      </c>
    </row>
    <row r="1621" spans="5:8" x14ac:dyDescent="0.25">
      <c r="E1621" t="str">
        <f>"GDC201909181934"</f>
        <v>GDC201909181934</v>
      </c>
      <c r="F1621" t="str">
        <f>"GUARDIAN"</f>
        <v>GUARDIAN</v>
      </c>
      <c r="G1621" s="2">
        <v>135.84</v>
      </c>
      <c r="H1621" t="str">
        <f t="shared" si="17"/>
        <v>GUARDIAN</v>
      </c>
    </row>
    <row r="1622" spans="5:8" x14ac:dyDescent="0.25">
      <c r="E1622" t="str">
        <f>""</f>
        <v/>
      </c>
      <c r="F1622" t="str">
        <f>""</f>
        <v/>
      </c>
      <c r="H1622" t="str">
        <f t="shared" si="17"/>
        <v>GUARDIAN</v>
      </c>
    </row>
    <row r="1623" spans="5:8" x14ac:dyDescent="0.25">
      <c r="E1623" t="str">
        <f>"GDE201909031425"</f>
        <v>GDE201909031425</v>
      </c>
      <c r="F1623" t="str">
        <f>"GUARDIAN"</f>
        <v>GUARDIAN</v>
      </c>
      <c r="G1623" s="2">
        <v>4309.2</v>
      </c>
      <c r="H1623" t="str">
        <f t="shared" si="17"/>
        <v>GUARDIAN</v>
      </c>
    </row>
    <row r="1624" spans="5:8" x14ac:dyDescent="0.25">
      <c r="E1624" t="str">
        <f>""</f>
        <v/>
      </c>
      <c r="F1624" t="str">
        <f>""</f>
        <v/>
      </c>
      <c r="H1624" t="str">
        <f t="shared" si="17"/>
        <v>GUARDIAN</v>
      </c>
    </row>
    <row r="1625" spans="5:8" x14ac:dyDescent="0.25">
      <c r="E1625" t="str">
        <f>""</f>
        <v/>
      </c>
      <c r="F1625" t="str">
        <f>""</f>
        <v/>
      </c>
      <c r="H1625" t="str">
        <f t="shared" si="17"/>
        <v>GUARDIAN</v>
      </c>
    </row>
    <row r="1626" spans="5:8" x14ac:dyDescent="0.25">
      <c r="E1626" t="str">
        <f>""</f>
        <v/>
      </c>
      <c r="F1626" t="str">
        <f>""</f>
        <v/>
      </c>
      <c r="H1626" t="str">
        <f t="shared" si="17"/>
        <v>GUARDIAN</v>
      </c>
    </row>
    <row r="1627" spans="5:8" x14ac:dyDescent="0.25">
      <c r="E1627" t="str">
        <f>""</f>
        <v/>
      </c>
      <c r="F1627" t="str">
        <f>""</f>
        <v/>
      </c>
      <c r="H1627" t="str">
        <f t="shared" si="17"/>
        <v>GUARDIAN</v>
      </c>
    </row>
    <row r="1628" spans="5:8" x14ac:dyDescent="0.25">
      <c r="E1628" t="str">
        <f>""</f>
        <v/>
      </c>
      <c r="F1628" t="str">
        <f>""</f>
        <v/>
      </c>
      <c r="H1628" t="str">
        <f t="shared" si="17"/>
        <v>GUARDIAN</v>
      </c>
    </row>
    <row r="1629" spans="5:8" x14ac:dyDescent="0.25">
      <c r="E1629" t="str">
        <f>""</f>
        <v/>
      </c>
      <c r="F1629" t="str">
        <f>""</f>
        <v/>
      </c>
      <c r="H1629" t="str">
        <f t="shared" si="17"/>
        <v>GUARDIAN</v>
      </c>
    </row>
    <row r="1630" spans="5:8" x14ac:dyDescent="0.25">
      <c r="E1630" t="str">
        <f>""</f>
        <v/>
      </c>
      <c r="F1630" t="str">
        <f>""</f>
        <v/>
      </c>
      <c r="H1630" t="str">
        <f t="shared" si="17"/>
        <v>GUARDIAN</v>
      </c>
    </row>
    <row r="1631" spans="5:8" x14ac:dyDescent="0.25">
      <c r="E1631" t="str">
        <f>""</f>
        <v/>
      </c>
      <c r="F1631" t="str">
        <f>""</f>
        <v/>
      </c>
      <c r="H1631" t="str">
        <f t="shared" si="17"/>
        <v>GUARDIAN</v>
      </c>
    </row>
    <row r="1632" spans="5:8" x14ac:dyDescent="0.25">
      <c r="E1632" t="str">
        <f>""</f>
        <v/>
      </c>
      <c r="F1632" t="str">
        <f>""</f>
        <v/>
      </c>
      <c r="H1632" t="str">
        <f t="shared" si="17"/>
        <v>GUARDIAN</v>
      </c>
    </row>
    <row r="1633" spans="5:8" x14ac:dyDescent="0.25">
      <c r="E1633" t="str">
        <f>""</f>
        <v/>
      </c>
      <c r="F1633" t="str">
        <f>""</f>
        <v/>
      </c>
      <c r="H1633" t="str">
        <f t="shared" si="17"/>
        <v>GUARDIAN</v>
      </c>
    </row>
    <row r="1634" spans="5:8" x14ac:dyDescent="0.25">
      <c r="E1634" t="str">
        <f>""</f>
        <v/>
      </c>
      <c r="F1634" t="str">
        <f>""</f>
        <v/>
      </c>
      <c r="H1634" t="str">
        <f t="shared" si="17"/>
        <v>GUARDIAN</v>
      </c>
    </row>
    <row r="1635" spans="5:8" x14ac:dyDescent="0.25">
      <c r="E1635" t="str">
        <f>""</f>
        <v/>
      </c>
      <c r="F1635" t="str">
        <f>""</f>
        <v/>
      </c>
      <c r="H1635" t="str">
        <f t="shared" si="17"/>
        <v>GUARDIAN</v>
      </c>
    </row>
    <row r="1636" spans="5:8" x14ac:dyDescent="0.25">
      <c r="E1636" t="str">
        <f>""</f>
        <v/>
      </c>
      <c r="F1636" t="str">
        <f>""</f>
        <v/>
      </c>
      <c r="H1636" t="str">
        <f t="shared" si="17"/>
        <v>GUARDIAN</v>
      </c>
    </row>
    <row r="1637" spans="5:8" x14ac:dyDescent="0.25">
      <c r="E1637" t="str">
        <f>""</f>
        <v/>
      </c>
      <c r="F1637" t="str">
        <f>""</f>
        <v/>
      </c>
      <c r="H1637" t="str">
        <f t="shared" si="17"/>
        <v>GUARDIAN</v>
      </c>
    </row>
    <row r="1638" spans="5:8" x14ac:dyDescent="0.25">
      <c r="E1638" t="str">
        <f>""</f>
        <v/>
      </c>
      <c r="F1638" t="str">
        <f>""</f>
        <v/>
      </c>
      <c r="H1638" t="str">
        <f t="shared" si="17"/>
        <v>GUARDIAN</v>
      </c>
    </row>
    <row r="1639" spans="5:8" x14ac:dyDescent="0.25">
      <c r="E1639" t="str">
        <f>""</f>
        <v/>
      </c>
      <c r="F1639" t="str">
        <f>""</f>
        <v/>
      </c>
      <c r="H1639" t="str">
        <f t="shared" si="17"/>
        <v>GUARDIAN</v>
      </c>
    </row>
    <row r="1640" spans="5:8" x14ac:dyDescent="0.25">
      <c r="E1640" t="str">
        <f>""</f>
        <v/>
      </c>
      <c r="F1640" t="str">
        <f>""</f>
        <v/>
      </c>
      <c r="H1640" t="str">
        <f t="shared" si="17"/>
        <v>GUARDIAN</v>
      </c>
    </row>
    <row r="1641" spans="5:8" x14ac:dyDescent="0.25">
      <c r="E1641" t="str">
        <f>""</f>
        <v/>
      </c>
      <c r="F1641" t="str">
        <f>""</f>
        <v/>
      </c>
      <c r="H1641" t="str">
        <f t="shared" si="17"/>
        <v>GUARDIAN</v>
      </c>
    </row>
    <row r="1642" spans="5:8" x14ac:dyDescent="0.25">
      <c r="E1642" t="str">
        <f>""</f>
        <v/>
      </c>
      <c r="F1642" t="str">
        <f>""</f>
        <v/>
      </c>
      <c r="H1642" t="str">
        <f t="shared" si="17"/>
        <v>GUARDIAN</v>
      </c>
    </row>
    <row r="1643" spans="5:8" x14ac:dyDescent="0.25">
      <c r="E1643" t="str">
        <f>""</f>
        <v/>
      </c>
      <c r="F1643" t="str">
        <f>""</f>
        <v/>
      </c>
      <c r="H1643" t="str">
        <f t="shared" si="17"/>
        <v>GUARDIAN</v>
      </c>
    </row>
    <row r="1644" spans="5:8" x14ac:dyDescent="0.25">
      <c r="E1644" t="str">
        <f>""</f>
        <v/>
      </c>
      <c r="F1644" t="str">
        <f>""</f>
        <v/>
      </c>
      <c r="H1644" t="str">
        <f t="shared" si="17"/>
        <v>GUARDIAN</v>
      </c>
    </row>
    <row r="1645" spans="5:8" x14ac:dyDescent="0.25">
      <c r="E1645" t="str">
        <f>""</f>
        <v/>
      </c>
      <c r="F1645" t="str">
        <f>""</f>
        <v/>
      </c>
      <c r="H1645" t="str">
        <f t="shared" si="17"/>
        <v>GUARDIAN</v>
      </c>
    </row>
    <row r="1646" spans="5:8" x14ac:dyDescent="0.25">
      <c r="E1646" t="str">
        <f>""</f>
        <v/>
      </c>
      <c r="F1646" t="str">
        <f>""</f>
        <v/>
      </c>
      <c r="H1646" t="str">
        <f t="shared" si="17"/>
        <v>GUARDIAN</v>
      </c>
    </row>
    <row r="1647" spans="5:8" x14ac:dyDescent="0.25">
      <c r="E1647" t="str">
        <f>""</f>
        <v/>
      </c>
      <c r="F1647" t="str">
        <f>""</f>
        <v/>
      </c>
      <c r="H1647" t="str">
        <f t="shared" si="17"/>
        <v>GUARDIAN</v>
      </c>
    </row>
    <row r="1648" spans="5:8" x14ac:dyDescent="0.25">
      <c r="E1648" t="str">
        <f>""</f>
        <v/>
      </c>
      <c r="F1648" t="str">
        <f>""</f>
        <v/>
      </c>
      <c r="H1648" t="str">
        <f t="shared" si="17"/>
        <v>GUARDIAN</v>
      </c>
    </row>
    <row r="1649" spans="5:8" x14ac:dyDescent="0.25">
      <c r="E1649" t="str">
        <f>""</f>
        <v/>
      </c>
      <c r="F1649" t="str">
        <f>""</f>
        <v/>
      </c>
      <c r="H1649" t="str">
        <f t="shared" si="17"/>
        <v>GUARDIAN</v>
      </c>
    </row>
    <row r="1650" spans="5:8" x14ac:dyDescent="0.25">
      <c r="E1650" t="str">
        <f>""</f>
        <v/>
      </c>
      <c r="F1650" t="str">
        <f>""</f>
        <v/>
      </c>
      <c r="H1650" t="str">
        <f t="shared" si="17"/>
        <v>GUARDIAN</v>
      </c>
    </row>
    <row r="1651" spans="5:8" x14ac:dyDescent="0.25">
      <c r="E1651" t="str">
        <f>""</f>
        <v/>
      </c>
      <c r="F1651" t="str">
        <f>""</f>
        <v/>
      </c>
      <c r="H1651" t="str">
        <f t="shared" si="17"/>
        <v>GUARDIAN</v>
      </c>
    </row>
    <row r="1652" spans="5:8" x14ac:dyDescent="0.25">
      <c r="E1652" t="str">
        <f>""</f>
        <v/>
      </c>
      <c r="F1652" t="str">
        <f>""</f>
        <v/>
      </c>
      <c r="H1652" t="str">
        <f t="shared" si="17"/>
        <v>GUARDIAN</v>
      </c>
    </row>
    <row r="1653" spans="5:8" x14ac:dyDescent="0.25">
      <c r="E1653" t="str">
        <f>""</f>
        <v/>
      </c>
      <c r="F1653" t="str">
        <f>""</f>
        <v/>
      </c>
      <c r="H1653" t="str">
        <f t="shared" si="17"/>
        <v>GUARDIAN</v>
      </c>
    </row>
    <row r="1654" spans="5:8" x14ac:dyDescent="0.25">
      <c r="E1654" t="str">
        <f>""</f>
        <v/>
      </c>
      <c r="F1654" t="str">
        <f>""</f>
        <v/>
      </c>
      <c r="H1654" t="str">
        <f t="shared" si="17"/>
        <v>GUARDIAN</v>
      </c>
    </row>
    <row r="1655" spans="5:8" x14ac:dyDescent="0.25">
      <c r="E1655" t="str">
        <f>""</f>
        <v/>
      </c>
      <c r="F1655" t="str">
        <f>""</f>
        <v/>
      </c>
      <c r="H1655" t="str">
        <f t="shared" si="17"/>
        <v>GUARDIAN</v>
      </c>
    </row>
    <row r="1656" spans="5:8" x14ac:dyDescent="0.25">
      <c r="E1656" t="str">
        <f>""</f>
        <v/>
      </c>
      <c r="F1656" t="str">
        <f>""</f>
        <v/>
      </c>
      <c r="H1656" t="str">
        <f t="shared" si="17"/>
        <v>GUARDIAN</v>
      </c>
    </row>
    <row r="1657" spans="5:8" x14ac:dyDescent="0.25">
      <c r="E1657" t="str">
        <f>""</f>
        <v/>
      </c>
      <c r="F1657" t="str">
        <f>""</f>
        <v/>
      </c>
      <c r="H1657" t="str">
        <f t="shared" si="17"/>
        <v>GUARDIAN</v>
      </c>
    </row>
    <row r="1658" spans="5:8" x14ac:dyDescent="0.25">
      <c r="E1658" t="str">
        <f>""</f>
        <v/>
      </c>
      <c r="F1658" t="str">
        <f>""</f>
        <v/>
      </c>
      <c r="H1658" t="str">
        <f t="shared" si="17"/>
        <v>GUARDIAN</v>
      </c>
    </row>
    <row r="1659" spans="5:8" x14ac:dyDescent="0.25">
      <c r="E1659" t="str">
        <f>""</f>
        <v/>
      </c>
      <c r="F1659" t="str">
        <f>""</f>
        <v/>
      </c>
      <c r="H1659" t="str">
        <f t="shared" si="17"/>
        <v>GUARDIAN</v>
      </c>
    </row>
    <row r="1660" spans="5:8" x14ac:dyDescent="0.25">
      <c r="E1660" t="str">
        <f>""</f>
        <v/>
      </c>
      <c r="F1660" t="str">
        <f>""</f>
        <v/>
      </c>
      <c r="H1660" t="str">
        <f t="shared" si="17"/>
        <v>GUARDIAN</v>
      </c>
    </row>
    <row r="1661" spans="5:8" x14ac:dyDescent="0.25">
      <c r="E1661" t="str">
        <f>""</f>
        <v/>
      </c>
      <c r="F1661" t="str">
        <f>""</f>
        <v/>
      </c>
      <c r="H1661" t="str">
        <f t="shared" si="17"/>
        <v>GUARDIAN</v>
      </c>
    </row>
    <row r="1662" spans="5:8" x14ac:dyDescent="0.25">
      <c r="E1662" t="str">
        <f>""</f>
        <v/>
      </c>
      <c r="F1662" t="str">
        <f>""</f>
        <v/>
      </c>
      <c r="H1662" t="str">
        <f t="shared" si="17"/>
        <v>GUARDIAN</v>
      </c>
    </row>
    <row r="1663" spans="5:8" x14ac:dyDescent="0.25">
      <c r="E1663" t="str">
        <f>""</f>
        <v/>
      </c>
      <c r="F1663" t="str">
        <f>""</f>
        <v/>
      </c>
      <c r="H1663" t="str">
        <f t="shared" si="17"/>
        <v>GUARDIAN</v>
      </c>
    </row>
    <row r="1664" spans="5:8" x14ac:dyDescent="0.25">
      <c r="E1664" t="str">
        <f>""</f>
        <v/>
      </c>
      <c r="F1664" t="str">
        <f>""</f>
        <v/>
      </c>
      <c r="H1664" t="str">
        <f t="shared" si="17"/>
        <v>GUARDIAN</v>
      </c>
    </row>
    <row r="1665" spans="5:8" x14ac:dyDescent="0.25">
      <c r="E1665" t="str">
        <f>""</f>
        <v/>
      </c>
      <c r="F1665" t="str">
        <f>""</f>
        <v/>
      </c>
      <c r="H1665" t="str">
        <f t="shared" si="17"/>
        <v>GUARDIAN</v>
      </c>
    </row>
    <row r="1666" spans="5:8" x14ac:dyDescent="0.25">
      <c r="E1666" t="str">
        <f>""</f>
        <v/>
      </c>
      <c r="F1666" t="str">
        <f>""</f>
        <v/>
      </c>
      <c r="H1666" t="str">
        <f t="shared" si="17"/>
        <v>GUARDIAN</v>
      </c>
    </row>
    <row r="1667" spans="5:8" x14ac:dyDescent="0.25">
      <c r="E1667" t="str">
        <f>"GDE201909031426"</f>
        <v>GDE201909031426</v>
      </c>
      <c r="F1667" t="str">
        <f>"GUARDIAN"</f>
        <v>GUARDIAN</v>
      </c>
      <c r="G1667" s="2">
        <v>169.29</v>
      </c>
      <c r="H1667" t="str">
        <f t="shared" si="17"/>
        <v>GUARDIAN</v>
      </c>
    </row>
    <row r="1668" spans="5:8" x14ac:dyDescent="0.25">
      <c r="E1668" t="str">
        <f>"GDE201909181931"</f>
        <v>GDE201909181931</v>
      </c>
      <c r="F1668" t="str">
        <f>"GUARDIAN"</f>
        <v>GUARDIAN</v>
      </c>
      <c r="G1668" s="2">
        <v>4278.42</v>
      </c>
      <c r="H1668" t="str">
        <f t="shared" si="17"/>
        <v>GUARDIAN</v>
      </c>
    </row>
    <row r="1669" spans="5:8" x14ac:dyDescent="0.25">
      <c r="E1669" t="str">
        <f>""</f>
        <v/>
      </c>
      <c r="F1669" t="str">
        <f>""</f>
        <v/>
      </c>
      <c r="H1669" t="str">
        <f t="shared" si="17"/>
        <v>GUARDIAN</v>
      </c>
    </row>
    <row r="1670" spans="5:8" x14ac:dyDescent="0.25">
      <c r="E1670" t="str">
        <f>""</f>
        <v/>
      </c>
      <c r="F1670" t="str">
        <f>""</f>
        <v/>
      </c>
      <c r="H1670" t="str">
        <f t="shared" si="17"/>
        <v>GUARDIAN</v>
      </c>
    </row>
    <row r="1671" spans="5:8" x14ac:dyDescent="0.25">
      <c r="E1671" t="str">
        <f>""</f>
        <v/>
      </c>
      <c r="F1671" t="str">
        <f>""</f>
        <v/>
      </c>
      <c r="H1671" t="str">
        <f t="shared" si="17"/>
        <v>GUARDIAN</v>
      </c>
    </row>
    <row r="1672" spans="5:8" x14ac:dyDescent="0.25">
      <c r="E1672" t="str">
        <f>""</f>
        <v/>
      </c>
      <c r="F1672" t="str">
        <f>""</f>
        <v/>
      </c>
      <c r="H1672" t="str">
        <f t="shared" si="17"/>
        <v>GUARDIAN</v>
      </c>
    </row>
    <row r="1673" spans="5:8" x14ac:dyDescent="0.25">
      <c r="E1673" t="str">
        <f>""</f>
        <v/>
      </c>
      <c r="F1673" t="str">
        <f>""</f>
        <v/>
      </c>
      <c r="H1673" t="str">
        <f t="shared" si="17"/>
        <v>GUARDIAN</v>
      </c>
    </row>
    <row r="1674" spans="5:8" x14ac:dyDescent="0.25">
      <c r="E1674" t="str">
        <f>""</f>
        <v/>
      </c>
      <c r="F1674" t="str">
        <f>""</f>
        <v/>
      </c>
      <c r="H1674" t="str">
        <f t="shared" ref="H1674:H1737" si="18">"GUARDIAN"</f>
        <v>GUARDIAN</v>
      </c>
    </row>
    <row r="1675" spans="5:8" x14ac:dyDescent="0.25">
      <c r="E1675" t="str">
        <f>""</f>
        <v/>
      </c>
      <c r="F1675" t="str">
        <f>""</f>
        <v/>
      </c>
      <c r="H1675" t="str">
        <f t="shared" si="18"/>
        <v>GUARDIAN</v>
      </c>
    </row>
    <row r="1676" spans="5:8" x14ac:dyDescent="0.25">
      <c r="E1676" t="str">
        <f>""</f>
        <v/>
      </c>
      <c r="F1676" t="str">
        <f>""</f>
        <v/>
      </c>
      <c r="H1676" t="str">
        <f t="shared" si="18"/>
        <v>GUARDIAN</v>
      </c>
    </row>
    <row r="1677" spans="5:8" x14ac:dyDescent="0.25">
      <c r="E1677" t="str">
        <f>""</f>
        <v/>
      </c>
      <c r="F1677" t="str">
        <f>""</f>
        <v/>
      </c>
      <c r="H1677" t="str">
        <f t="shared" si="18"/>
        <v>GUARDIAN</v>
      </c>
    </row>
    <row r="1678" spans="5:8" x14ac:dyDescent="0.25">
      <c r="E1678" t="str">
        <f>""</f>
        <v/>
      </c>
      <c r="F1678" t="str">
        <f>""</f>
        <v/>
      </c>
      <c r="H1678" t="str">
        <f t="shared" si="18"/>
        <v>GUARDIAN</v>
      </c>
    </row>
    <row r="1679" spans="5:8" x14ac:dyDescent="0.25">
      <c r="E1679" t="str">
        <f>""</f>
        <v/>
      </c>
      <c r="F1679" t="str">
        <f>""</f>
        <v/>
      </c>
      <c r="H1679" t="str">
        <f t="shared" si="18"/>
        <v>GUARDIAN</v>
      </c>
    </row>
    <row r="1680" spans="5:8" x14ac:dyDescent="0.25">
      <c r="E1680" t="str">
        <f>""</f>
        <v/>
      </c>
      <c r="F1680" t="str">
        <f>""</f>
        <v/>
      </c>
      <c r="H1680" t="str">
        <f t="shared" si="18"/>
        <v>GUARDIAN</v>
      </c>
    </row>
    <row r="1681" spans="5:8" x14ac:dyDescent="0.25">
      <c r="E1681" t="str">
        <f>""</f>
        <v/>
      </c>
      <c r="F1681" t="str">
        <f>""</f>
        <v/>
      </c>
      <c r="H1681" t="str">
        <f t="shared" si="18"/>
        <v>GUARDIAN</v>
      </c>
    </row>
    <row r="1682" spans="5:8" x14ac:dyDescent="0.25">
      <c r="E1682" t="str">
        <f>""</f>
        <v/>
      </c>
      <c r="F1682" t="str">
        <f>""</f>
        <v/>
      </c>
      <c r="H1682" t="str">
        <f t="shared" si="18"/>
        <v>GUARDIAN</v>
      </c>
    </row>
    <row r="1683" spans="5:8" x14ac:dyDescent="0.25">
      <c r="E1683" t="str">
        <f>""</f>
        <v/>
      </c>
      <c r="F1683" t="str">
        <f>""</f>
        <v/>
      </c>
      <c r="H1683" t="str">
        <f t="shared" si="18"/>
        <v>GUARDIAN</v>
      </c>
    </row>
    <row r="1684" spans="5:8" x14ac:dyDescent="0.25">
      <c r="E1684" t="str">
        <f>""</f>
        <v/>
      </c>
      <c r="F1684" t="str">
        <f>""</f>
        <v/>
      </c>
      <c r="H1684" t="str">
        <f t="shared" si="18"/>
        <v>GUARDIAN</v>
      </c>
    </row>
    <row r="1685" spans="5:8" x14ac:dyDescent="0.25">
      <c r="E1685" t="str">
        <f>""</f>
        <v/>
      </c>
      <c r="F1685" t="str">
        <f>""</f>
        <v/>
      </c>
      <c r="H1685" t="str">
        <f t="shared" si="18"/>
        <v>GUARDIAN</v>
      </c>
    </row>
    <row r="1686" spans="5:8" x14ac:dyDescent="0.25">
      <c r="E1686" t="str">
        <f>""</f>
        <v/>
      </c>
      <c r="F1686" t="str">
        <f>""</f>
        <v/>
      </c>
      <c r="H1686" t="str">
        <f t="shared" si="18"/>
        <v>GUARDIAN</v>
      </c>
    </row>
    <row r="1687" spans="5:8" x14ac:dyDescent="0.25">
      <c r="E1687" t="str">
        <f>""</f>
        <v/>
      </c>
      <c r="F1687" t="str">
        <f>""</f>
        <v/>
      </c>
      <c r="H1687" t="str">
        <f t="shared" si="18"/>
        <v>GUARDIAN</v>
      </c>
    </row>
    <row r="1688" spans="5:8" x14ac:dyDescent="0.25">
      <c r="E1688" t="str">
        <f>""</f>
        <v/>
      </c>
      <c r="F1688" t="str">
        <f>""</f>
        <v/>
      </c>
      <c r="H1688" t="str">
        <f t="shared" si="18"/>
        <v>GUARDIAN</v>
      </c>
    </row>
    <row r="1689" spans="5:8" x14ac:dyDescent="0.25">
      <c r="E1689" t="str">
        <f>""</f>
        <v/>
      </c>
      <c r="F1689" t="str">
        <f>""</f>
        <v/>
      </c>
      <c r="H1689" t="str">
        <f t="shared" si="18"/>
        <v>GUARDIAN</v>
      </c>
    </row>
    <row r="1690" spans="5:8" x14ac:dyDescent="0.25">
      <c r="E1690" t="str">
        <f>""</f>
        <v/>
      </c>
      <c r="F1690" t="str">
        <f>""</f>
        <v/>
      </c>
      <c r="H1690" t="str">
        <f t="shared" si="18"/>
        <v>GUARDIAN</v>
      </c>
    </row>
    <row r="1691" spans="5:8" x14ac:dyDescent="0.25">
      <c r="E1691" t="str">
        <f>""</f>
        <v/>
      </c>
      <c r="F1691" t="str">
        <f>""</f>
        <v/>
      </c>
      <c r="H1691" t="str">
        <f t="shared" si="18"/>
        <v>GUARDIAN</v>
      </c>
    </row>
    <row r="1692" spans="5:8" x14ac:dyDescent="0.25">
      <c r="E1692" t="str">
        <f>""</f>
        <v/>
      </c>
      <c r="F1692" t="str">
        <f>""</f>
        <v/>
      </c>
      <c r="H1692" t="str">
        <f t="shared" si="18"/>
        <v>GUARDIAN</v>
      </c>
    </row>
    <row r="1693" spans="5:8" x14ac:dyDescent="0.25">
      <c r="E1693" t="str">
        <f>""</f>
        <v/>
      </c>
      <c r="F1693" t="str">
        <f>""</f>
        <v/>
      </c>
      <c r="H1693" t="str">
        <f t="shared" si="18"/>
        <v>GUARDIAN</v>
      </c>
    </row>
    <row r="1694" spans="5:8" x14ac:dyDescent="0.25">
      <c r="E1694" t="str">
        <f>""</f>
        <v/>
      </c>
      <c r="F1694" t="str">
        <f>""</f>
        <v/>
      </c>
      <c r="H1694" t="str">
        <f t="shared" si="18"/>
        <v>GUARDIAN</v>
      </c>
    </row>
    <row r="1695" spans="5:8" x14ac:dyDescent="0.25">
      <c r="E1695" t="str">
        <f>""</f>
        <v/>
      </c>
      <c r="F1695" t="str">
        <f>""</f>
        <v/>
      </c>
      <c r="H1695" t="str">
        <f t="shared" si="18"/>
        <v>GUARDIAN</v>
      </c>
    </row>
    <row r="1696" spans="5:8" x14ac:dyDescent="0.25">
      <c r="E1696" t="str">
        <f>""</f>
        <v/>
      </c>
      <c r="F1696" t="str">
        <f>""</f>
        <v/>
      </c>
      <c r="H1696" t="str">
        <f t="shared" si="18"/>
        <v>GUARDIAN</v>
      </c>
    </row>
    <row r="1697" spans="5:8" x14ac:dyDescent="0.25">
      <c r="E1697" t="str">
        <f>""</f>
        <v/>
      </c>
      <c r="F1697" t="str">
        <f>""</f>
        <v/>
      </c>
      <c r="H1697" t="str">
        <f t="shared" si="18"/>
        <v>GUARDIAN</v>
      </c>
    </row>
    <row r="1698" spans="5:8" x14ac:dyDescent="0.25">
      <c r="E1698" t="str">
        <f>""</f>
        <v/>
      </c>
      <c r="F1698" t="str">
        <f>""</f>
        <v/>
      </c>
      <c r="H1698" t="str">
        <f t="shared" si="18"/>
        <v>GUARDIAN</v>
      </c>
    </row>
    <row r="1699" spans="5:8" x14ac:dyDescent="0.25">
      <c r="E1699" t="str">
        <f>""</f>
        <v/>
      </c>
      <c r="F1699" t="str">
        <f>""</f>
        <v/>
      </c>
      <c r="H1699" t="str">
        <f t="shared" si="18"/>
        <v>GUARDIAN</v>
      </c>
    </row>
    <row r="1700" spans="5:8" x14ac:dyDescent="0.25">
      <c r="E1700" t="str">
        <f>""</f>
        <v/>
      </c>
      <c r="F1700" t="str">
        <f>""</f>
        <v/>
      </c>
      <c r="H1700" t="str">
        <f t="shared" si="18"/>
        <v>GUARDIAN</v>
      </c>
    </row>
    <row r="1701" spans="5:8" x14ac:dyDescent="0.25">
      <c r="E1701" t="str">
        <f>""</f>
        <v/>
      </c>
      <c r="F1701" t="str">
        <f>""</f>
        <v/>
      </c>
      <c r="H1701" t="str">
        <f t="shared" si="18"/>
        <v>GUARDIAN</v>
      </c>
    </row>
    <row r="1702" spans="5:8" x14ac:dyDescent="0.25">
      <c r="E1702" t="str">
        <f>""</f>
        <v/>
      </c>
      <c r="F1702" t="str">
        <f>""</f>
        <v/>
      </c>
      <c r="H1702" t="str">
        <f t="shared" si="18"/>
        <v>GUARDIAN</v>
      </c>
    </row>
    <row r="1703" spans="5:8" x14ac:dyDescent="0.25">
      <c r="E1703" t="str">
        <f>""</f>
        <v/>
      </c>
      <c r="F1703" t="str">
        <f>""</f>
        <v/>
      </c>
      <c r="H1703" t="str">
        <f t="shared" si="18"/>
        <v>GUARDIAN</v>
      </c>
    </row>
    <row r="1704" spans="5:8" x14ac:dyDescent="0.25">
      <c r="E1704" t="str">
        <f>""</f>
        <v/>
      </c>
      <c r="F1704" t="str">
        <f>""</f>
        <v/>
      </c>
      <c r="H1704" t="str">
        <f t="shared" si="18"/>
        <v>GUARDIAN</v>
      </c>
    </row>
    <row r="1705" spans="5:8" x14ac:dyDescent="0.25">
      <c r="E1705" t="str">
        <f>""</f>
        <v/>
      </c>
      <c r="F1705" t="str">
        <f>""</f>
        <v/>
      </c>
      <c r="H1705" t="str">
        <f t="shared" si="18"/>
        <v>GUARDIAN</v>
      </c>
    </row>
    <row r="1706" spans="5:8" x14ac:dyDescent="0.25">
      <c r="E1706" t="str">
        <f>""</f>
        <v/>
      </c>
      <c r="F1706" t="str">
        <f>""</f>
        <v/>
      </c>
      <c r="H1706" t="str">
        <f t="shared" si="18"/>
        <v>GUARDIAN</v>
      </c>
    </row>
    <row r="1707" spans="5:8" x14ac:dyDescent="0.25">
      <c r="E1707" t="str">
        <f>""</f>
        <v/>
      </c>
      <c r="F1707" t="str">
        <f>""</f>
        <v/>
      </c>
      <c r="H1707" t="str">
        <f t="shared" si="18"/>
        <v>GUARDIAN</v>
      </c>
    </row>
    <row r="1708" spans="5:8" x14ac:dyDescent="0.25">
      <c r="E1708" t="str">
        <f>""</f>
        <v/>
      </c>
      <c r="F1708" t="str">
        <f>""</f>
        <v/>
      </c>
      <c r="H1708" t="str">
        <f t="shared" si="18"/>
        <v>GUARDIAN</v>
      </c>
    </row>
    <row r="1709" spans="5:8" x14ac:dyDescent="0.25">
      <c r="E1709" t="str">
        <f>""</f>
        <v/>
      </c>
      <c r="F1709" t="str">
        <f>""</f>
        <v/>
      </c>
      <c r="H1709" t="str">
        <f t="shared" si="18"/>
        <v>GUARDIAN</v>
      </c>
    </row>
    <row r="1710" spans="5:8" x14ac:dyDescent="0.25">
      <c r="E1710" t="str">
        <f>""</f>
        <v/>
      </c>
      <c r="F1710" t="str">
        <f>""</f>
        <v/>
      </c>
      <c r="H1710" t="str">
        <f t="shared" si="18"/>
        <v>GUARDIAN</v>
      </c>
    </row>
    <row r="1711" spans="5:8" x14ac:dyDescent="0.25">
      <c r="E1711" t="str">
        <f>""</f>
        <v/>
      </c>
      <c r="F1711" t="str">
        <f>""</f>
        <v/>
      </c>
      <c r="H1711" t="str">
        <f t="shared" si="18"/>
        <v>GUARDIAN</v>
      </c>
    </row>
    <row r="1712" spans="5:8" x14ac:dyDescent="0.25">
      <c r="E1712" t="str">
        <f>"GDE201909181934"</f>
        <v>GDE201909181934</v>
      </c>
      <c r="F1712" t="str">
        <f>"GUARDIAN"</f>
        <v>GUARDIAN</v>
      </c>
      <c r="G1712" s="2">
        <v>169.29</v>
      </c>
      <c r="H1712" t="str">
        <f t="shared" si="18"/>
        <v>GUARDIAN</v>
      </c>
    </row>
    <row r="1713" spans="5:8" x14ac:dyDescent="0.25">
      <c r="E1713" t="str">
        <f>"GDF201909031425"</f>
        <v>GDF201909031425</v>
      </c>
      <c r="F1713" t="str">
        <f>"GUARDIAN"</f>
        <v>GUARDIAN</v>
      </c>
      <c r="G1713" s="2">
        <v>2209.2399999999998</v>
      </c>
      <c r="H1713" t="str">
        <f t="shared" si="18"/>
        <v>GUARDIAN</v>
      </c>
    </row>
    <row r="1714" spans="5:8" x14ac:dyDescent="0.25">
      <c r="E1714" t="str">
        <f>""</f>
        <v/>
      </c>
      <c r="F1714" t="str">
        <f>""</f>
        <v/>
      </c>
      <c r="H1714" t="str">
        <f t="shared" si="18"/>
        <v>GUARDIAN</v>
      </c>
    </row>
    <row r="1715" spans="5:8" x14ac:dyDescent="0.25">
      <c r="E1715" t="str">
        <f>""</f>
        <v/>
      </c>
      <c r="F1715" t="str">
        <f>""</f>
        <v/>
      </c>
      <c r="H1715" t="str">
        <f t="shared" si="18"/>
        <v>GUARDIAN</v>
      </c>
    </row>
    <row r="1716" spans="5:8" x14ac:dyDescent="0.25">
      <c r="E1716" t="str">
        <f>""</f>
        <v/>
      </c>
      <c r="F1716" t="str">
        <f>""</f>
        <v/>
      </c>
      <c r="H1716" t="str">
        <f t="shared" si="18"/>
        <v>GUARDIAN</v>
      </c>
    </row>
    <row r="1717" spans="5:8" x14ac:dyDescent="0.25">
      <c r="E1717" t="str">
        <f>""</f>
        <v/>
      </c>
      <c r="F1717" t="str">
        <f>""</f>
        <v/>
      </c>
      <c r="H1717" t="str">
        <f t="shared" si="18"/>
        <v>GUARDIAN</v>
      </c>
    </row>
    <row r="1718" spans="5:8" x14ac:dyDescent="0.25">
      <c r="E1718" t="str">
        <f>""</f>
        <v/>
      </c>
      <c r="F1718" t="str">
        <f>""</f>
        <v/>
      </c>
      <c r="H1718" t="str">
        <f t="shared" si="18"/>
        <v>GUARDIAN</v>
      </c>
    </row>
    <row r="1719" spans="5:8" x14ac:dyDescent="0.25">
      <c r="E1719" t="str">
        <f>""</f>
        <v/>
      </c>
      <c r="F1719" t="str">
        <f>""</f>
        <v/>
      </c>
      <c r="H1719" t="str">
        <f t="shared" si="18"/>
        <v>GUARDIAN</v>
      </c>
    </row>
    <row r="1720" spans="5:8" x14ac:dyDescent="0.25">
      <c r="E1720" t="str">
        <f>""</f>
        <v/>
      </c>
      <c r="F1720" t="str">
        <f>""</f>
        <v/>
      </c>
      <c r="H1720" t="str">
        <f t="shared" si="18"/>
        <v>GUARDIAN</v>
      </c>
    </row>
    <row r="1721" spans="5:8" x14ac:dyDescent="0.25">
      <c r="E1721" t="str">
        <f>""</f>
        <v/>
      </c>
      <c r="F1721" t="str">
        <f>""</f>
        <v/>
      </c>
      <c r="H1721" t="str">
        <f t="shared" si="18"/>
        <v>GUARDIAN</v>
      </c>
    </row>
    <row r="1722" spans="5:8" x14ac:dyDescent="0.25">
      <c r="E1722" t="str">
        <f>""</f>
        <v/>
      </c>
      <c r="F1722" t="str">
        <f>""</f>
        <v/>
      </c>
      <c r="H1722" t="str">
        <f t="shared" si="18"/>
        <v>GUARDIAN</v>
      </c>
    </row>
    <row r="1723" spans="5:8" x14ac:dyDescent="0.25">
      <c r="E1723" t="str">
        <f>""</f>
        <v/>
      </c>
      <c r="F1723" t="str">
        <f>""</f>
        <v/>
      </c>
      <c r="H1723" t="str">
        <f t="shared" si="18"/>
        <v>GUARDIAN</v>
      </c>
    </row>
    <row r="1724" spans="5:8" x14ac:dyDescent="0.25">
      <c r="E1724" t="str">
        <f>""</f>
        <v/>
      </c>
      <c r="F1724" t="str">
        <f>""</f>
        <v/>
      </c>
      <c r="H1724" t="str">
        <f t="shared" si="18"/>
        <v>GUARDIAN</v>
      </c>
    </row>
    <row r="1725" spans="5:8" x14ac:dyDescent="0.25">
      <c r="E1725" t="str">
        <f>""</f>
        <v/>
      </c>
      <c r="F1725" t="str">
        <f>""</f>
        <v/>
      </c>
      <c r="H1725" t="str">
        <f t="shared" si="18"/>
        <v>GUARDIAN</v>
      </c>
    </row>
    <row r="1726" spans="5:8" x14ac:dyDescent="0.25">
      <c r="E1726" t="str">
        <f>""</f>
        <v/>
      </c>
      <c r="F1726" t="str">
        <f>""</f>
        <v/>
      </c>
      <c r="H1726" t="str">
        <f t="shared" si="18"/>
        <v>GUARDIAN</v>
      </c>
    </row>
    <row r="1727" spans="5:8" x14ac:dyDescent="0.25">
      <c r="E1727" t="str">
        <f>""</f>
        <v/>
      </c>
      <c r="F1727" t="str">
        <f>""</f>
        <v/>
      </c>
      <c r="H1727" t="str">
        <f t="shared" si="18"/>
        <v>GUARDIAN</v>
      </c>
    </row>
    <row r="1728" spans="5:8" x14ac:dyDescent="0.25">
      <c r="E1728" t="str">
        <f>""</f>
        <v/>
      </c>
      <c r="F1728" t="str">
        <f>""</f>
        <v/>
      </c>
      <c r="H1728" t="str">
        <f t="shared" si="18"/>
        <v>GUARDIAN</v>
      </c>
    </row>
    <row r="1729" spans="5:8" x14ac:dyDescent="0.25">
      <c r="E1729" t="str">
        <f>""</f>
        <v/>
      </c>
      <c r="F1729" t="str">
        <f>""</f>
        <v/>
      </c>
      <c r="H1729" t="str">
        <f t="shared" si="18"/>
        <v>GUARDIAN</v>
      </c>
    </row>
    <row r="1730" spans="5:8" x14ac:dyDescent="0.25">
      <c r="E1730" t="str">
        <f>""</f>
        <v/>
      </c>
      <c r="F1730" t="str">
        <f>""</f>
        <v/>
      </c>
      <c r="H1730" t="str">
        <f t="shared" si="18"/>
        <v>GUARDIAN</v>
      </c>
    </row>
    <row r="1731" spans="5:8" x14ac:dyDescent="0.25">
      <c r="E1731" t="str">
        <f>""</f>
        <v/>
      </c>
      <c r="F1731" t="str">
        <f>""</f>
        <v/>
      </c>
      <c r="H1731" t="str">
        <f t="shared" si="18"/>
        <v>GUARDIAN</v>
      </c>
    </row>
    <row r="1732" spans="5:8" x14ac:dyDescent="0.25">
      <c r="E1732" t="str">
        <f>"GDF201909031426"</f>
        <v>GDF201909031426</v>
      </c>
      <c r="F1732" t="str">
        <f>"GUARDIAN"</f>
        <v>GUARDIAN</v>
      </c>
      <c r="G1732" s="2">
        <v>100.42</v>
      </c>
      <c r="H1732" t="str">
        <f t="shared" si="18"/>
        <v>GUARDIAN</v>
      </c>
    </row>
    <row r="1733" spans="5:8" x14ac:dyDescent="0.25">
      <c r="E1733" t="str">
        <f>""</f>
        <v/>
      </c>
      <c r="F1733" t="str">
        <f>""</f>
        <v/>
      </c>
      <c r="H1733" t="str">
        <f t="shared" si="18"/>
        <v>GUARDIAN</v>
      </c>
    </row>
    <row r="1734" spans="5:8" x14ac:dyDescent="0.25">
      <c r="E1734" t="str">
        <f>"GDF201909181931"</f>
        <v>GDF201909181931</v>
      </c>
      <c r="F1734" t="str">
        <f>"GUARDIAN"</f>
        <v>GUARDIAN</v>
      </c>
      <c r="G1734" s="2">
        <v>2209.2399999999998</v>
      </c>
      <c r="H1734" t="str">
        <f t="shared" si="18"/>
        <v>GUARDIAN</v>
      </c>
    </row>
    <row r="1735" spans="5:8" x14ac:dyDescent="0.25">
      <c r="E1735" t="str">
        <f>""</f>
        <v/>
      </c>
      <c r="F1735" t="str">
        <f>""</f>
        <v/>
      </c>
      <c r="H1735" t="str">
        <f t="shared" si="18"/>
        <v>GUARDIAN</v>
      </c>
    </row>
    <row r="1736" spans="5:8" x14ac:dyDescent="0.25">
      <c r="E1736" t="str">
        <f>""</f>
        <v/>
      </c>
      <c r="F1736" t="str">
        <f>""</f>
        <v/>
      </c>
      <c r="H1736" t="str">
        <f t="shared" si="18"/>
        <v>GUARDIAN</v>
      </c>
    </row>
    <row r="1737" spans="5:8" x14ac:dyDescent="0.25">
      <c r="E1737" t="str">
        <f>""</f>
        <v/>
      </c>
      <c r="F1737" t="str">
        <f>""</f>
        <v/>
      </c>
      <c r="H1737" t="str">
        <f t="shared" si="18"/>
        <v>GUARDIAN</v>
      </c>
    </row>
    <row r="1738" spans="5:8" x14ac:dyDescent="0.25">
      <c r="E1738" t="str">
        <f>""</f>
        <v/>
      </c>
      <c r="F1738" t="str">
        <f>""</f>
        <v/>
      </c>
      <c r="H1738" t="str">
        <f t="shared" ref="H1738:H1806" si="19">"GUARDIAN"</f>
        <v>GUARDIAN</v>
      </c>
    </row>
    <row r="1739" spans="5:8" x14ac:dyDescent="0.25">
      <c r="E1739" t="str">
        <f>""</f>
        <v/>
      </c>
      <c r="F1739" t="str">
        <f>""</f>
        <v/>
      </c>
      <c r="H1739" t="str">
        <f t="shared" si="19"/>
        <v>GUARDIAN</v>
      </c>
    </row>
    <row r="1740" spans="5:8" x14ac:dyDescent="0.25">
      <c r="E1740" t="str">
        <f>""</f>
        <v/>
      </c>
      <c r="F1740" t="str">
        <f>""</f>
        <v/>
      </c>
      <c r="H1740" t="str">
        <f t="shared" si="19"/>
        <v>GUARDIAN</v>
      </c>
    </row>
    <row r="1741" spans="5:8" x14ac:dyDescent="0.25">
      <c r="E1741" t="str">
        <f>""</f>
        <v/>
      </c>
      <c r="F1741" t="str">
        <f>""</f>
        <v/>
      </c>
      <c r="H1741" t="str">
        <f t="shared" si="19"/>
        <v>GUARDIAN</v>
      </c>
    </row>
    <row r="1742" spans="5:8" x14ac:dyDescent="0.25">
      <c r="E1742" t="str">
        <f>""</f>
        <v/>
      </c>
      <c r="F1742" t="str">
        <f>""</f>
        <v/>
      </c>
      <c r="H1742" t="str">
        <f t="shared" si="19"/>
        <v>GUARDIAN</v>
      </c>
    </row>
    <row r="1743" spans="5:8" x14ac:dyDescent="0.25">
      <c r="E1743" t="str">
        <f>""</f>
        <v/>
      </c>
      <c r="F1743" t="str">
        <f>""</f>
        <v/>
      </c>
      <c r="H1743" t="str">
        <f t="shared" si="19"/>
        <v>GUARDIAN</v>
      </c>
    </row>
    <row r="1744" spans="5:8" x14ac:dyDescent="0.25">
      <c r="E1744" t="str">
        <f>""</f>
        <v/>
      </c>
      <c r="F1744" t="str">
        <f>""</f>
        <v/>
      </c>
      <c r="H1744" t="str">
        <f t="shared" si="19"/>
        <v>GUARDIAN</v>
      </c>
    </row>
    <row r="1745" spans="5:8" x14ac:dyDescent="0.25">
      <c r="E1745" t="str">
        <f>""</f>
        <v/>
      </c>
      <c r="F1745" t="str">
        <f>""</f>
        <v/>
      </c>
      <c r="H1745" t="str">
        <f t="shared" si="19"/>
        <v>GUARDIAN</v>
      </c>
    </row>
    <row r="1746" spans="5:8" x14ac:dyDescent="0.25">
      <c r="E1746" t="str">
        <f>""</f>
        <v/>
      </c>
      <c r="F1746" t="str">
        <f>""</f>
        <v/>
      </c>
      <c r="H1746" t="str">
        <f t="shared" si="19"/>
        <v>GUARDIAN</v>
      </c>
    </row>
    <row r="1747" spans="5:8" x14ac:dyDescent="0.25">
      <c r="E1747" t="str">
        <f>""</f>
        <v/>
      </c>
      <c r="F1747" t="str">
        <f>""</f>
        <v/>
      </c>
      <c r="H1747" t="str">
        <f t="shared" si="19"/>
        <v>GUARDIAN</v>
      </c>
    </row>
    <row r="1748" spans="5:8" x14ac:dyDescent="0.25">
      <c r="E1748" t="str">
        <f>""</f>
        <v/>
      </c>
      <c r="F1748" t="str">
        <f>""</f>
        <v/>
      </c>
      <c r="H1748" t="str">
        <f t="shared" si="19"/>
        <v>GUARDIAN</v>
      </c>
    </row>
    <row r="1749" spans="5:8" x14ac:dyDescent="0.25">
      <c r="E1749" t="str">
        <f>""</f>
        <v/>
      </c>
      <c r="F1749" t="str">
        <f>""</f>
        <v/>
      </c>
      <c r="H1749" t="str">
        <f t="shared" si="19"/>
        <v>GUARDIAN</v>
      </c>
    </row>
    <row r="1750" spans="5:8" x14ac:dyDescent="0.25">
      <c r="E1750" t="str">
        <f>""</f>
        <v/>
      </c>
      <c r="F1750" t="str">
        <f>""</f>
        <v/>
      </c>
      <c r="H1750" t="str">
        <f t="shared" si="19"/>
        <v>GUARDIAN</v>
      </c>
    </row>
    <row r="1751" spans="5:8" x14ac:dyDescent="0.25">
      <c r="E1751" t="str">
        <f>""</f>
        <v/>
      </c>
      <c r="F1751" t="str">
        <f>""</f>
        <v/>
      </c>
      <c r="H1751" t="str">
        <f t="shared" si="19"/>
        <v>GUARDIAN</v>
      </c>
    </row>
    <row r="1752" spans="5:8" x14ac:dyDescent="0.25">
      <c r="E1752" t="str">
        <f>""</f>
        <v/>
      </c>
      <c r="F1752" t="str">
        <f>""</f>
        <v/>
      </c>
      <c r="H1752" t="str">
        <f t="shared" si="19"/>
        <v>GUARDIAN</v>
      </c>
    </row>
    <row r="1753" spans="5:8" x14ac:dyDescent="0.25">
      <c r="E1753" t="str">
        <f>"GDF201909181934"</f>
        <v>GDF201909181934</v>
      </c>
      <c r="F1753" t="str">
        <f>"GUARDIAN"</f>
        <v>GUARDIAN</v>
      </c>
      <c r="G1753" s="2">
        <v>100.42</v>
      </c>
      <c r="H1753" t="str">
        <f t="shared" si="19"/>
        <v>GUARDIAN</v>
      </c>
    </row>
    <row r="1754" spans="5:8" x14ac:dyDescent="0.25">
      <c r="E1754" t="str">
        <f>""</f>
        <v/>
      </c>
      <c r="F1754" t="str">
        <f>""</f>
        <v/>
      </c>
      <c r="H1754" t="str">
        <f t="shared" si="19"/>
        <v>GUARDIAN</v>
      </c>
    </row>
    <row r="1755" spans="5:8" x14ac:dyDescent="0.25">
      <c r="E1755" t="str">
        <f>"GDS201909031425"</f>
        <v>GDS201909031425</v>
      </c>
      <c r="F1755" t="str">
        <f>"GUARDIAN"</f>
        <v>GUARDIAN</v>
      </c>
      <c r="G1755" s="2">
        <v>1861.2</v>
      </c>
      <c r="H1755" t="str">
        <f t="shared" si="19"/>
        <v>GUARDIAN</v>
      </c>
    </row>
    <row r="1756" spans="5:8" x14ac:dyDescent="0.25">
      <c r="E1756" t="str">
        <f>""</f>
        <v/>
      </c>
      <c r="F1756" t="str">
        <f>""</f>
        <v/>
      </c>
      <c r="H1756" t="str">
        <f t="shared" si="19"/>
        <v>GUARDIAN</v>
      </c>
    </row>
    <row r="1757" spans="5:8" x14ac:dyDescent="0.25">
      <c r="E1757" t="str">
        <f>""</f>
        <v/>
      </c>
      <c r="F1757" t="str">
        <f>""</f>
        <v/>
      </c>
      <c r="H1757" t="str">
        <f t="shared" si="19"/>
        <v>GUARDIAN</v>
      </c>
    </row>
    <row r="1758" spans="5:8" x14ac:dyDescent="0.25">
      <c r="E1758" t="str">
        <f>""</f>
        <v/>
      </c>
      <c r="F1758" t="str">
        <f>""</f>
        <v/>
      </c>
      <c r="H1758" t="str">
        <f t="shared" si="19"/>
        <v>GUARDIAN</v>
      </c>
    </row>
    <row r="1759" spans="5:8" x14ac:dyDescent="0.25">
      <c r="E1759" t="str">
        <f>""</f>
        <v/>
      </c>
      <c r="F1759" t="str">
        <f>""</f>
        <v/>
      </c>
      <c r="H1759" t="str">
        <f t="shared" si="19"/>
        <v>GUARDIAN</v>
      </c>
    </row>
    <row r="1760" spans="5:8" x14ac:dyDescent="0.25">
      <c r="E1760" t="str">
        <f>""</f>
        <v/>
      </c>
      <c r="F1760" t="str">
        <f>""</f>
        <v/>
      </c>
      <c r="H1760" t="str">
        <f t="shared" si="19"/>
        <v>GUARDIAN</v>
      </c>
    </row>
    <row r="1761" spans="5:8" x14ac:dyDescent="0.25">
      <c r="E1761" t="str">
        <f>""</f>
        <v/>
      </c>
      <c r="F1761" t="str">
        <f>""</f>
        <v/>
      </c>
      <c r="H1761" t="str">
        <f t="shared" si="19"/>
        <v>GUARDIAN</v>
      </c>
    </row>
    <row r="1762" spans="5:8" x14ac:dyDescent="0.25">
      <c r="E1762" t="str">
        <f>""</f>
        <v/>
      </c>
      <c r="F1762" t="str">
        <f>""</f>
        <v/>
      </c>
      <c r="H1762" t="str">
        <f t="shared" si="19"/>
        <v>GUARDIAN</v>
      </c>
    </row>
    <row r="1763" spans="5:8" x14ac:dyDescent="0.25">
      <c r="E1763" t="str">
        <f>""</f>
        <v/>
      </c>
      <c r="F1763" t="str">
        <f>""</f>
        <v/>
      </c>
      <c r="H1763" t="str">
        <f t="shared" si="19"/>
        <v>GUARDIAN</v>
      </c>
    </row>
    <row r="1764" spans="5:8" x14ac:dyDescent="0.25">
      <c r="E1764" t="str">
        <f>""</f>
        <v/>
      </c>
      <c r="F1764" t="str">
        <f>""</f>
        <v/>
      </c>
      <c r="H1764" t="str">
        <f t="shared" si="19"/>
        <v>GUARDIAN</v>
      </c>
    </row>
    <row r="1765" spans="5:8" x14ac:dyDescent="0.25">
      <c r="E1765" t="str">
        <f>""</f>
        <v/>
      </c>
      <c r="F1765" t="str">
        <f>""</f>
        <v/>
      </c>
      <c r="H1765" t="str">
        <f t="shared" si="19"/>
        <v>GUARDIAN</v>
      </c>
    </row>
    <row r="1766" spans="5:8" x14ac:dyDescent="0.25">
      <c r="E1766" t="str">
        <f>""</f>
        <v/>
      </c>
      <c r="F1766" t="str">
        <f>""</f>
        <v/>
      </c>
      <c r="H1766" t="str">
        <f t="shared" si="19"/>
        <v>GUARDIAN</v>
      </c>
    </row>
    <row r="1767" spans="5:8" x14ac:dyDescent="0.25">
      <c r="E1767" t="str">
        <f>""</f>
        <v/>
      </c>
      <c r="F1767" t="str">
        <f>""</f>
        <v/>
      </c>
      <c r="H1767" t="str">
        <f t="shared" si="19"/>
        <v>GUARDIAN</v>
      </c>
    </row>
    <row r="1768" spans="5:8" x14ac:dyDescent="0.25">
      <c r="E1768" t="str">
        <f>""</f>
        <v/>
      </c>
      <c r="F1768" t="str">
        <f>""</f>
        <v/>
      </c>
      <c r="H1768" t="str">
        <f t="shared" si="19"/>
        <v>GUARDIAN</v>
      </c>
    </row>
    <row r="1769" spans="5:8" x14ac:dyDescent="0.25">
      <c r="E1769" t="str">
        <f>""</f>
        <v/>
      </c>
      <c r="F1769" t="str">
        <f>""</f>
        <v/>
      </c>
      <c r="H1769" t="str">
        <f t="shared" si="19"/>
        <v>GUARDIAN</v>
      </c>
    </row>
    <row r="1770" spans="5:8" x14ac:dyDescent="0.25">
      <c r="E1770" t="str">
        <f>""</f>
        <v/>
      </c>
      <c r="F1770" t="str">
        <f>""</f>
        <v/>
      </c>
      <c r="H1770" t="str">
        <f t="shared" si="19"/>
        <v>GUARDIAN</v>
      </c>
    </row>
    <row r="1771" spans="5:8" x14ac:dyDescent="0.25">
      <c r="E1771" t="str">
        <f>""</f>
        <v/>
      </c>
      <c r="F1771" t="str">
        <f>""</f>
        <v/>
      </c>
      <c r="H1771" t="str">
        <f t="shared" si="19"/>
        <v>GUARDIAN</v>
      </c>
    </row>
    <row r="1772" spans="5:8" x14ac:dyDescent="0.25">
      <c r="E1772" t="str">
        <f>""</f>
        <v/>
      </c>
      <c r="F1772" t="str">
        <f>""</f>
        <v/>
      </c>
      <c r="H1772" t="str">
        <f t="shared" si="19"/>
        <v>GUARDIAN</v>
      </c>
    </row>
    <row r="1773" spans="5:8" x14ac:dyDescent="0.25">
      <c r="E1773" t="str">
        <f>""</f>
        <v/>
      </c>
      <c r="F1773" t="str">
        <f>""</f>
        <v/>
      </c>
      <c r="H1773" t="str">
        <f t="shared" si="19"/>
        <v>GUARDIAN</v>
      </c>
    </row>
    <row r="1774" spans="5:8" x14ac:dyDescent="0.25">
      <c r="E1774" t="str">
        <f>""</f>
        <v/>
      </c>
      <c r="F1774" t="str">
        <f>""</f>
        <v/>
      </c>
      <c r="H1774" t="str">
        <f t="shared" si="19"/>
        <v>GUARDIAN</v>
      </c>
    </row>
    <row r="1775" spans="5:8" x14ac:dyDescent="0.25">
      <c r="E1775" t="str">
        <f>""</f>
        <v/>
      </c>
      <c r="F1775" t="str">
        <f>""</f>
        <v/>
      </c>
      <c r="H1775" t="str">
        <f t="shared" si="19"/>
        <v>GUARDIAN</v>
      </c>
    </row>
    <row r="1776" spans="5:8" x14ac:dyDescent="0.25">
      <c r="E1776" t="str">
        <f>""</f>
        <v/>
      </c>
      <c r="F1776" t="str">
        <f>""</f>
        <v/>
      </c>
      <c r="H1776" t="str">
        <f t="shared" si="19"/>
        <v>GUARDIAN</v>
      </c>
    </row>
    <row r="1777" spans="5:8" x14ac:dyDescent="0.25">
      <c r="E1777" t="str">
        <f>""</f>
        <v/>
      </c>
      <c r="F1777" t="str">
        <f>""</f>
        <v/>
      </c>
      <c r="H1777" t="str">
        <f t="shared" si="19"/>
        <v>GUARDIAN</v>
      </c>
    </row>
    <row r="1778" spans="5:8" x14ac:dyDescent="0.25">
      <c r="E1778" t="str">
        <f>""</f>
        <v/>
      </c>
      <c r="F1778" t="str">
        <f>""</f>
        <v/>
      </c>
      <c r="H1778" t="str">
        <f t="shared" si="19"/>
        <v>GUARDIAN</v>
      </c>
    </row>
    <row r="1779" spans="5:8" x14ac:dyDescent="0.25">
      <c r="E1779" t="str">
        <f>""</f>
        <v/>
      </c>
      <c r="F1779" t="str">
        <f>""</f>
        <v/>
      </c>
      <c r="H1779" t="str">
        <f t="shared" si="19"/>
        <v>GUARDIAN</v>
      </c>
    </row>
    <row r="1780" spans="5:8" x14ac:dyDescent="0.25">
      <c r="E1780" t="str">
        <f>""</f>
        <v/>
      </c>
      <c r="F1780" t="str">
        <f>""</f>
        <v/>
      </c>
      <c r="H1780" t="str">
        <f t="shared" si="19"/>
        <v>GUARDIAN</v>
      </c>
    </row>
    <row r="1781" spans="5:8" x14ac:dyDescent="0.25">
      <c r="E1781" t="str">
        <f>"GDS201909181931"</f>
        <v>GDS201909181931</v>
      </c>
      <c r="F1781" t="str">
        <f>"GUARDIAN"</f>
        <v>GUARDIAN</v>
      </c>
      <c r="G1781" s="2">
        <v>1861.2</v>
      </c>
      <c r="H1781" t="str">
        <f t="shared" si="19"/>
        <v>GUARDIAN</v>
      </c>
    </row>
    <row r="1782" spans="5:8" x14ac:dyDescent="0.25">
      <c r="E1782" t="str">
        <f>""</f>
        <v/>
      </c>
      <c r="F1782" t="str">
        <f>""</f>
        <v/>
      </c>
      <c r="H1782" t="str">
        <f t="shared" si="19"/>
        <v>GUARDIAN</v>
      </c>
    </row>
    <row r="1783" spans="5:8" x14ac:dyDescent="0.25">
      <c r="E1783" t="str">
        <f>""</f>
        <v/>
      </c>
      <c r="F1783" t="str">
        <f>""</f>
        <v/>
      </c>
      <c r="H1783" t="str">
        <f t="shared" si="19"/>
        <v>GUARDIAN</v>
      </c>
    </row>
    <row r="1784" spans="5:8" x14ac:dyDescent="0.25">
      <c r="E1784" t="str">
        <f>""</f>
        <v/>
      </c>
      <c r="F1784" t="str">
        <f>""</f>
        <v/>
      </c>
      <c r="H1784" t="str">
        <f t="shared" si="19"/>
        <v>GUARDIAN</v>
      </c>
    </row>
    <row r="1785" spans="5:8" x14ac:dyDescent="0.25">
      <c r="E1785" t="str">
        <f>""</f>
        <v/>
      </c>
      <c r="F1785" t="str">
        <f>""</f>
        <v/>
      </c>
      <c r="H1785" t="str">
        <f t="shared" si="19"/>
        <v>GUARDIAN</v>
      </c>
    </row>
    <row r="1786" spans="5:8" x14ac:dyDescent="0.25">
      <c r="E1786" t="str">
        <f>""</f>
        <v/>
      </c>
      <c r="F1786" t="str">
        <f>""</f>
        <v/>
      </c>
      <c r="H1786" t="str">
        <f t="shared" si="19"/>
        <v>GUARDIAN</v>
      </c>
    </row>
    <row r="1787" spans="5:8" x14ac:dyDescent="0.25">
      <c r="E1787" t="str">
        <f>""</f>
        <v/>
      </c>
      <c r="F1787" t="str">
        <f>""</f>
        <v/>
      </c>
      <c r="H1787" t="str">
        <f t="shared" si="19"/>
        <v>GUARDIAN</v>
      </c>
    </row>
    <row r="1788" spans="5:8" x14ac:dyDescent="0.25">
      <c r="E1788" t="str">
        <f>""</f>
        <v/>
      </c>
      <c r="F1788" t="str">
        <f>""</f>
        <v/>
      </c>
      <c r="H1788" t="str">
        <f t="shared" si="19"/>
        <v>GUARDIAN</v>
      </c>
    </row>
    <row r="1789" spans="5:8" x14ac:dyDescent="0.25">
      <c r="E1789" t="str">
        <f>""</f>
        <v/>
      </c>
      <c r="F1789" t="str">
        <f>""</f>
        <v/>
      </c>
      <c r="H1789" t="str">
        <f t="shared" si="19"/>
        <v>GUARDIAN</v>
      </c>
    </row>
    <row r="1790" spans="5:8" x14ac:dyDescent="0.25">
      <c r="E1790" t="str">
        <f>""</f>
        <v/>
      </c>
      <c r="F1790" t="str">
        <f>""</f>
        <v/>
      </c>
      <c r="H1790" t="str">
        <f t="shared" si="19"/>
        <v>GUARDIAN</v>
      </c>
    </row>
    <row r="1791" spans="5:8" x14ac:dyDescent="0.25">
      <c r="E1791" t="str">
        <f>""</f>
        <v/>
      </c>
      <c r="F1791" t="str">
        <f>""</f>
        <v/>
      </c>
      <c r="H1791" t="str">
        <f t="shared" si="19"/>
        <v>GUARDIAN</v>
      </c>
    </row>
    <row r="1792" spans="5:8" x14ac:dyDescent="0.25">
      <c r="E1792" t="str">
        <f>""</f>
        <v/>
      </c>
      <c r="F1792" t="str">
        <f>""</f>
        <v/>
      </c>
      <c r="H1792" t="str">
        <f t="shared" si="19"/>
        <v>GUARDIAN</v>
      </c>
    </row>
    <row r="1793" spans="5:8" x14ac:dyDescent="0.25">
      <c r="E1793" t="str">
        <f>""</f>
        <v/>
      </c>
      <c r="F1793" t="str">
        <f>""</f>
        <v/>
      </c>
      <c r="H1793" t="str">
        <f t="shared" si="19"/>
        <v>GUARDIAN</v>
      </c>
    </row>
    <row r="1794" spans="5:8" x14ac:dyDescent="0.25">
      <c r="E1794" t="str">
        <f>""</f>
        <v/>
      </c>
      <c r="F1794" t="str">
        <f>""</f>
        <v/>
      </c>
      <c r="H1794" t="str">
        <f t="shared" si="19"/>
        <v>GUARDIAN</v>
      </c>
    </row>
    <row r="1795" spans="5:8" x14ac:dyDescent="0.25">
      <c r="E1795" t="str">
        <f>""</f>
        <v/>
      </c>
      <c r="F1795" t="str">
        <f>""</f>
        <v/>
      </c>
      <c r="H1795" t="str">
        <f t="shared" si="19"/>
        <v>GUARDIAN</v>
      </c>
    </row>
    <row r="1796" spans="5:8" x14ac:dyDescent="0.25">
      <c r="E1796" t="str">
        <f>""</f>
        <v/>
      </c>
      <c r="F1796" t="str">
        <f>""</f>
        <v/>
      </c>
      <c r="H1796" t="str">
        <f t="shared" si="19"/>
        <v>GUARDIAN</v>
      </c>
    </row>
    <row r="1797" spans="5:8" x14ac:dyDescent="0.25">
      <c r="E1797" t="str">
        <f>""</f>
        <v/>
      </c>
      <c r="F1797" t="str">
        <f>""</f>
        <v/>
      </c>
      <c r="H1797" t="str">
        <f t="shared" si="19"/>
        <v>GUARDIAN</v>
      </c>
    </row>
    <row r="1798" spans="5:8" x14ac:dyDescent="0.25">
      <c r="E1798" t="str">
        <f>""</f>
        <v/>
      </c>
      <c r="F1798" t="str">
        <f>""</f>
        <v/>
      </c>
      <c r="H1798" t="str">
        <f t="shared" si="19"/>
        <v>GUARDIAN</v>
      </c>
    </row>
    <row r="1799" spans="5:8" x14ac:dyDescent="0.25">
      <c r="E1799" t="str">
        <f>""</f>
        <v/>
      </c>
      <c r="F1799" t="str">
        <f>""</f>
        <v/>
      </c>
      <c r="H1799" t="str">
        <f t="shared" si="19"/>
        <v>GUARDIAN</v>
      </c>
    </row>
    <row r="1800" spans="5:8" x14ac:dyDescent="0.25">
      <c r="E1800" t="str">
        <f>""</f>
        <v/>
      </c>
      <c r="F1800" t="str">
        <f>""</f>
        <v/>
      </c>
      <c r="H1800" t="str">
        <f t="shared" si="19"/>
        <v>GUARDIAN</v>
      </c>
    </row>
    <row r="1801" spans="5:8" x14ac:dyDescent="0.25">
      <c r="E1801" t="str">
        <f>""</f>
        <v/>
      </c>
      <c r="F1801" t="str">
        <f>""</f>
        <v/>
      </c>
      <c r="H1801" t="str">
        <f t="shared" si="19"/>
        <v>GUARDIAN</v>
      </c>
    </row>
    <row r="1802" spans="5:8" x14ac:dyDescent="0.25">
      <c r="E1802" t="str">
        <f>""</f>
        <v/>
      </c>
      <c r="F1802" t="str">
        <f>""</f>
        <v/>
      </c>
      <c r="H1802" t="str">
        <f t="shared" si="19"/>
        <v>GUARDIAN</v>
      </c>
    </row>
    <row r="1803" spans="5:8" x14ac:dyDescent="0.25">
      <c r="E1803" t="str">
        <f>""</f>
        <v/>
      </c>
      <c r="F1803" t="str">
        <f>""</f>
        <v/>
      </c>
      <c r="H1803" t="str">
        <f t="shared" si="19"/>
        <v>GUARDIAN</v>
      </c>
    </row>
    <row r="1804" spans="5:8" x14ac:dyDescent="0.25">
      <c r="E1804" t="str">
        <f>""</f>
        <v/>
      </c>
      <c r="F1804" t="str">
        <f>""</f>
        <v/>
      </c>
      <c r="H1804" t="str">
        <f t="shared" si="19"/>
        <v>GUARDIAN</v>
      </c>
    </row>
    <row r="1805" spans="5:8" x14ac:dyDescent="0.25">
      <c r="E1805" t="str">
        <f>""</f>
        <v/>
      </c>
      <c r="F1805" t="str">
        <f>""</f>
        <v/>
      </c>
      <c r="H1805" t="str">
        <f t="shared" si="19"/>
        <v>GUARDIAN</v>
      </c>
    </row>
    <row r="1806" spans="5:8" x14ac:dyDescent="0.25">
      <c r="E1806" t="str">
        <f>""</f>
        <v/>
      </c>
      <c r="F1806" t="str">
        <f>""</f>
        <v/>
      </c>
      <c r="H1806" t="str">
        <f t="shared" si="19"/>
        <v>GUARDIAN</v>
      </c>
    </row>
    <row r="1807" spans="5:8" x14ac:dyDescent="0.25">
      <c r="E1807" t="str">
        <f>"GV1201909031425"</f>
        <v>GV1201909031425</v>
      </c>
      <c r="F1807" t="str">
        <f>"GUARDIAN VISION"</f>
        <v>GUARDIAN VISION</v>
      </c>
      <c r="G1807" s="2">
        <v>380.8</v>
      </c>
      <c r="H1807" t="str">
        <f>"GUARDIAN VISION"</f>
        <v>GUARDIAN VISION</v>
      </c>
    </row>
    <row r="1808" spans="5:8" x14ac:dyDescent="0.25">
      <c r="E1808" t="str">
        <f>"GV1201909181931"</f>
        <v>GV1201909181931</v>
      </c>
      <c r="F1808" t="str">
        <f>"GUARDIAN VISION"</f>
        <v>GUARDIAN VISION</v>
      </c>
      <c r="G1808" s="2">
        <v>380.8</v>
      </c>
      <c r="H1808" t="str">
        <f>"GUARDIAN VISION"</f>
        <v>GUARDIAN VISION</v>
      </c>
    </row>
    <row r="1809" spans="5:8" x14ac:dyDescent="0.25">
      <c r="E1809" t="str">
        <f>"GVE201909031425"</f>
        <v>GVE201909031425</v>
      </c>
      <c r="F1809" t="str">
        <f>"GUARDIAN VISION VENDOR"</f>
        <v>GUARDIAN VISION VENDOR</v>
      </c>
      <c r="G1809" s="2">
        <v>594.09</v>
      </c>
      <c r="H1809" t="str">
        <f>"GUARDIAN VISION VENDOR"</f>
        <v>GUARDIAN VISION VENDOR</v>
      </c>
    </row>
    <row r="1810" spans="5:8" x14ac:dyDescent="0.25">
      <c r="E1810" t="str">
        <f>"GVE201909031426"</f>
        <v>GVE201909031426</v>
      </c>
      <c r="F1810" t="str">
        <f>"GUARDIAN VISION VENDOR"</f>
        <v>GUARDIAN VISION VENDOR</v>
      </c>
      <c r="G1810" s="2">
        <v>25.83</v>
      </c>
      <c r="H1810" t="str">
        <f>"GUARDIAN VISION VENDOR"</f>
        <v>GUARDIAN VISION VENDOR</v>
      </c>
    </row>
    <row r="1811" spans="5:8" x14ac:dyDescent="0.25">
      <c r="E1811" t="str">
        <f>"GVE201909181931"</f>
        <v>GVE201909181931</v>
      </c>
      <c r="F1811" t="str">
        <f>"GUARDIAN VISION VENDOR"</f>
        <v>GUARDIAN VISION VENDOR</v>
      </c>
      <c r="G1811" s="2">
        <v>594.09</v>
      </c>
      <c r="H1811" t="str">
        <f>"GUARDIAN VISION VENDOR"</f>
        <v>GUARDIAN VISION VENDOR</v>
      </c>
    </row>
    <row r="1812" spans="5:8" x14ac:dyDescent="0.25">
      <c r="E1812" t="str">
        <f>"GVE201909181934"</f>
        <v>GVE201909181934</v>
      </c>
      <c r="F1812" t="str">
        <f>"GUARDIAN VISION VENDOR"</f>
        <v>GUARDIAN VISION VENDOR</v>
      </c>
      <c r="G1812" s="2">
        <v>25.83</v>
      </c>
      <c r="H1812" t="str">
        <f>"GUARDIAN VISION VENDOR"</f>
        <v>GUARDIAN VISION VENDOR</v>
      </c>
    </row>
    <row r="1813" spans="5:8" x14ac:dyDescent="0.25">
      <c r="E1813" t="str">
        <f>"GVF201909031425"</f>
        <v>GVF201909031425</v>
      </c>
      <c r="F1813" t="str">
        <f>"GUARDIAN VISION"</f>
        <v>GUARDIAN VISION</v>
      </c>
      <c r="G1813" s="2">
        <v>551.6</v>
      </c>
      <c r="H1813" t="str">
        <f>"GUARDIAN VISION"</f>
        <v>GUARDIAN VISION</v>
      </c>
    </row>
    <row r="1814" spans="5:8" x14ac:dyDescent="0.25">
      <c r="E1814" t="str">
        <f>"GVF201909031426"</f>
        <v>GVF201909031426</v>
      </c>
      <c r="F1814" t="str">
        <f>"GUARDIAN VISION VENDOR"</f>
        <v>GUARDIAN VISION VENDOR</v>
      </c>
      <c r="G1814" s="2">
        <v>29.55</v>
      </c>
      <c r="H1814" t="str">
        <f>"GUARDIAN VISION VENDOR"</f>
        <v>GUARDIAN VISION VENDOR</v>
      </c>
    </row>
    <row r="1815" spans="5:8" x14ac:dyDescent="0.25">
      <c r="E1815" t="str">
        <f>"GVF201909181931"</f>
        <v>GVF201909181931</v>
      </c>
      <c r="F1815" t="str">
        <f>"GUARDIAN VISION"</f>
        <v>GUARDIAN VISION</v>
      </c>
      <c r="G1815" s="2">
        <v>551.6</v>
      </c>
      <c r="H1815" t="str">
        <f>"GUARDIAN VISION"</f>
        <v>GUARDIAN VISION</v>
      </c>
    </row>
    <row r="1816" spans="5:8" x14ac:dyDescent="0.25">
      <c r="E1816" t="str">
        <f>"GVF201909181934"</f>
        <v>GVF201909181934</v>
      </c>
      <c r="F1816" t="str">
        <f>"GUARDIAN VISION VENDOR"</f>
        <v>GUARDIAN VISION VENDOR</v>
      </c>
      <c r="G1816" s="2">
        <v>29.55</v>
      </c>
      <c r="H1816" t="str">
        <f>"GUARDIAN VISION VENDOR"</f>
        <v>GUARDIAN VISION VENDOR</v>
      </c>
    </row>
    <row r="1817" spans="5:8" x14ac:dyDescent="0.25">
      <c r="E1817" t="str">
        <f>"LIA201909031425"</f>
        <v>LIA201909031425</v>
      </c>
      <c r="F1817" t="str">
        <f>"GUARDIAN"</f>
        <v>GUARDIAN</v>
      </c>
      <c r="G1817" s="2">
        <v>201.39</v>
      </c>
      <c r="H1817" t="str">
        <f t="shared" ref="H1817:H1848" si="20">"GUARDIAN"</f>
        <v>GUARDIAN</v>
      </c>
    </row>
    <row r="1818" spans="5:8" x14ac:dyDescent="0.25">
      <c r="E1818" t="str">
        <f>""</f>
        <v/>
      </c>
      <c r="F1818" t="str">
        <f>""</f>
        <v/>
      </c>
      <c r="H1818" t="str">
        <f t="shared" si="20"/>
        <v>GUARDIAN</v>
      </c>
    </row>
    <row r="1819" spans="5:8" x14ac:dyDescent="0.25">
      <c r="E1819" t="str">
        <f>""</f>
        <v/>
      </c>
      <c r="F1819" t="str">
        <f>""</f>
        <v/>
      </c>
      <c r="H1819" t="str">
        <f t="shared" si="20"/>
        <v>GUARDIAN</v>
      </c>
    </row>
    <row r="1820" spans="5:8" x14ac:dyDescent="0.25">
      <c r="E1820" t="str">
        <f>""</f>
        <v/>
      </c>
      <c r="F1820" t="str">
        <f>""</f>
        <v/>
      </c>
      <c r="H1820" t="str">
        <f t="shared" si="20"/>
        <v>GUARDIAN</v>
      </c>
    </row>
    <row r="1821" spans="5:8" x14ac:dyDescent="0.25">
      <c r="E1821" t="str">
        <f>""</f>
        <v/>
      </c>
      <c r="F1821" t="str">
        <f>""</f>
        <v/>
      </c>
      <c r="H1821" t="str">
        <f t="shared" si="20"/>
        <v>GUARDIAN</v>
      </c>
    </row>
    <row r="1822" spans="5:8" x14ac:dyDescent="0.25">
      <c r="E1822" t="str">
        <f>""</f>
        <v/>
      </c>
      <c r="F1822" t="str">
        <f>""</f>
        <v/>
      </c>
      <c r="H1822" t="str">
        <f t="shared" si="20"/>
        <v>GUARDIAN</v>
      </c>
    </row>
    <row r="1823" spans="5:8" x14ac:dyDescent="0.25">
      <c r="E1823" t="str">
        <f>""</f>
        <v/>
      </c>
      <c r="F1823" t="str">
        <f>""</f>
        <v/>
      </c>
      <c r="H1823" t="str">
        <f t="shared" si="20"/>
        <v>GUARDIAN</v>
      </c>
    </row>
    <row r="1824" spans="5:8" x14ac:dyDescent="0.25">
      <c r="E1824" t="str">
        <f>""</f>
        <v/>
      </c>
      <c r="F1824" t="str">
        <f>""</f>
        <v/>
      </c>
      <c r="H1824" t="str">
        <f t="shared" si="20"/>
        <v>GUARDIAN</v>
      </c>
    </row>
    <row r="1825" spans="5:8" x14ac:dyDescent="0.25">
      <c r="E1825" t="str">
        <f>""</f>
        <v/>
      </c>
      <c r="F1825" t="str">
        <f>""</f>
        <v/>
      </c>
      <c r="H1825" t="str">
        <f t="shared" si="20"/>
        <v>GUARDIAN</v>
      </c>
    </row>
    <row r="1826" spans="5:8" x14ac:dyDescent="0.25">
      <c r="E1826" t="str">
        <f>""</f>
        <v/>
      </c>
      <c r="F1826" t="str">
        <f>""</f>
        <v/>
      </c>
      <c r="H1826" t="str">
        <f t="shared" si="20"/>
        <v>GUARDIAN</v>
      </c>
    </row>
    <row r="1827" spans="5:8" x14ac:dyDescent="0.25">
      <c r="E1827" t="str">
        <f>""</f>
        <v/>
      </c>
      <c r="F1827" t="str">
        <f>""</f>
        <v/>
      </c>
      <c r="H1827" t="str">
        <f t="shared" si="20"/>
        <v>GUARDIAN</v>
      </c>
    </row>
    <row r="1828" spans="5:8" x14ac:dyDescent="0.25">
      <c r="E1828" t="str">
        <f>""</f>
        <v/>
      </c>
      <c r="F1828" t="str">
        <f>""</f>
        <v/>
      </c>
      <c r="H1828" t="str">
        <f t="shared" si="20"/>
        <v>GUARDIAN</v>
      </c>
    </row>
    <row r="1829" spans="5:8" x14ac:dyDescent="0.25">
      <c r="E1829" t="str">
        <f>""</f>
        <v/>
      </c>
      <c r="F1829" t="str">
        <f>""</f>
        <v/>
      </c>
      <c r="H1829" t="str">
        <f t="shared" si="20"/>
        <v>GUARDIAN</v>
      </c>
    </row>
    <row r="1830" spans="5:8" x14ac:dyDescent="0.25">
      <c r="E1830" t="str">
        <f>""</f>
        <v/>
      </c>
      <c r="F1830" t="str">
        <f>""</f>
        <v/>
      </c>
      <c r="H1830" t="str">
        <f t="shared" si="20"/>
        <v>GUARDIAN</v>
      </c>
    </row>
    <row r="1831" spans="5:8" x14ac:dyDescent="0.25">
      <c r="E1831" t="str">
        <f>""</f>
        <v/>
      </c>
      <c r="F1831" t="str">
        <f>""</f>
        <v/>
      </c>
      <c r="H1831" t="str">
        <f t="shared" si="20"/>
        <v>GUARDIAN</v>
      </c>
    </row>
    <row r="1832" spans="5:8" x14ac:dyDescent="0.25">
      <c r="E1832" t="str">
        <f>""</f>
        <v/>
      </c>
      <c r="F1832" t="str">
        <f>""</f>
        <v/>
      </c>
      <c r="H1832" t="str">
        <f t="shared" si="20"/>
        <v>GUARDIAN</v>
      </c>
    </row>
    <row r="1833" spans="5:8" x14ac:dyDescent="0.25">
      <c r="E1833" t="str">
        <f>""</f>
        <v/>
      </c>
      <c r="F1833" t="str">
        <f>""</f>
        <v/>
      </c>
      <c r="H1833" t="str">
        <f t="shared" si="20"/>
        <v>GUARDIAN</v>
      </c>
    </row>
    <row r="1834" spans="5:8" x14ac:dyDescent="0.25">
      <c r="E1834" t="str">
        <f>""</f>
        <v/>
      </c>
      <c r="F1834" t="str">
        <f>""</f>
        <v/>
      </c>
      <c r="H1834" t="str">
        <f t="shared" si="20"/>
        <v>GUARDIAN</v>
      </c>
    </row>
    <row r="1835" spans="5:8" x14ac:dyDescent="0.25">
      <c r="E1835" t="str">
        <f>""</f>
        <v/>
      </c>
      <c r="F1835" t="str">
        <f>""</f>
        <v/>
      </c>
      <c r="H1835" t="str">
        <f t="shared" si="20"/>
        <v>GUARDIAN</v>
      </c>
    </row>
    <row r="1836" spans="5:8" x14ac:dyDescent="0.25">
      <c r="E1836" t="str">
        <f>""</f>
        <v/>
      </c>
      <c r="F1836" t="str">
        <f>""</f>
        <v/>
      </c>
      <c r="H1836" t="str">
        <f t="shared" si="20"/>
        <v>GUARDIAN</v>
      </c>
    </row>
    <row r="1837" spans="5:8" x14ac:dyDescent="0.25">
      <c r="E1837" t="str">
        <f>""</f>
        <v/>
      </c>
      <c r="F1837" t="str">
        <f>""</f>
        <v/>
      </c>
      <c r="H1837" t="str">
        <f t="shared" si="20"/>
        <v>GUARDIAN</v>
      </c>
    </row>
    <row r="1838" spans="5:8" x14ac:dyDescent="0.25">
      <c r="E1838" t="str">
        <f>""</f>
        <v/>
      </c>
      <c r="F1838" t="str">
        <f>""</f>
        <v/>
      </c>
      <c r="H1838" t="str">
        <f t="shared" si="20"/>
        <v>GUARDIAN</v>
      </c>
    </row>
    <row r="1839" spans="5:8" x14ac:dyDescent="0.25">
      <c r="E1839" t="str">
        <f>"LIA201909031426"</f>
        <v>LIA201909031426</v>
      </c>
      <c r="F1839" t="str">
        <f>"GUARDIAN"</f>
        <v>GUARDIAN</v>
      </c>
      <c r="G1839" s="2">
        <v>40.799999999999997</v>
      </c>
      <c r="H1839" t="str">
        <f t="shared" si="20"/>
        <v>GUARDIAN</v>
      </c>
    </row>
    <row r="1840" spans="5:8" x14ac:dyDescent="0.25">
      <c r="E1840" t="str">
        <f>""</f>
        <v/>
      </c>
      <c r="F1840" t="str">
        <f>""</f>
        <v/>
      </c>
      <c r="H1840" t="str">
        <f t="shared" si="20"/>
        <v>GUARDIAN</v>
      </c>
    </row>
    <row r="1841" spans="5:8" x14ac:dyDescent="0.25">
      <c r="E1841" t="str">
        <f>"LIA201909181931"</f>
        <v>LIA201909181931</v>
      </c>
      <c r="F1841" t="str">
        <f>"GUARDIAN"</f>
        <v>GUARDIAN</v>
      </c>
      <c r="G1841" s="2">
        <v>201.39</v>
      </c>
      <c r="H1841" t="str">
        <f t="shared" si="20"/>
        <v>GUARDIAN</v>
      </c>
    </row>
    <row r="1842" spans="5:8" x14ac:dyDescent="0.25">
      <c r="E1842" t="str">
        <f>""</f>
        <v/>
      </c>
      <c r="F1842" t="str">
        <f>""</f>
        <v/>
      </c>
      <c r="H1842" t="str">
        <f t="shared" si="20"/>
        <v>GUARDIAN</v>
      </c>
    </row>
    <row r="1843" spans="5:8" x14ac:dyDescent="0.25">
      <c r="E1843" t="str">
        <f>""</f>
        <v/>
      </c>
      <c r="F1843" t="str">
        <f>""</f>
        <v/>
      </c>
      <c r="H1843" t="str">
        <f t="shared" si="20"/>
        <v>GUARDIAN</v>
      </c>
    </row>
    <row r="1844" spans="5:8" x14ac:dyDescent="0.25">
      <c r="E1844" t="str">
        <f>""</f>
        <v/>
      </c>
      <c r="F1844" t="str">
        <f>""</f>
        <v/>
      </c>
      <c r="H1844" t="str">
        <f t="shared" si="20"/>
        <v>GUARDIAN</v>
      </c>
    </row>
    <row r="1845" spans="5:8" x14ac:dyDescent="0.25">
      <c r="E1845" t="str">
        <f>""</f>
        <v/>
      </c>
      <c r="F1845" t="str">
        <f>""</f>
        <v/>
      </c>
      <c r="H1845" t="str">
        <f t="shared" si="20"/>
        <v>GUARDIAN</v>
      </c>
    </row>
    <row r="1846" spans="5:8" x14ac:dyDescent="0.25">
      <c r="E1846" t="str">
        <f>""</f>
        <v/>
      </c>
      <c r="F1846" t="str">
        <f>""</f>
        <v/>
      </c>
      <c r="H1846" t="str">
        <f t="shared" si="20"/>
        <v>GUARDIAN</v>
      </c>
    </row>
    <row r="1847" spans="5:8" x14ac:dyDescent="0.25">
      <c r="E1847" t="str">
        <f>""</f>
        <v/>
      </c>
      <c r="F1847" t="str">
        <f>""</f>
        <v/>
      </c>
      <c r="H1847" t="str">
        <f t="shared" si="20"/>
        <v>GUARDIAN</v>
      </c>
    </row>
    <row r="1848" spans="5:8" x14ac:dyDescent="0.25">
      <c r="E1848" t="str">
        <f>""</f>
        <v/>
      </c>
      <c r="F1848" t="str">
        <f>""</f>
        <v/>
      </c>
      <c r="H1848" t="str">
        <f t="shared" si="20"/>
        <v>GUARDIAN</v>
      </c>
    </row>
    <row r="1849" spans="5:8" x14ac:dyDescent="0.25">
      <c r="E1849" t="str">
        <f>""</f>
        <v/>
      </c>
      <c r="F1849" t="str">
        <f>""</f>
        <v/>
      </c>
      <c r="H1849" t="str">
        <f t="shared" ref="H1849:H1880" si="21">"GUARDIAN"</f>
        <v>GUARDIAN</v>
      </c>
    </row>
    <row r="1850" spans="5:8" x14ac:dyDescent="0.25">
      <c r="E1850" t="str">
        <f>""</f>
        <v/>
      </c>
      <c r="F1850" t="str">
        <f>""</f>
        <v/>
      </c>
      <c r="H1850" t="str">
        <f t="shared" si="21"/>
        <v>GUARDIAN</v>
      </c>
    </row>
    <row r="1851" spans="5:8" x14ac:dyDescent="0.25">
      <c r="E1851" t="str">
        <f>""</f>
        <v/>
      </c>
      <c r="F1851" t="str">
        <f>""</f>
        <v/>
      </c>
      <c r="H1851" t="str">
        <f t="shared" si="21"/>
        <v>GUARDIAN</v>
      </c>
    </row>
    <row r="1852" spans="5:8" x14ac:dyDescent="0.25">
      <c r="E1852" t="str">
        <f>""</f>
        <v/>
      </c>
      <c r="F1852" t="str">
        <f>""</f>
        <v/>
      </c>
      <c r="H1852" t="str">
        <f t="shared" si="21"/>
        <v>GUARDIAN</v>
      </c>
    </row>
    <row r="1853" spans="5:8" x14ac:dyDescent="0.25">
      <c r="E1853" t="str">
        <f>""</f>
        <v/>
      </c>
      <c r="F1853" t="str">
        <f>""</f>
        <v/>
      </c>
      <c r="H1853" t="str">
        <f t="shared" si="21"/>
        <v>GUARDIAN</v>
      </c>
    </row>
    <row r="1854" spans="5:8" x14ac:dyDescent="0.25">
      <c r="E1854" t="str">
        <f>""</f>
        <v/>
      </c>
      <c r="F1854" t="str">
        <f>""</f>
        <v/>
      </c>
      <c r="H1854" t="str">
        <f t="shared" si="21"/>
        <v>GUARDIAN</v>
      </c>
    </row>
    <row r="1855" spans="5:8" x14ac:dyDescent="0.25">
      <c r="E1855" t="str">
        <f>""</f>
        <v/>
      </c>
      <c r="F1855" t="str">
        <f>""</f>
        <v/>
      </c>
      <c r="H1855" t="str">
        <f t="shared" si="21"/>
        <v>GUARDIAN</v>
      </c>
    </row>
    <row r="1856" spans="5:8" x14ac:dyDescent="0.25">
      <c r="E1856" t="str">
        <f>""</f>
        <v/>
      </c>
      <c r="F1856" t="str">
        <f>""</f>
        <v/>
      </c>
      <c r="H1856" t="str">
        <f t="shared" si="21"/>
        <v>GUARDIAN</v>
      </c>
    </row>
    <row r="1857" spans="5:8" x14ac:dyDescent="0.25">
      <c r="E1857" t="str">
        <f>""</f>
        <v/>
      </c>
      <c r="F1857" t="str">
        <f>""</f>
        <v/>
      </c>
      <c r="H1857" t="str">
        <f t="shared" si="21"/>
        <v>GUARDIAN</v>
      </c>
    </row>
    <row r="1858" spans="5:8" x14ac:dyDescent="0.25">
      <c r="E1858" t="str">
        <f>""</f>
        <v/>
      </c>
      <c r="F1858" t="str">
        <f>""</f>
        <v/>
      </c>
      <c r="H1858" t="str">
        <f t="shared" si="21"/>
        <v>GUARDIAN</v>
      </c>
    </row>
    <row r="1859" spans="5:8" x14ac:dyDescent="0.25">
      <c r="E1859" t="str">
        <f>""</f>
        <v/>
      </c>
      <c r="F1859" t="str">
        <f>""</f>
        <v/>
      </c>
      <c r="H1859" t="str">
        <f t="shared" si="21"/>
        <v>GUARDIAN</v>
      </c>
    </row>
    <row r="1860" spans="5:8" x14ac:dyDescent="0.25">
      <c r="E1860" t="str">
        <f>""</f>
        <v/>
      </c>
      <c r="F1860" t="str">
        <f>""</f>
        <v/>
      </c>
      <c r="H1860" t="str">
        <f t="shared" si="21"/>
        <v>GUARDIAN</v>
      </c>
    </row>
    <row r="1861" spans="5:8" x14ac:dyDescent="0.25">
      <c r="E1861" t="str">
        <f>""</f>
        <v/>
      </c>
      <c r="F1861" t="str">
        <f>""</f>
        <v/>
      </c>
      <c r="H1861" t="str">
        <f t="shared" si="21"/>
        <v>GUARDIAN</v>
      </c>
    </row>
    <row r="1862" spans="5:8" x14ac:dyDescent="0.25">
      <c r="E1862" t="str">
        <f>""</f>
        <v/>
      </c>
      <c r="F1862" t="str">
        <f>""</f>
        <v/>
      </c>
      <c r="H1862" t="str">
        <f t="shared" si="21"/>
        <v>GUARDIAN</v>
      </c>
    </row>
    <row r="1863" spans="5:8" x14ac:dyDescent="0.25">
      <c r="E1863" t="str">
        <f>"LIA201909181934"</f>
        <v>LIA201909181934</v>
      </c>
      <c r="F1863" t="str">
        <f>"GUARDIAN"</f>
        <v>GUARDIAN</v>
      </c>
      <c r="G1863" s="2">
        <v>40.799999999999997</v>
      </c>
      <c r="H1863" t="str">
        <f t="shared" si="21"/>
        <v>GUARDIAN</v>
      </c>
    </row>
    <row r="1864" spans="5:8" x14ac:dyDescent="0.25">
      <c r="E1864" t="str">
        <f>""</f>
        <v/>
      </c>
      <c r="F1864" t="str">
        <f>""</f>
        <v/>
      </c>
      <c r="H1864" t="str">
        <f t="shared" si="21"/>
        <v>GUARDIAN</v>
      </c>
    </row>
    <row r="1865" spans="5:8" x14ac:dyDescent="0.25">
      <c r="E1865" t="str">
        <f>"LIC201909031425"</f>
        <v>LIC201909031425</v>
      </c>
      <c r="F1865" t="str">
        <f>"GUARDIAN"</f>
        <v>GUARDIAN</v>
      </c>
      <c r="G1865" s="2">
        <v>30.96</v>
      </c>
      <c r="H1865" t="str">
        <f t="shared" si="21"/>
        <v>GUARDIAN</v>
      </c>
    </row>
    <row r="1866" spans="5:8" x14ac:dyDescent="0.25">
      <c r="E1866" t="str">
        <f>"LIC201909031426"</f>
        <v>LIC201909031426</v>
      </c>
      <c r="F1866" t="str">
        <f>"GUARDIAN"</f>
        <v>GUARDIAN</v>
      </c>
      <c r="G1866" s="2">
        <v>1.05</v>
      </c>
      <c r="H1866" t="str">
        <f t="shared" si="21"/>
        <v>GUARDIAN</v>
      </c>
    </row>
    <row r="1867" spans="5:8" x14ac:dyDescent="0.25">
      <c r="E1867" t="str">
        <f>"LIC201909181931"</f>
        <v>LIC201909181931</v>
      </c>
      <c r="F1867" t="str">
        <f>"GUARDIAN"</f>
        <v>GUARDIAN</v>
      </c>
      <c r="G1867" s="2">
        <v>30.96</v>
      </c>
      <c r="H1867" t="str">
        <f t="shared" si="21"/>
        <v>GUARDIAN</v>
      </c>
    </row>
    <row r="1868" spans="5:8" x14ac:dyDescent="0.25">
      <c r="E1868" t="str">
        <f>"LIC201909181934"</f>
        <v>LIC201909181934</v>
      </c>
      <c r="F1868" t="str">
        <f>"GUARDIAN"</f>
        <v>GUARDIAN</v>
      </c>
      <c r="G1868" s="2">
        <v>1.05</v>
      </c>
      <c r="H1868" t="str">
        <f t="shared" si="21"/>
        <v>GUARDIAN</v>
      </c>
    </row>
    <row r="1869" spans="5:8" x14ac:dyDescent="0.25">
      <c r="E1869" t="str">
        <f>"LIE201909031425"</f>
        <v>LIE201909031425</v>
      </c>
      <c r="F1869" t="str">
        <f>"GUARDIAN"</f>
        <v>GUARDIAN</v>
      </c>
      <c r="G1869" s="2">
        <v>3423.55</v>
      </c>
      <c r="H1869" t="str">
        <f t="shared" si="21"/>
        <v>GUARDIAN</v>
      </c>
    </row>
    <row r="1870" spans="5:8" x14ac:dyDescent="0.25">
      <c r="E1870" t="str">
        <f>""</f>
        <v/>
      </c>
      <c r="F1870" t="str">
        <f>""</f>
        <v/>
      </c>
      <c r="H1870" t="str">
        <f t="shared" si="21"/>
        <v>GUARDIAN</v>
      </c>
    </row>
    <row r="1871" spans="5:8" x14ac:dyDescent="0.25">
      <c r="E1871" t="str">
        <f>""</f>
        <v/>
      </c>
      <c r="F1871" t="str">
        <f>""</f>
        <v/>
      </c>
      <c r="H1871" t="str">
        <f t="shared" si="21"/>
        <v>GUARDIAN</v>
      </c>
    </row>
    <row r="1872" spans="5:8" x14ac:dyDescent="0.25">
      <c r="E1872" t="str">
        <f>""</f>
        <v/>
      </c>
      <c r="F1872" t="str">
        <f>""</f>
        <v/>
      </c>
      <c r="H1872" t="str">
        <f t="shared" si="21"/>
        <v>GUARDIAN</v>
      </c>
    </row>
    <row r="1873" spans="5:8" x14ac:dyDescent="0.25">
      <c r="E1873" t="str">
        <f>""</f>
        <v/>
      </c>
      <c r="F1873" t="str">
        <f>""</f>
        <v/>
      </c>
      <c r="H1873" t="str">
        <f t="shared" si="21"/>
        <v>GUARDIAN</v>
      </c>
    </row>
    <row r="1874" spans="5:8" x14ac:dyDescent="0.25">
      <c r="E1874" t="str">
        <f>""</f>
        <v/>
      </c>
      <c r="F1874" t="str">
        <f>""</f>
        <v/>
      </c>
      <c r="H1874" t="str">
        <f t="shared" si="21"/>
        <v>GUARDIAN</v>
      </c>
    </row>
    <row r="1875" spans="5:8" x14ac:dyDescent="0.25">
      <c r="E1875" t="str">
        <f>""</f>
        <v/>
      </c>
      <c r="F1875" t="str">
        <f>""</f>
        <v/>
      </c>
      <c r="H1875" t="str">
        <f t="shared" si="21"/>
        <v>GUARDIAN</v>
      </c>
    </row>
    <row r="1876" spans="5:8" x14ac:dyDescent="0.25">
      <c r="E1876" t="str">
        <f>""</f>
        <v/>
      </c>
      <c r="F1876" t="str">
        <f>""</f>
        <v/>
      </c>
      <c r="H1876" t="str">
        <f t="shared" si="21"/>
        <v>GUARDIAN</v>
      </c>
    </row>
    <row r="1877" spans="5:8" x14ac:dyDescent="0.25">
      <c r="E1877" t="str">
        <f>""</f>
        <v/>
      </c>
      <c r="F1877" t="str">
        <f>""</f>
        <v/>
      </c>
      <c r="H1877" t="str">
        <f t="shared" si="21"/>
        <v>GUARDIAN</v>
      </c>
    </row>
    <row r="1878" spans="5:8" x14ac:dyDescent="0.25">
      <c r="E1878" t="str">
        <f>""</f>
        <v/>
      </c>
      <c r="F1878" t="str">
        <f>""</f>
        <v/>
      </c>
      <c r="H1878" t="str">
        <f t="shared" si="21"/>
        <v>GUARDIAN</v>
      </c>
    </row>
    <row r="1879" spans="5:8" x14ac:dyDescent="0.25">
      <c r="E1879" t="str">
        <f>""</f>
        <v/>
      </c>
      <c r="F1879" t="str">
        <f>""</f>
        <v/>
      </c>
      <c r="H1879" t="str">
        <f t="shared" si="21"/>
        <v>GUARDIAN</v>
      </c>
    </row>
    <row r="1880" spans="5:8" x14ac:dyDescent="0.25">
      <c r="E1880" t="str">
        <f>""</f>
        <v/>
      </c>
      <c r="F1880" t="str">
        <f>""</f>
        <v/>
      </c>
      <c r="H1880" t="str">
        <f t="shared" si="21"/>
        <v>GUARDIAN</v>
      </c>
    </row>
    <row r="1881" spans="5:8" x14ac:dyDescent="0.25">
      <c r="E1881" t="str">
        <f>""</f>
        <v/>
      </c>
      <c r="F1881" t="str">
        <f>""</f>
        <v/>
      </c>
      <c r="H1881" t="str">
        <f t="shared" ref="H1881:H1912" si="22">"GUARDIAN"</f>
        <v>GUARDIAN</v>
      </c>
    </row>
    <row r="1882" spans="5:8" x14ac:dyDescent="0.25">
      <c r="E1882" t="str">
        <f>""</f>
        <v/>
      </c>
      <c r="F1882" t="str">
        <f>""</f>
        <v/>
      </c>
      <c r="H1882" t="str">
        <f t="shared" si="22"/>
        <v>GUARDIAN</v>
      </c>
    </row>
    <row r="1883" spans="5:8" x14ac:dyDescent="0.25">
      <c r="E1883" t="str">
        <f>""</f>
        <v/>
      </c>
      <c r="F1883" t="str">
        <f>""</f>
        <v/>
      </c>
      <c r="H1883" t="str">
        <f t="shared" si="22"/>
        <v>GUARDIAN</v>
      </c>
    </row>
    <row r="1884" spans="5:8" x14ac:dyDescent="0.25">
      <c r="E1884" t="str">
        <f>""</f>
        <v/>
      </c>
      <c r="F1884" t="str">
        <f>""</f>
        <v/>
      </c>
      <c r="H1884" t="str">
        <f t="shared" si="22"/>
        <v>GUARDIAN</v>
      </c>
    </row>
    <row r="1885" spans="5:8" x14ac:dyDescent="0.25">
      <c r="E1885" t="str">
        <f>""</f>
        <v/>
      </c>
      <c r="F1885" t="str">
        <f>""</f>
        <v/>
      </c>
      <c r="H1885" t="str">
        <f t="shared" si="22"/>
        <v>GUARDIAN</v>
      </c>
    </row>
    <row r="1886" spans="5:8" x14ac:dyDescent="0.25">
      <c r="E1886" t="str">
        <f>""</f>
        <v/>
      </c>
      <c r="F1886" t="str">
        <f>""</f>
        <v/>
      </c>
      <c r="H1886" t="str">
        <f t="shared" si="22"/>
        <v>GUARDIAN</v>
      </c>
    </row>
    <row r="1887" spans="5:8" x14ac:dyDescent="0.25">
      <c r="E1887" t="str">
        <f>""</f>
        <v/>
      </c>
      <c r="F1887" t="str">
        <f>""</f>
        <v/>
      </c>
      <c r="H1887" t="str">
        <f t="shared" si="22"/>
        <v>GUARDIAN</v>
      </c>
    </row>
    <row r="1888" spans="5:8" x14ac:dyDescent="0.25">
      <c r="E1888" t="str">
        <f>""</f>
        <v/>
      </c>
      <c r="F1888" t="str">
        <f>""</f>
        <v/>
      </c>
      <c r="H1888" t="str">
        <f t="shared" si="22"/>
        <v>GUARDIAN</v>
      </c>
    </row>
    <row r="1889" spans="5:8" x14ac:dyDescent="0.25">
      <c r="E1889" t="str">
        <f>""</f>
        <v/>
      </c>
      <c r="F1889" t="str">
        <f>""</f>
        <v/>
      </c>
      <c r="H1889" t="str">
        <f t="shared" si="22"/>
        <v>GUARDIAN</v>
      </c>
    </row>
    <row r="1890" spans="5:8" x14ac:dyDescent="0.25">
      <c r="E1890" t="str">
        <f>""</f>
        <v/>
      </c>
      <c r="F1890" t="str">
        <f>""</f>
        <v/>
      </c>
      <c r="H1890" t="str">
        <f t="shared" si="22"/>
        <v>GUARDIAN</v>
      </c>
    </row>
    <row r="1891" spans="5:8" x14ac:dyDescent="0.25">
      <c r="E1891" t="str">
        <f>""</f>
        <v/>
      </c>
      <c r="F1891" t="str">
        <f>""</f>
        <v/>
      </c>
      <c r="H1891" t="str">
        <f t="shared" si="22"/>
        <v>GUARDIAN</v>
      </c>
    </row>
    <row r="1892" spans="5:8" x14ac:dyDescent="0.25">
      <c r="E1892" t="str">
        <f>""</f>
        <v/>
      </c>
      <c r="F1892" t="str">
        <f>""</f>
        <v/>
      </c>
      <c r="H1892" t="str">
        <f t="shared" si="22"/>
        <v>GUARDIAN</v>
      </c>
    </row>
    <row r="1893" spans="5:8" x14ac:dyDescent="0.25">
      <c r="E1893" t="str">
        <f>""</f>
        <v/>
      </c>
      <c r="F1893" t="str">
        <f>""</f>
        <v/>
      </c>
      <c r="H1893" t="str">
        <f t="shared" si="22"/>
        <v>GUARDIAN</v>
      </c>
    </row>
    <row r="1894" spans="5:8" x14ac:dyDescent="0.25">
      <c r="E1894" t="str">
        <f>""</f>
        <v/>
      </c>
      <c r="F1894" t="str">
        <f>""</f>
        <v/>
      </c>
      <c r="H1894" t="str">
        <f t="shared" si="22"/>
        <v>GUARDIAN</v>
      </c>
    </row>
    <row r="1895" spans="5:8" x14ac:dyDescent="0.25">
      <c r="E1895" t="str">
        <f>""</f>
        <v/>
      </c>
      <c r="F1895" t="str">
        <f>""</f>
        <v/>
      </c>
      <c r="H1895" t="str">
        <f t="shared" si="22"/>
        <v>GUARDIAN</v>
      </c>
    </row>
    <row r="1896" spans="5:8" x14ac:dyDescent="0.25">
      <c r="E1896" t="str">
        <f>""</f>
        <v/>
      </c>
      <c r="F1896" t="str">
        <f>""</f>
        <v/>
      </c>
      <c r="H1896" t="str">
        <f t="shared" si="22"/>
        <v>GUARDIAN</v>
      </c>
    </row>
    <row r="1897" spans="5:8" x14ac:dyDescent="0.25">
      <c r="E1897" t="str">
        <f>""</f>
        <v/>
      </c>
      <c r="F1897" t="str">
        <f>""</f>
        <v/>
      </c>
      <c r="H1897" t="str">
        <f t="shared" si="22"/>
        <v>GUARDIAN</v>
      </c>
    </row>
    <row r="1898" spans="5:8" x14ac:dyDescent="0.25">
      <c r="E1898" t="str">
        <f>""</f>
        <v/>
      </c>
      <c r="F1898" t="str">
        <f>""</f>
        <v/>
      </c>
      <c r="H1898" t="str">
        <f t="shared" si="22"/>
        <v>GUARDIAN</v>
      </c>
    </row>
    <row r="1899" spans="5:8" x14ac:dyDescent="0.25">
      <c r="E1899" t="str">
        <f>""</f>
        <v/>
      </c>
      <c r="F1899" t="str">
        <f>""</f>
        <v/>
      </c>
      <c r="H1899" t="str">
        <f t="shared" si="22"/>
        <v>GUARDIAN</v>
      </c>
    </row>
    <row r="1900" spans="5:8" x14ac:dyDescent="0.25">
      <c r="E1900" t="str">
        <f>""</f>
        <v/>
      </c>
      <c r="F1900" t="str">
        <f>""</f>
        <v/>
      </c>
      <c r="H1900" t="str">
        <f t="shared" si="22"/>
        <v>GUARDIAN</v>
      </c>
    </row>
    <row r="1901" spans="5:8" x14ac:dyDescent="0.25">
      <c r="E1901" t="str">
        <f>""</f>
        <v/>
      </c>
      <c r="F1901" t="str">
        <f>""</f>
        <v/>
      </c>
      <c r="H1901" t="str">
        <f t="shared" si="22"/>
        <v>GUARDIAN</v>
      </c>
    </row>
    <row r="1902" spans="5:8" x14ac:dyDescent="0.25">
      <c r="E1902" t="str">
        <f>""</f>
        <v/>
      </c>
      <c r="F1902" t="str">
        <f>""</f>
        <v/>
      </c>
      <c r="H1902" t="str">
        <f t="shared" si="22"/>
        <v>GUARDIAN</v>
      </c>
    </row>
    <row r="1903" spans="5:8" x14ac:dyDescent="0.25">
      <c r="E1903" t="str">
        <f>""</f>
        <v/>
      </c>
      <c r="F1903" t="str">
        <f>""</f>
        <v/>
      </c>
      <c r="H1903" t="str">
        <f t="shared" si="22"/>
        <v>GUARDIAN</v>
      </c>
    </row>
    <row r="1904" spans="5:8" x14ac:dyDescent="0.25">
      <c r="E1904" t="str">
        <f>""</f>
        <v/>
      </c>
      <c r="F1904" t="str">
        <f>""</f>
        <v/>
      </c>
      <c r="H1904" t="str">
        <f t="shared" si="22"/>
        <v>GUARDIAN</v>
      </c>
    </row>
    <row r="1905" spans="5:8" x14ac:dyDescent="0.25">
      <c r="E1905" t="str">
        <f>""</f>
        <v/>
      </c>
      <c r="F1905" t="str">
        <f>""</f>
        <v/>
      </c>
      <c r="H1905" t="str">
        <f t="shared" si="22"/>
        <v>GUARDIAN</v>
      </c>
    </row>
    <row r="1906" spans="5:8" x14ac:dyDescent="0.25">
      <c r="E1906" t="str">
        <f>""</f>
        <v/>
      </c>
      <c r="F1906" t="str">
        <f>""</f>
        <v/>
      </c>
      <c r="H1906" t="str">
        <f t="shared" si="22"/>
        <v>GUARDIAN</v>
      </c>
    </row>
    <row r="1907" spans="5:8" x14ac:dyDescent="0.25">
      <c r="E1907" t="str">
        <f>""</f>
        <v/>
      </c>
      <c r="F1907" t="str">
        <f>""</f>
        <v/>
      </c>
      <c r="H1907" t="str">
        <f t="shared" si="22"/>
        <v>GUARDIAN</v>
      </c>
    </row>
    <row r="1908" spans="5:8" x14ac:dyDescent="0.25">
      <c r="E1908" t="str">
        <f>""</f>
        <v/>
      </c>
      <c r="F1908" t="str">
        <f>""</f>
        <v/>
      </c>
      <c r="H1908" t="str">
        <f t="shared" si="22"/>
        <v>GUARDIAN</v>
      </c>
    </row>
    <row r="1909" spans="5:8" x14ac:dyDescent="0.25">
      <c r="E1909" t="str">
        <f>""</f>
        <v/>
      </c>
      <c r="F1909" t="str">
        <f>""</f>
        <v/>
      </c>
      <c r="H1909" t="str">
        <f t="shared" si="22"/>
        <v>GUARDIAN</v>
      </c>
    </row>
    <row r="1910" spans="5:8" x14ac:dyDescent="0.25">
      <c r="E1910" t="str">
        <f>""</f>
        <v/>
      </c>
      <c r="F1910" t="str">
        <f>""</f>
        <v/>
      </c>
      <c r="H1910" t="str">
        <f t="shared" si="22"/>
        <v>GUARDIAN</v>
      </c>
    </row>
    <row r="1911" spans="5:8" x14ac:dyDescent="0.25">
      <c r="E1911" t="str">
        <f>""</f>
        <v/>
      </c>
      <c r="F1911" t="str">
        <f>""</f>
        <v/>
      </c>
      <c r="H1911" t="str">
        <f t="shared" si="22"/>
        <v>GUARDIAN</v>
      </c>
    </row>
    <row r="1912" spans="5:8" x14ac:dyDescent="0.25">
      <c r="E1912" t="str">
        <f>""</f>
        <v/>
      </c>
      <c r="F1912" t="str">
        <f>""</f>
        <v/>
      </c>
      <c r="H1912" t="str">
        <f t="shared" si="22"/>
        <v>GUARDIAN</v>
      </c>
    </row>
    <row r="1913" spans="5:8" x14ac:dyDescent="0.25">
      <c r="E1913" t="str">
        <f>""</f>
        <v/>
      </c>
      <c r="F1913" t="str">
        <f>""</f>
        <v/>
      </c>
      <c r="H1913" t="str">
        <f t="shared" ref="H1913:H1944" si="23">"GUARDIAN"</f>
        <v>GUARDIAN</v>
      </c>
    </row>
    <row r="1914" spans="5:8" x14ac:dyDescent="0.25">
      <c r="E1914" t="str">
        <f>""</f>
        <v/>
      </c>
      <c r="F1914" t="str">
        <f>""</f>
        <v/>
      </c>
      <c r="H1914" t="str">
        <f t="shared" si="23"/>
        <v>GUARDIAN</v>
      </c>
    </row>
    <row r="1915" spans="5:8" x14ac:dyDescent="0.25">
      <c r="E1915" t="str">
        <f>""</f>
        <v/>
      </c>
      <c r="F1915" t="str">
        <f>""</f>
        <v/>
      </c>
      <c r="H1915" t="str">
        <f t="shared" si="23"/>
        <v>GUARDIAN</v>
      </c>
    </row>
    <row r="1916" spans="5:8" x14ac:dyDescent="0.25">
      <c r="E1916" t="str">
        <f>""</f>
        <v/>
      </c>
      <c r="F1916" t="str">
        <f>""</f>
        <v/>
      </c>
      <c r="H1916" t="str">
        <f t="shared" si="23"/>
        <v>GUARDIAN</v>
      </c>
    </row>
    <row r="1917" spans="5:8" x14ac:dyDescent="0.25">
      <c r="E1917" t="str">
        <f>""</f>
        <v/>
      </c>
      <c r="F1917" t="str">
        <f>""</f>
        <v/>
      </c>
      <c r="H1917" t="str">
        <f t="shared" si="23"/>
        <v>GUARDIAN</v>
      </c>
    </row>
    <row r="1918" spans="5:8" x14ac:dyDescent="0.25">
      <c r="E1918" t="str">
        <f>""</f>
        <v/>
      </c>
      <c r="F1918" t="str">
        <f>""</f>
        <v/>
      </c>
      <c r="H1918" t="str">
        <f t="shared" si="23"/>
        <v>GUARDIAN</v>
      </c>
    </row>
    <row r="1919" spans="5:8" x14ac:dyDescent="0.25">
      <c r="E1919" t="str">
        <f>"LIE201909031426"</f>
        <v>LIE201909031426</v>
      </c>
      <c r="F1919" t="str">
        <f>"GUARDIAN"</f>
        <v>GUARDIAN</v>
      </c>
      <c r="G1919" s="2">
        <v>83.65</v>
      </c>
      <c r="H1919" t="str">
        <f t="shared" si="23"/>
        <v>GUARDIAN</v>
      </c>
    </row>
    <row r="1920" spans="5:8" x14ac:dyDescent="0.25">
      <c r="E1920" t="str">
        <f>""</f>
        <v/>
      </c>
      <c r="F1920" t="str">
        <f>""</f>
        <v/>
      </c>
      <c r="H1920" t="str">
        <f t="shared" si="23"/>
        <v>GUARDIAN</v>
      </c>
    </row>
    <row r="1921" spans="5:8" x14ac:dyDescent="0.25">
      <c r="E1921" t="str">
        <f>"LIE201909181931"</f>
        <v>LIE201909181931</v>
      </c>
      <c r="F1921" t="str">
        <f>"GUARDIAN"</f>
        <v>GUARDIAN</v>
      </c>
      <c r="G1921" s="2">
        <v>3385.85</v>
      </c>
      <c r="H1921" t="str">
        <f t="shared" si="23"/>
        <v>GUARDIAN</v>
      </c>
    </row>
    <row r="1922" spans="5:8" x14ac:dyDescent="0.25">
      <c r="E1922" t="str">
        <f>""</f>
        <v/>
      </c>
      <c r="F1922" t="str">
        <f>""</f>
        <v/>
      </c>
      <c r="H1922" t="str">
        <f t="shared" si="23"/>
        <v>GUARDIAN</v>
      </c>
    </row>
    <row r="1923" spans="5:8" x14ac:dyDescent="0.25">
      <c r="E1923" t="str">
        <f>""</f>
        <v/>
      </c>
      <c r="F1923" t="str">
        <f>""</f>
        <v/>
      </c>
      <c r="H1923" t="str">
        <f t="shared" si="23"/>
        <v>GUARDIAN</v>
      </c>
    </row>
    <row r="1924" spans="5:8" x14ac:dyDescent="0.25">
      <c r="E1924" t="str">
        <f>""</f>
        <v/>
      </c>
      <c r="F1924" t="str">
        <f>""</f>
        <v/>
      </c>
      <c r="H1924" t="str">
        <f t="shared" si="23"/>
        <v>GUARDIAN</v>
      </c>
    </row>
    <row r="1925" spans="5:8" x14ac:dyDescent="0.25">
      <c r="E1925" t="str">
        <f>""</f>
        <v/>
      </c>
      <c r="F1925" t="str">
        <f>""</f>
        <v/>
      </c>
      <c r="H1925" t="str">
        <f t="shared" si="23"/>
        <v>GUARDIAN</v>
      </c>
    </row>
    <row r="1926" spans="5:8" x14ac:dyDescent="0.25">
      <c r="E1926" t="str">
        <f>""</f>
        <v/>
      </c>
      <c r="F1926" t="str">
        <f>""</f>
        <v/>
      </c>
      <c r="H1926" t="str">
        <f t="shared" si="23"/>
        <v>GUARDIAN</v>
      </c>
    </row>
    <row r="1927" spans="5:8" x14ac:dyDescent="0.25">
      <c r="E1927" t="str">
        <f>""</f>
        <v/>
      </c>
      <c r="F1927" t="str">
        <f>""</f>
        <v/>
      </c>
      <c r="H1927" t="str">
        <f t="shared" si="23"/>
        <v>GUARDIAN</v>
      </c>
    </row>
    <row r="1928" spans="5:8" x14ac:dyDescent="0.25">
      <c r="E1928" t="str">
        <f>""</f>
        <v/>
      </c>
      <c r="F1928" t="str">
        <f>""</f>
        <v/>
      </c>
      <c r="H1928" t="str">
        <f t="shared" si="23"/>
        <v>GUARDIAN</v>
      </c>
    </row>
    <row r="1929" spans="5:8" x14ac:dyDescent="0.25">
      <c r="E1929" t="str">
        <f>""</f>
        <v/>
      </c>
      <c r="F1929" t="str">
        <f>""</f>
        <v/>
      </c>
      <c r="H1929" t="str">
        <f t="shared" si="23"/>
        <v>GUARDIAN</v>
      </c>
    </row>
    <row r="1930" spans="5:8" x14ac:dyDescent="0.25">
      <c r="E1930" t="str">
        <f>""</f>
        <v/>
      </c>
      <c r="F1930" t="str">
        <f>""</f>
        <v/>
      </c>
      <c r="H1930" t="str">
        <f t="shared" si="23"/>
        <v>GUARDIAN</v>
      </c>
    </row>
    <row r="1931" spans="5:8" x14ac:dyDescent="0.25">
      <c r="E1931" t="str">
        <f>""</f>
        <v/>
      </c>
      <c r="F1931" t="str">
        <f>""</f>
        <v/>
      </c>
      <c r="H1931" t="str">
        <f t="shared" si="23"/>
        <v>GUARDIAN</v>
      </c>
    </row>
    <row r="1932" spans="5:8" x14ac:dyDescent="0.25">
      <c r="E1932" t="str">
        <f>""</f>
        <v/>
      </c>
      <c r="F1932" t="str">
        <f>""</f>
        <v/>
      </c>
      <c r="H1932" t="str">
        <f t="shared" si="23"/>
        <v>GUARDIAN</v>
      </c>
    </row>
    <row r="1933" spans="5:8" x14ac:dyDescent="0.25">
      <c r="E1933" t="str">
        <f>""</f>
        <v/>
      </c>
      <c r="F1933" t="str">
        <f>""</f>
        <v/>
      </c>
      <c r="H1933" t="str">
        <f t="shared" si="23"/>
        <v>GUARDIAN</v>
      </c>
    </row>
    <row r="1934" spans="5:8" x14ac:dyDescent="0.25">
      <c r="E1934" t="str">
        <f>""</f>
        <v/>
      </c>
      <c r="F1934" t="str">
        <f>""</f>
        <v/>
      </c>
      <c r="H1934" t="str">
        <f t="shared" si="23"/>
        <v>GUARDIAN</v>
      </c>
    </row>
    <row r="1935" spans="5:8" x14ac:dyDescent="0.25">
      <c r="E1935" t="str">
        <f>""</f>
        <v/>
      </c>
      <c r="F1935" t="str">
        <f>""</f>
        <v/>
      </c>
      <c r="H1935" t="str">
        <f t="shared" si="23"/>
        <v>GUARDIAN</v>
      </c>
    </row>
    <row r="1936" spans="5:8" x14ac:dyDescent="0.25">
      <c r="E1936" t="str">
        <f>""</f>
        <v/>
      </c>
      <c r="F1936" t="str">
        <f>""</f>
        <v/>
      </c>
      <c r="H1936" t="str">
        <f t="shared" si="23"/>
        <v>GUARDIAN</v>
      </c>
    </row>
    <row r="1937" spans="5:8" x14ac:dyDescent="0.25">
      <c r="E1937" t="str">
        <f>""</f>
        <v/>
      </c>
      <c r="F1937" t="str">
        <f>""</f>
        <v/>
      </c>
      <c r="H1937" t="str">
        <f t="shared" si="23"/>
        <v>GUARDIAN</v>
      </c>
    </row>
    <row r="1938" spans="5:8" x14ac:dyDescent="0.25">
      <c r="E1938" t="str">
        <f>""</f>
        <v/>
      </c>
      <c r="F1938" t="str">
        <f>""</f>
        <v/>
      </c>
      <c r="H1938" t="str">
        <f t="shared" si="23"/>
        <v>GUARDIAN</v>
      </c>
    </row>
    <row r="1939" spans="5:8" x14ac:dyDescent="0.25">
      <c r="E1939" t="str">
        <f>""</f>
        <v/>
      </c>
      <c r="F1939" t="str">
        <f>""</f>
        <v/>
      </c>
      <c r="H1939" t="str">
        <f t="shared" si="23"/>
        <v>GUARDIAN</v>
      </c>
    </row>
    <row r="1940" spans="5:8" x14ac:dyDescent="0.25">
      <c r="E1940" t="str">
        <f>""</f>
        <v/>
      </c>
      <c r="F1940" t="str">
        <f>""</f>
        <v/>
      </c>
      <c r="H1940" t="str">
        <f t="shared" si="23"/>
        <v>GUARDIAN</v>
      </c>
    </row>
    <row r="1941" spans="5:8" x14ac:dyDescent="0.25">
      <c r="E1941" t="str">
        <f>""</f>
        <v/>
      </c>
      <c r="F1941" t="str">
        <f>""</f>
        <v/>
      </c>
      <c r="H1941" t="str">
        <f t="shared" si="23"/>
        <v>GUARDIAN</v>
      </c>
    </row>
    <row r="1942" spans="5:8" x14ac:dyDescent="0.25">
      <c r="E1942" t="str">
        <f>""</f>
        <v/>
      </c>
      <c r="F1942" t="str">
        <f>""</f>
        <v/>
      </c>
      <c r="H1942" t="str">
        <f t="shared" si="23"/>
        <v>GUARDIAN</v>
      </c>
    </row>
    <row r="1943" spans="5:8" x14ac:dyDescent="0.25">
      <c r="E1943" t="str">
        <f>""</f>
        <v/>
      </c>
      <c r="F1943" t="str">
        <f>""</f>
        <v/>
      </c>
      <c r="H1943" t="str">
        <f t="shared" si="23"/>
        <v>GUARDIAN</v>
      </c>
    </row>
    <row r="1944" spans="5:8" x14ac:dyDescent="0.25">
      <c r="E1944" t="str">
        <f>""</f>
        <v/>
      </c>
      <c r="F1944" t="str">
        <f>""</f>
        <v/>
      </c>
      <c r="H1944" t="str">
        <f t="shared" si="23"/>
        <v>GUARDIAN</v>
      </c>
    </row>
    <row r="1945" spans="5:8" x14ac:dyDescent="0.25">
      <c r="E1945" t="str">
        <f>""</f>
        <v/>
      </c>
      <c r="F1945" t="str">
        <f>""</f>
        <v/>
      </c>
      <c r="H1945" t="str">
        <f t="shared" ref="H1945:H1976" si="24">"GUARDIAN"</f>
        <v>GUARDIAN</v>
      </c>
    </row>
    <row r="1946" spans="5:8" x14ac:dyDescent="0.25">
      <c r="E1946" t="str">
        <f>""</f>
        <v/>
      </c>
      <c r="F1946" t="str">
        <f>""</f>
        <v/>
      </c>
      <c r="H1946" t="str">
        <f t="shared" si="24"/>
        <v>GUARDIAN</v>
      </c>
    </row>
    <row r="1947" spans="5:8" x14ac:dyDescent="0.25">
      <c r="E1947" t="str">
        <f>""</f>
        <v/>
      </c>
      <c r="F1947" t="str">
        <f>""</f>
        <v/>
      </c>
      <c r="H1947" t="str">
        <f t="shared" si="24"/>
        <v>GUARDIAN</v>
      </c>
    </row>
    <row r="1948" spans="5:8" x14ac:dyDescent="0.25">
      <c r="E1948" t="str">
        <f>""</f>
        <v/>
      </c>
      <c r="F1948" t="str">
        <f>""</f>
        <v/>
      </c>
      <c r="H1948" t="str">
        <f t="shared" si="24"/>
        <v>GUARDIAN</v>
      </c>
    </row>
    <row r="1949" spans="5:8" x14ac:dyDescent="0.25">
      <c r="E1949" t="str">
        <f>""</f>
        <v/>
      </c>
      <c r="F1949" t="str">
        <f>""</f>
        <v/>
      </c>
      <c r="H1949" t="str">
        <f t="shared" si="24"/>
        <v>GUARDIAN</v>
      </c>
    </row>
    <row r="1950" spans="5:8" x14ac:dyDescent="0.25">
      <c r="E1950" t="str">
        <f>""</f>
        <v/>
      </c>
      <c r="F1950" t="str">
        <f>""</f>
        <v/>
      </c>
      <c r="H1950" t="str">
        <f t="shared" si="24"/>
        <v>GUARDIAN</v>
      </c>
    </row>
    <row r="1951" spans="5:8" x14ac:dyDescent="0.25">
      <c r="E1951" t="str">
        <f>""</f>
        <v/>
      </c>
      <c r="F1951" t="str">
        <f>""</f>
        <v/>
      </c>
      <c r="H1951" t="str">
        <f t="shared" si="24"/>
        <v>GUARDIAN</v>
      </c>
    </row>
    <row r="1952" spans="5:8" x14ac:dyDescent="0.25">
      <c r="E1952" t="str">
        <f>""</f>
        <v/>
      </c>
      <c r="F1952" t="str">
        <f>""</f>
        <v/>
      </c>
      <c r="H1952" t="str">
        <f t="shared" si="24"/>
        <v>GUARDIAN</v>
      </c>
    </row>
    <row r="1953" spans="5:8" x14ac:dyDescent="0.25">
      <c r="E1953" t="str">
        <f>""</f>
        <v/>
      </c>
      <c r="F1953" t="str">
        <f>""</f>
        <v/>
      </c>
      <c r="H1953" t="str">
        <f t="shared" si="24"/>
        <v>GUARDIAN</v>
      </c>
    </row>
    <row r="1954" spans="5:8" x14ac:dyDescent="0.25">
      <c r="E1954" t="str">
        <f>""</f>
        <v/>
      </c>
      <c r="F1954" t="str">
        <f>""</f>
        <v/>
      </c>
      <c r="H1954" t="str">
        <f t="shared" si="24"/>
        <v>GUARDIAN</v>
      </c>
    </row>
    <row r="1955" spans="5:8" x14ac:dyDescent="0.25">
      <c r="E1955" t="str">
        <f>""</f>
        <v/>
      </c>
      <c r="F1955" t="str">
        <f>""</f>
        <v/>
      </c>
      <c r="H1955" t="str">
        <f t="shared" si="24"/>
        <v>GUARDIAN</v>
      </c>
    </row>
    <row r="1956" spans="5:8" x14ac:dyDescent="0.25">
      <c r="E1956" t="str">
        <f>""</f>
        <v/>
      </c>
      <c r="F1956" t="str">
        <f>""</f>
        <v/>
      </c>
      <c r="H1956" t="str">
        <f t="shared" si="24"/>
        <v>GUARDIAN</v>
      </c>
    </row>
    <row r="1957" spans="5:8" x14ac:dyDescent="0.25">
      <c r="E1957" t="str">
        <f>""</f>
        <v/>
      </c>
      <c r="F1957" t="str">
        <f>""</f>
        <v/>
      </c>
      <c r="H1957" t="str">
        <f t="shared" si="24"/>
        <v>GUARDIAN</v>
      </c>
    </row>
    <row r="1958" spans="5:8" x14ac:dyDescent="0.25">
      <c r="E1958" t="str">
        <f>""</f>
        <v/>
      </c>
      <c r="F1958" t="str">
        <f>""</f>
        <v/>
      </c>
      <c r="H1958" t="str">
        <f t="shared" si="24"/>
        <v>GUARDIAN</v>
      </c>
    </row>
    <row r="1959" spans="5:8" x14ac:dyDescent="0.25">
      <c r="E1959" t="str">
        <f>""</f>
        <v/>
      </c>
      <c r="F1959" t="str">
        <f>""</f>
        <v/>
      </c>
      <c r="H1959" t="str">
        <f t="shared" si="24"/>
        <v>GUARDIAN</v>
      </c>
    </row>
    <row r="1960" spans="5:8" x14ac:dyDescent="0.25">
      <c r="E1960" t="str">
        <f>""</f>
        <v/>
      </c>
      <c r="F1960" t="str">
        <f>""</f>
        <v/>
      </c>
      <c r="H1960" t="str">
        <f t="shared" si="24"/>
        <v>GUARDIAN</v>
      </c>
    </row>
    <row r="1961" spans="5:8" x14ac:dyDescent="0.25">
      <c r="E1961" t="str">
        <f>""</f>
        <v/>
      </c>
      <c r="F1961" t="str">
        <f>""</f>
        <v/>
      </c>
      <c r="H1961" t="str">
        <f t="shared" si="24"/>
        <v>GUARDIAN</v>
      </c>
    </row>
    <row r="1962" spans="5:8" x14ac:dyDescent="0.25">
      <c r="E1962" t="str">
        <f>""</f>
        <v/>
      </c>
      <c r="F1962" t="str">
        <f>""</f>
        <v/>
      </c>
      <c r="H1962" t="str">
        <f t="shared" si="24"/>
        <v>GUARDIAN</v>
      </c>
    </row>
    <row r="1963" spans="5:8" x14ac:dyDescent="0.25">
      <c r="E1963" t="str">
        <f>""</f>
        <v/>
      </c>
      <c r="F1963" t="str">
        <f>""</f>
        <v/>
      </c>
      <c r="H1963" t="str">
        <f t="shared" si="24"/>
        <v>GUARDIAN</v>
      </c>
    </row>
    <row r="1964" spans="5:8" x14ac:dyDescent="0.25">
      <c r="E1964" t="str">
        <f>""</f>
        <v/>
      </c>
      <c r="F1964" t="str">
        <f>""</f>
        <v/>
      </c>
      <c r="H1964" t="str">
        <f t="shared" si="24"/>
        <v>GUARDIAN</v>
      </c>
    </row>
    <row r="1965" spans="5:8" x14ac:dyDescent="0.25">
      <c r="E1965" t="str">
        <f>""</f>
        <v/>
      </c>
      <c r="F1965" t="str">
        <f>""</f>
        <v/>
      </c>
      <c r="H1965" t="str">
        <f t="shared" si="24"/>
        <v>GUARDIAN</v>
      </c>
    </row>
    <row r="1966" spans="5:8" x14ac:dyDescent="0.25">
      <c r="E1966" t="str">
        <f>""</f>
        <v/>
      </c>
      <c r="F1966" t="str">
        <f>""</f>
        <v/>
      </c>
      <c r="H1966" t="str">
        <f t="shared" si="24"/>
        <v>GUARDIAN</v>
      </c>
    </row>
    <row r="1967" spans="5:8" x14ac:dyDescent="0.25">
      <c r="E1967" t="str">
        <f>""</f>
        <v/>
      </c>
      <c r="F1967" t="str">
        <f>""</f>
        <v/>
      </c>
      <c r="H1967" t="str">
        <f t="shared" si="24"/>
        <v>GUARDIAN</v>
      </c>
    </row>
    <row r="1968" spans="5:8" x14ac:dyDescent="0.25">
      <c r="E1968" t="str">
        <f>""</f>
        <v/>
      </c>
      <c r="F1968" t="str">
        <f>""</f>
        <v/>
      </c>
      <c r="H1968" t="str">
        <f t="shared" si="24"/>
        <v>GUARDIAN</v>
      </c>
    </row>
    <row r="1969" spans="1:8" x14ac:dyDescent="0.25">
      <c r="E1969" t="str">
        <f>""</f>
        <v/>
      </c>
      <c r="F1969" t="str">
        <f>""</f>
        <v/>
      </c>
      <c r="H1969" t="str">
        <f t="shared" si="24"/>
        <v>GUARDIAN</v>
      </c>
    </row>
    <row r="1970" spans="1:8" x14ac:dyDescent="0.25">
      <c r="E1970" t="str">
        <f>""</f>
        <v/>
      </c>
      <c r="F1970" t="str">
        <f>""</f>
        <v/>
      </c>
      <c r="H1970" t="str">
        <f t="shared" si="24"/>
        <v>GUARDIAN</v>
      </c>
    </row>
    <row r="1971" spans="1:8" x14ac:dyDescent="0.25">
      <c r="E1971" t="str">
        <f>"LIE201909181934"</f>
        <v>LIE201909181934</v>
      </c>
      <c r="F1971" t="str">
        <f>"GUARDIAN"</f>
        <v>GUARDIAN</v>
      </c>
      <c r="G1971" s="2">
        <v>83.65</v>
      </c>
      <c r="H1971" t="str">
        <f t="shared" si="24"/>
        <v>GUARDIAN</v>
      </c>
    </row>
    <row r="1972" spans="1:8" x14ac:dyDescent="0.25">
      <c r="E1972" t="str">
        <f>""</f>
        <v/>
      </c>
      <c r="F1972" t="str">
        <f>""</f>
        <v/>
      </c>
      <c r="H1972" t="str">
        <f t="shared" si="24"/>
        <v>GUARDIAN</v>
      </c>
    </row>
    <row r="1973" spans="1:8" x14ac:dyDescent="0.25">
      <c r="E1973" t="str">
        <f>"LIS201909031425"</f>
        <v>LIS201909031425</v>
      </c>
      <c r="F1973" t="str">
        <f t="shared" ref="F1973:F1984" si="25">"GUARDIAN"</f>
        <v>GUARDIAN</v>
      </c>
      <c r="G1973" s="2">
        <v>462.68</v>
      </c>
      <c r="H1973" t="str">
        <f t="shared" si="24"/>
        <v>GUARDIAN</v>
      </c>
    </row>
    <row r="1974" spans="1:8" x14ac:dyDescent="0.25">
      <c r="E1974" t="str">
        <f>"LIS201909031426"</f>
        <v>LIS201909031426</v>
      </c>
      <c r="F1974" t="str">
        <f t="shared" si="25"/>
        <v>GUARDIAN</v>
      </c>
      <c r="G1974" s="2">
        <v>36.15</v>
      </c>
      <c r="H1974" t="str">
        <f t="shared" si="24"/>
        <v>GUARDIAN</v>
      </c>
    </row>
    <row r="1975" spans="1:8" x14ac:dyDescent="0.25">
      <c r="E1975" t="str">
        <f>"LIS201909181931"</f>
        <v>LIS201909181931</v>
      </c>
      <c r="F1975" t="str">
        <f t="shared" si="25"/>
        <v>GUARDIAN</v>
      </c>
      <c r="G1975" s="2">
        <v>462.68</v>
      </c>
      <c r="H1975" t="str">
        <f t="shared" si="24"/>
        <v>GUARDIAN</v>
      </c>
    </row>
    <row r="1976" spans="1:8" x14ac:dyDescent="0.25">
      <c r="E1976" t="str">
        <f>"LIS201909181934"</f>
        <v>LIS201909181934</v>
      </c>
      <c r="F1976" t="str">
        <f t="shared" si="25"/>
        <v>GUARDIAN</v>
      </c>
      <c r="G1976" s="2">
        <v>36.15</v>
      </c>
      <c r="H1976" t="str">
        <f t="shared" si="24"/>
        <v>GUARDIAN</v>
      </c>
    </row>
    <row r="1977" spans="1:8" x14ac:dyDescent="0.25">
      <c r="E1977" t="str">
        <f>"LTD201909031425"</f>
        <v>LTD201909031425</v>
      </c>
      <c r="F1977" t="str">
        <f t="shared" si="25"/>
        <v>GUARDIAN</v>
      </c>
      <c r="G1977" s="2">
        <v>791.27</v>
      </c>
      <c r="H1977" t="str">
        <f t="shared" ref="H1977:H1984" si="26">"GUARDIAN"</f>
        <v>GUARDIAN</v>
      </c>
    </row>
    <row r="1978" spans="1:8" x14ac:dyDescent="0.25">
      <c r="E1978" t="str">
        <f>"LTD201909031426"</f>
        <v>LTD201909031426</v>
      </c>
      <c r="F1978" t="str">
        <f t="shared" si="25"/>
        <v>GUARDIAN</v>
      </c>
      <c r="G1978" s="2">
        <v>6.11</v>
      </c>
      <c r="H1978" t="str">
        <f t="shared" si="26"/>
        <v>GUARDIAN</v>
      </c>
    </row>
    <row r="1979" spans="1:8" x14ac:dyDescent="0.25">
      <c r="E1979" t="str">
        <f>"LTD201909181931"</f>
        <v>LTD201909181931</v>
      </c>
      <c r="F1979" t="str">
        <f t="shared" si="25"/>
        <v>GUARDIAN</v>
      </c>
      <c r="G1979" s="2">
        <v>791.27</v>
      </c>
      <c r="H1979" t="str">
        <f t="shared" si="26"/>
        <v>GUARDIAN</v>
      </c>
    </row>
    <row r="1980" spans="1:8" x14ac:dyDescent="0.25">
      <c r="E1980" t="str">
        <f>"LTD201909181934"</f>
        <v>LTD201909181934</v>
      </c>
      <c r="F1980" t="str">
        <f t="shared" si="25"/>
        <v>GUARDIAN</v>
      </c>
      <c r="G1980" s="2">
        <v>6.11</v>
      </c>
      <c r="H1980" t="str">
        <f t="shared" si="26"/>
        <v>GUARDIAN</v>
      </c>
    </row>
    <row r="1981" spans="1:8" x14ac:dyDescent="0.25">
      <c r="A1981" t="s">
        <v>456</v>
      </c>
      <c r="B1981">
        <v>230</v>
      </c>
      <c r="C1981" s="2">
        <v>109.1</v>
      </c>
      <c r="D1981" s="1">
        <v>43734</v>
      </c>
      <c r="E1981" t="str">
        <f>"AEG201909031425"</f>
        <v>AEG201909031425</v>
      </c>
      <c r="F1981" t="str">
        <f t="shared" si="25"/>
        <v>GUARDIAN</v>
      </c>
      <c r="G1981" s="2">
        <v>6.66</v>
      </c>
      <c r="H1981" t="str">
        <f t="shared" si="26"/>
        <v>GUARDIAN</v>
      </c>
    </row>
    <row r="1982" spans="1:8" x14ac:dyDescent="0.25">
      <c r="E1982" t="str">
        <f>"AEG201909181931"</f>
        <v>AEG201909181931</v>
      </c>
      <c r="F1982" t="str">
        <f t="shared" si="25"/>
        <v>GUARDIAN</v>
      </c>
      <c r="G1982" s="2">
        <v>6.66</v>
      </c>
      <c r="H1982" t="str">
        <f t="shared" si="26"/>
        <v>GUARDIAN</v>
      </c>
    </row>
    <row r="1983" spans="1:8" x14ac:dyDescent="0.25">
      <c r="E1983" t="str">
        <f>"AFG201909031425"</f>
        <v>AFG201909031425</v>
      </c>
      <c r="F1983" t="str">
        <f t="shared" si="25"/>
        <v>GUARDIAN</v>
      </c>
      <c r="G1983" s="2">
        <v>47.89</v>
      </c>
      <c r="H1983" t="str">
        <f t="shared" si="26"/>
        <v>GUARDIAN</v>
      </c>
    </row>
    <row r="1984" spans="1:8" x14ac:dyDescent="0.25">
      <c r="E1984" t="str">
        <f>"AFG201909181931"</f>
        <v>AFG201909181931</v>
      </c>
      <c r="F1984" t="str">
        <f t="shared" si="25"/>
        <v>GUARDIAN</v>
      </c>
      <c r="G1984" s="2">
        <v>47.89</v>
      </c>
      <c r="H1984" t="str">
        <f t="shared" si="26"/>
        <v>GUARDIAN</v>
      </c>
    </row>
    <row r="1985" spans="1:8" x14ac:dyDescent="0.25">
      <c r="A1985" t="s">
        <v>457</v>
      </c>
      <c r="B1985">
        <v>211</v>
      </c>
      <c r="C1985" s="2">
        <v>229377.33</v>
      </c>
      <c r="D1985" s="1">
        <v>43714</v>
      </c>
      <c r="E1985" t="str">
        <f>"T1 201909031425"</f>
        <v>T1 201909031425</v>
      </c>
      <c r="F1985" t="str">
        <f>"FEDERAL WITHHOLDING"</f>
        <v>FEDERAL WITHHOLDING</v>
      </c>
      <c r="G1985" s="2">
        <v>75847.649999999994</v>
      </c>
      <c r="H1985" t="str">
        <f>"FEDERAL WITHHOLDING"</f>
        <v>FEDERAL WITHHOLDING</v>
      </c>
    </row>
    <row r="1986" spans="1:8" x14ac:dyDescent="0.25">
      <c r="E1986" t="str">
        <f>"T1 201909031426"</f>
        <v>T1 201909031426</v>
      </c>
      <c r="F1986" t="str">
        <f>"FEDERAL WITHHOLDING"</f>
        <v>FEDERAL WITHHOLDING</v>
      </c>
      <c r="G1986" s="2">
        <v>3146.96</v>
      </c>
      <c r="H1986" t="str">
        <f>"FEDERAL WITHHOLDING"</f>
        <v>FEDERAL WITHHOLDING</v>
      </c>
    </row>
    <row r="1987" spans="1:8" x14ac:dyDescent="0.25">
      <c r="E1987" t="str">
        <f>"T1 201909031427"</f>
        <v>T1 201909031427</v>
      </c>
      <c r="F1987" t="str">
        <f>"FEDERAL WITHHOLDING"</f>
        <v>FEDERAL WITHHOLDING</v>
      </c>
      <c r="G1987" s="2">
        <v>3345.56</v>
      </c>
      <c r="H1987" t="str">
        <f>"FEDERAL WITHHOLDING"</f>
        <v>FEDERAL WITHHOLDING</v>
      </c>
    </row>
    <row r="1988" spans="1:8" x14ac:dyDescent="0.25">
      <c r="E1988" t="str">
        <f>"T3 201909031425"</f>
        <v>T3 201909031425</v>
      </c>
      <c r="F1988" t="str">
        <f>"SOCIAL SECURITY TAXES"</f>
        <v>SOCIAL SECURITY TAXES</v>
      </c>
      <c r="G1988" s="2">
        <v>110052.24</v>
      </c>
      <c r="H1988" t="str">
        <f t="shared" ref="H1988:H2019" si="27">"SOCIAL SECURITY TAXES"</f>
        <v>SOCIAL SECURITY TAXES</v>
      </c>
    </row>
    <row r="1989" spans="1:8" x14ac:dyDescent="0.25">
      <c r="E1989" t="str">
        <f>""</f>
        <v/>
      </c>
      <c r="F1989" t="str">
        <f>""</f>
        <v/>
      </c>
      <c r="H1989" t="str">
        <f t="shared" si="27"/>
        <v>SOCIAL SECURITY TAXES</v>
      </c>
    </row>
    <row r="1990" spans="1:8" x14ac:dyDescent="0.25">
      <c r="E1990" t="str">
        <f>""</f>
        <v/>
      </c>
      <c r="F1990" t="str">
        <f>""</f>
        <v/>
      </c>
      <c r="H1990" t="str">
        <f t="shared" si="27"/>
        <v>SOCIAL SECURITY TAXES</v>
      </c>
    </row>
    <row r="1991" spans="1:8" x14ac:dyDescent="0.25">
      <c r="E1991" t="str">
        <f>""</f>
        <v/>
      </c>
      <c r="F1991" t="str">
        <f>""</f>
        <v/>
      </c>
      <c r="H1991" t="str">
        <f t="shared" si="27"/>
        <v>SOCIAL SECURITY TAXES</v>
      </c>
    </row>
    <row r="1992" spans="1:8" x14ac:dyDescent="0.25">
      <c r="E1992" t="str">
        <f>""</f>
        <v/>
      </c>
      <c r="F1992" t="str">
        <f>""</f>
        <v/>
      </c>
      <c r="H1992" t="str">
        <f t="shared" si="27"/>
        <v>SOCIAL SECURITY TAXES</v>
      </c>
    </row>
    <row r="1993" spans="1:8" x14ac:dyDescent="0.25">
      <c r="E1993" t="str">
        <f>""</f>
        <v/>
      </c>
      <c r="F1993" t="str">
        <f>""</f>
        <v/>
      </c>
      <c r="H1993" t="str">
        <f t="shared" si="27"/>
        <v>SOCIAL SECURITY TAXES</v>
      </c>
    </row>
    <row r="1994" spans="1:8" x14ac:dyDescent="0.25">
      <c r="E1994" t="str">
        <f>""</f>
        <v/>
      </c>
      <c r="F1994" t="str">
        <f>""</f>
        <v/>
      </c>
      <c r="H1994" t="str">
        <f t="shared" si="27"/>
        <v>SOCIAL SECURITY TAXES</v>
      </c>
    </row>
    <row r="1995" spans="1:8" x14ac:dyDescent="0.25">
      <c r="E1995" t="str">
        <f>""</f>
        <v/>
      </c>
      <c r="F1995" t="str">
        <f>""</f>
        <v/>
      </c>
      <c r="H1995" t="str">
        <f t="shared" si="27"/>
        <v>SOCIAL SECURITY TAXES</v>
      </c>
    </row>
    <row r="1996" spans="1:8" x14ac:dyDescent="0.25">
      <c r="E1996" t="str">
        <f>""</f>
        <v/>
      </c>
      <c r="F1996" t="str">
        <f>""</f>
        <v/>
      </c>
      <c r="H1996" t="str">
        <f t="shared" si="27"/>
        <v>SOCIAL SECURITY TAXES</v>
      </c>
    </row>
    <row r="1997" spans="1:8" x14ac:dyDescent="0.25">
      <c r="E1997" t="str">
        <f>""</f>
        <v/>
      </c>
      <c r="F1997" t="str">
        <f>""</f>
        <v/>
      </c>
      <c r="H1997" t="str">
        <f t="shared" si="27"/>
        <v>SOCIAL SECURITY TAXES</v>
      </c>
    </row>
    <row r="1998" spans="1:8" x14ac:dyDescent="0.25">
      <c r="E1998" t="str">
        <f>""</f>
        <v/>
      </c>
      <c r="F1998" t="str">
        <f>""</f>
        <v/>
      </c>
      <c r="H1998" t="str">
        <f t="shared" si="27"/>
        <v>SOCIAL SECURITY TAXES</v>
      </c>
    </row>
    <row r="1999" spans="1:8" x14ac:dyDescent="0.25">
      <c r="E1999" t="str">
        <f>""</f>
        <v/>
      </c>
      <c r="F1999" t="str">
        <f>""</f>
        <v/>
      </c>
      <c r="H1999" t="str">
        <f t="shared" si="27"/>
        <v>SOCIAL SECURITY TAXES</v>
      </c>
    </row>
    <row r="2000" spans="1:8" x14ac:dyDescent="0.25">
      <c r="E2000" t="str">
        <f>""</f>
        <v/>
      </c>
      <c r="F2000" t="str">
        <f>""</f>
        <v/>
      </c>
      <c r="H2000" t="str">
        <f t="shared" si="27"/>
        <v>SOCIAL SECURITY TAXES</v>
      </c>
    </row>
    <row r="2001" spans="5:8" x14ac:dyDescent="0.25">
      <c r="E2001" t="str">
        <f>""</f>
        <v/>
      </c>
      <c r="F2001" t="str">
        <f>""</f>
        <v/>
      </c>
      <c r="H2001" t="str">
        <f t="shared" si="27"/>
        <v>SOCIAL SECURITY TAXES</v>
      </c>
    </row>
    <row r="2002" spans="5:8" x14ac:dyDescent="0.25">
      <c r="E2002" t="str">
        <f>""</f>
        <v/>
      </c>
      <c r="F2002" t="str">
        <f>""</f>
        <v/>
      </c>
      <c r="H2002" t="str">
        <f t="shared" si="27"/>
        <v>SOCIAL SECURITY TAXES</v>
      </c>
    </row>
    <row r="2003" spans="5:8" x14ac:dyDescent="0.25">
      <c r="E2003" t="str">
        <f>""</f>
        <v/>
      </c>
      <c r="F2003" t="str">
        <f>""</f>
        <v/>
      </c>
      <c r="H2003" t="str">
        <f t="shared" si="27"/>
        <v>SOCIAL SECURITY TAXES</v>
      </c>
    </row>
    <row r="2004" spans="5:8" x14ac:dyDescent="0.25">
      <c r="E2004" t="str">
        <f>""</f>
        <v/>
      </c>
      <c r="F2004" t="str">
        <f>""</f>
        <v/>
      </c>
      <c r="H2004" t="str">
        <f t="shared" si="27"/>
        <v>SOCIAL SECURITY TAXES</v>
      </c>
    </row>
    <row r="2005" spans="5:8" x14ac:dyDescent="0.25">
      <c r="E2005" t="str">
        <f>""</f>
        <v/>
      </c>
      <c r="F2005" t="str">
        <f>""</f>
        <v/>
      </c>
      <c r="H2005" t="str">
        <f t="shared" si="27"/>
        <v>SOCIAL SECURITY TAXES</v>
      </c>
    </row>
    <row r="2006" spans="5:8" x14ac:dyDescent="0.25">
      <c r="E2006" t="str">
        <f>""</f>
        <v/>
      </c>
      <c r="F2006" t="str">
        <f>""</f>
        <v/>
      </c>
      <c r="H2006" t="str">
        <f t="shared" si="27"/>
        <v>SOCIAL SECURITY TAXES</v>
      </c>
    </row>
    <row r="2007" spans="5:8" x14ac:dyDescent="0.25">
      <c r="E2007" t="str">
        <f>""</f>
        <v/>
      </c>
      <c r="F2007" t="str">
        <f>""</f>
        <v/>
      </c>
      <c r="H2007" t="str">
        <f t="shared" si="27"/>
        <v>SOCIAL SECURITY TAXES</v>
      </c>
    </row>
    <row r="2008" spans="5:8" x14ac:dyDescent="0.25">
      <c r="E2008" t="str">
        <f>""</f>
        <v/>
      </c>
      <c r="F2008" t="str">
        <f>""</f>
        <v/>
      </c>
      <c r="H2008" t="str">
        <f t="shared" si="27"/>
        <v>SOCIAL SECURITY TAXES</v>
      </c>
    </row>
    <row r="2009" spans="5:8" x14ac:dyDescent="0.25">
      <c r="E2009" t="str">
        <f>""</f>
        <v/>
      </c>
      <c r="F2009" t="str">
        <f>""</f>
        <v/>
      </c>
      <c r="H2009" t="str">
        <f t="shared" si="27"/>
        <v>SOCIAL SECURITY TAXES</v>
      </c>
    </row>
    <row r="2010" spans="5:8" x14ac:dyDescent="0.25">
      <c r="E2010" t="str">
        <f>""</f>
        <v/>
      </c>
      <c r="F2010" t="str">
        <f>""</f>
        <v/>
      </c>
      <c r="H2010" t="str">
        <f t="shared" si="27"/>
        <v>SOCIAL SECURITY TAXES</v>
      </c>
    </row>
    <row r="2011" spans="5:8" x14ac:dyDescent="0.25">
      <c r="E2011" t="str">
        <f>""</f>
        <v/>
      </c>
      <c r="F2011" t="str">
        <f>""</f>
        <v/>
      </c>
      <c r="H2011" t="str">
        <f t="shared" si="27"/>
        <v>SOCIAL SECURITY TAXES</v>
      </c>
    </row>
    <row r="2012" spans="5:8" x14ac:dyDescent="0.25">
      <c r="E2012" t="str">
        <f>""</f>
        <v/>
      </c>
      <c r="F2012" t="str">
        <f>""</f>
        <v/>
      </c>
      <c r="H2012" t="str">
        <f t="shared" si="27"/>
        <v>SOCIAL SECURITY TAXES</v>
      </c>
    </row>
    <row r="2013" spans="5:8" x14ac:dyDescent="0.25">
      <c r="E2013" t="str">
        <f>""</f>
        <v/>
      </c>
      <c r="F2013" t="str">
        <f>""</f>
        <v/>
      </c>
      <c r="H2013" t="str">
        <f t="shared" si="27"/>
        <v>SOCIAL SECURITY TAXES</v>
      </c>
    </row>
    <row r="2014" spans="5:8" x14ac:dyDescent="0.25">
      <c r="E2014" t="str">
        <f>""</f>
        <v/>
      </c>
      <c r="F2014" t="str">
        <f>""</f>
        <v/>
      </c>
      <c r="H2014" t="str">
        <f t="shared" si="27"/>
        <v>SOCIAL SECURITY TAXES</v>
      </c>
    </row>
    <row r="2015" spans="5:8" x14ac:dyDescent="0.25">
      <c r="E2015" t="str">
        <f>""</f>
        <v/>
      </c>
      <c r="F2015" t="str">
        <f>""</f>
        <v/>
      </c>
      <c r="H2015" t="str">
        <f t="shared" si="27"/>
        <v>SOCIAL SECURITY TAXES</v>
      </c>
    </row>
    <row r="2016" spans="5:8" x14ac:dyDescent="0.25">
      <c r="E2016" t="str">
        <f>""</f>
        <v/>
      </c>
      <c r="F2016" t="str">
        <f>""</f>
        <v/>
      </c>
      <c r="H2016" t="str">
        <f t="shared" si="27"/>
        <v>SOCIAL SECURITY TAXES</v>
      </c>
    </row>
    <row r="2017" spans="5:8" x14ac:dyDescent="0.25">
      <c r="E2017" t="str">
        <f>""</f>
        <v/>
      </c>
      <c r="F2017" t="str">
        <f>""</f>
        <v/>
      </c>
      <c r="H2017" t="str">
        <f t="shared" si="27"/>
        <v>SOCIAL SECURITY TAXES</v>
      </c>
    </row>
    <row r="2018" spans="5:8" x14ac:dyDescent="0.25">
      <c r="E2018" t="str">
        <f>""</f>
        <v/>
      </c>
      <c r="F2018" t="str">
        <f>""</f>
        <v/>
      </c>
      <c r="H2018" t="str">
        <f t="shared" si="27"/>
        <v>SOCIAL SECURITY TAXES</v>
      </c>
    </row>
    <row r="2019" spans="5:8" x14ac:dyDescent="0.25">
      <c r="E2019" t="str">
        <f>""</f>
        <v/>
      </c>
      <c r="F2019" t="str">
        <f>""</f>
        <v/>
      </c>
      <c r="H2019" t="str">
        <f t="shared" si="27"/>
        <v>SOCIAL SECURITY TAXES</v>
      </c>
    </row>
    <row r="2020" spans="5:8" x14ac:dyDescent="0.25">
      <c r="E2020" t="str">
        <f>""</f>
        <v/>
      </c>
      <c r="F2020" t="str">
        <f>""</f>
        <v/>
      </c>
      <c r="H2020" t="str">
        <f t="shared" ref="H2020:H2043" si="28">"SOCIAL SECURITY TAXES"</f>
        <v>SOCIAL SECURITY TAXES</v>
      </c>
    </row>
    <row r="2021" spans="5:8" x14ac:dyDescent="0.25">
      <c r="E2021" t="str">
        <f>""</f>
        <v/>
      </c>
      <c r="F2021" t="str">
        <f>""</f>
        <v/>
      </c>
      <c r="H2021" t="str">
        <f t="shared" si="28"/>
        <v>SOCIAL SECURITY TAXES</v>
      </c>
    </row>
    <row r="2022" spans="5:8" x14ac:dyDescent="0.25">
      <c r="E2022" t="str">
        <f>""</f>
        <v/>
      </c>
      <c r="F2022" t="str">
        <f>""</f>
        <v/>
      </c>
      <c r="H2022" t="str">
        <f t="shared" si="28"/>
        <v>SOCIAL SECURITY TAXES</v>
      </c>
    </row>
    <row r="2023" spans="5:8" x14ac:dyDescent="0.25">
      <c r="E2023" t="str">
        <f>""</f>
        <v/>
      </c>
      <c r="F2023" t="str">
        <f>""</f>
        <v/>
      </c>
      <c r="H2023" t="str">
        <f t="shared" si="28"/>
        <v>SOCIAL SECURITY TAXES</v>
      </c>
    </row>
    <row r="2024" spans="5:8" x14ac:dyDescent="0.25">
      <c r="E2024" t="str">
        <f>""</f>
        <v/>
      </c>
      <c r="F2024" t="str">
        <f>""</f>
        <v/>
      </c>
      <c r="H2024" t="str">
        <f t="shared" si="28"/>
        <v>SOCIAL SECURITY TAXES</v>
      </c>
    </row>
    <row r="2025" spans="5:8" x14ac:dyDescent="0.25">
      <c r="E2025" t="str">
        <f>""</f>
        <v/>
      </c>
      <c r="F2025" t="str">
        <f>""</f>
        <v/>
      </c>
      <c r="H2025" t="str">
        <f t="shared" si="28"/>
        <v>SOCIAL SECURITY TAXES</v>
      </c>
    </row>
    <row r="2026" spans="5:8" x14ac:dyDescent="0.25">
      <c r="E2026" t="str">
        <f>""</f>
        <v/>
      </c>
      <c r="F2026" t="str">
        <f>""</f>
        <v/>
      </c>
      <c r="H2026" t="str">
        <f t="shared" si="28"/>
        <v>SOCIAL SECURITY TAXES</v>
      </c>
    </row>
    <row r="2027" spans="5:8" x14ac:dyDescent="0.25">
      <c r="E2027" t="str">
        <f>""</f>
        <v/>
      </c>
      <c r="F2027" t="str">
        <f>""</f>
        <v/>
      </c>
      <c r="H2027" t="str">
        <f t="shared" si="28"/>
        <v>SOCIAL SECURITY TAXES</v>
      </c>
    </row>
    <row r="2028" spans="5:8" x14ac:dyDescent="0.25">
      <c r="E2028" t="str">
        <f>""</f>
        <v/>
      </c>
      <c r="F2028" t="str">
        <f>""</f>
        <v/>
      </c>
      <c r="H2028" t="str">
        <f t="shared" si="28"/>
        <v>SOCIAL SECURITY TAXES</v>
      </c>
    </row>
    <row r="2029" spans="5:8" x14ac:dyDescent="0.25">
      <c r="E2029" t="str">
        <f>""</f>
        <v/>
      </c>
      <c r="F2029" t="str">
        <f>""</f>
        <v/>
      </c>
      <c r="H2029" t="str">
        <f t="shared" si="28"/>
        <v>SOCIAL SECURITY TAXES</v>
      </c>
    </row>
    <row r="2030" spans="5:8" x14ac:dyDescent="0.25">
      <c r="E2030" t="str">
        <f>""</f>
        <v/>
      </c>
      <c r="F2030" t="str">
        <f>""</f>
        <v/>
      </c>
      <c r="H2030" t="str">
        <f t="shared" si="28"/>
        <v>SOCIAL SECURITY TAXES</v>
      </c>
    </row>
    <row r="2031" spans="5:8" x14ac:dyDescent="0.25">
      <c r="E2031" t="str">
        <f>""</f>
        <v/>
      </c>
      <c r="F2031" t="str">
        <f>""</f>
        <v/>
      </c>
      <c r="H2031" t="str">
        <f t="shared" si="28"/>
        <v>SOCIAL SECURITY TAXES</v>
      </c>
    </row>
    <row r="2032" spans="5:8" x14ac:dyDescent="0.25">
      <c r="E2032" t="str">
        <f>""</f>
        <v/>
      </c>
      <c r="F2032" t="str">
        <f>""</f>
        <v/>
      </c>
      <c r="H2032" t="str">
        <f t="shared" si="28"/>
        <v>SOCIAL SECURITY TAXES</v>
      </c>
    </row>
    <row r="2033" spans="5:8" x14ac:dyDescent="0.25">
      <c r="E2033" t="str">
        <f>""</f>
        <v/>
      </c>
      <c r="F2033" t="str">
        <f>""</f>
        <v/>
      </c>
      <c r="H2033" t="str">
        <f t="shared" si="28"/>
        <v>SOCIAL SECURITY TAXES</v>
      </c>
    </row>
    <row r="2034" spans="5:8" x14ac:dyDescent="0.25">
      <c r="E2034" t="str">
        <f>""</f>
        <v/>
      </c>
      <c r="F2034" t="str">
        <f>""</f>
        <v/>
      </c>
      <c r="H2034" t="str">
        <f t="shared" si="28"/>
        <v>SOCIAL SECURITY TAXES</v>
      </c>
    </row>
    <row r="2035" spans="5:8" x14ac:dyDescent="0.25">
      <c r="E2035" t="str">
        <f>""</f>
        <v/>
      </c>
      <c r="F2035" t="str">
        <f>""</f>
        <v/>
      </c>
      <c r="H2035" t="str">
        <f t="shared" si="28"/>
        <v>SOCIAL SECURITY TAXES</v>
      </c>
    </row>
    <row r="2036" spans="5:8" x14ac:dyDescent="0.25">
      <c r="E2036" t="str">
        <f>""</f>
        <v/>
      </c>
      <c r="F2036" t="str">
        <f>""</f>
        <v/>
      </c>
      <c r="H2036" t="str">
        <f t="shared" si="28"/>
        <v>SOCIAL SECURITY TAXES</v>
      </c>
    </row>
    <row r="2037" spans="5:8" x14ac:dyDescent="0.25">
      <c r="E2037" t="str">
        <f>""</f>
        <v/>
      </c>
      <c r="F2037" t="str">
        <f>""</f>
        <v/>
      </c>
      <c r="H2037" t="str">
        <f t="shared" si="28"/>
        <v>SOCIAL SECURITY TAXES</v>
      </c>
    </row>
    <row r="2038" spans="5:8" x14ac:dyDescent="0.25">
      <c r="E2038" t="str">
        <f>""</f>
        <v/>
      </c>
      <c r="F2038" t="str">
        <f>""</f>
        <v/>
      </c>
      <c r="H2038" t="str">
        <f t="shared" si="28"/>
        <v>SOCIAL SECURITY TAXES</v>
      </c>
    </row>
    <row r="2039" spans="5:8" x14ac:dyDescent="0.25">
      <c r="E2039" t="str">
        <f>""</f>
        <v/>
      </c>
      <c r="F2039" t="str">
        <f>""</f>
        <v/>
      </c>
      <c r="H2039" t="str">
        <f t="shared" si="28"/>
        <v>SOCIAL SECURITY TAXES</v>
      </c>
    </row>
    <row r="2040" spans="5:8" x14ac:dyDescent="0.25">
      <c r="E2040" t="str">
        <f>"T3 201909031426"</f>
        <v>T3 201909031426</v>
      </c>
      <c r="F2040" t="str">
        <f>"SOCIAL SECURITY TAXES"</f>
        <v>SOCIAL SECURITY TAXES</v>
      </c>
      <c r="G2040" s="2">
        <v>4321.68</v>
      </c>
      <c r="H2040" t="str">
        <f t="shared" si="28"/>
        <v>SOCIAL SECURITY TAXES</v>
      </c>
    </row>
    <row r="2041" spans="5:8" x14ac:dyDescent="0.25">
      <c r="E2041" t="str">
        <f>""</f>
        <v/>
      </c>
      <c r="F2041" t="str">
        <f>""</f>
        <v/>
      </c>
      <c r="H2041" t="str">
        <f t="shared" si="28"/>
        <v>SOCIAL SECURITY TAXES</v>
      </c>
    </row>
    <row r="2042" spans="5:8" x14ac:dyDescent="0.25">
      <c r="E2042" t="str">
        <f>"T3 201909031427"</f>
        <v>T3 201909031427</v>
      </c>
      <c r="F2042" t="str">
        <f>"SOCIAL SECURITY TAXES"</f>
        <v>SOCIAL SECURITY TAXES</v>
      </c>
      <c r="G2042" s="2">
        <v>4793.54</v>
      </c>
      <c r="H2042" t="str">
        <f t="shared" si="28"/>
        <v>SOCIAL SECURITY TAXES</v>
      </c>
    </row>
    <row r="2043" spans="5:8" x14ac:dyDescent="0.25">
      <c r="E2043" t="str">
        <f>""</f>
        <v/>
      </c>
      <c r="F2043" t="str">
        <f>""</f>
        <v/>
      </c>
      <c r="H2043" t="str">
        <f t="shared" si="28"/>
        <v>SOCIAL SECURITY TAXES</v>
      </c>
    </row>
    <row r="2044" spans="5:8" x14ac:dyDescent="0.25">
      <c r="E2044" t="str">
        <f>"T4 201909031425"</f>
        <v>T4 201909031425</v>
      </c>
      <c r="F2044" t="str">
        <f>"MEDICARE TAXES"</f>
        <v>MEDICARE TAXES</v>
      </c>
      <c r="G2044" s="2">
        <v>25737.94</v>
      </c>
      <c r="H2044" t="str">
        <f t="shared" ref="H2044:H2075" si="29">"MEDICARE TAXES"</f>
        <v>MEDICARE TAXES</v>
      </c>
    </row>
    <row r="2045" spans="5:8" x14ac:dyDescent="0.25">
      <c r="E2045" t="str">
        <f>""</f>
        <v/>
      </c>
      <c r="F2045" t="str">
        <f>""</f>
        <v/>
      </c>
      <c r="H2045" t="str">
        <f t="shared" si="29"/>
        <v>MEDICARE TAXES</v>
      </c>
    </row>
    <row r="2046" spans="5:8" x14ac:dyDescent="0.25">
      <c r="E2046" t="str">
        <f>""</f>
        <v/>
      </c>
      <c r="F2046" t="str">
        <f>""</f>
        <v/>
      </c>
      <c r="H2046" t="str">
        <f t="shared" si="29"/>
        <v>MEDICARE TAXES</v>
      </c>
    </row>
    <row r="2047" spans="5:8" x14ac:dyDescent="0.25">
      <c r="E2047" t="str">
        <f>""</f>
        <v/>
      </c>
      <c r="F2047" t="str">
        <f>""</f>
        <v/>
      </c>
      <c r="H2047" t="str">
        <f t="shared" si="29"/>
        <v>MEDICARE TAXES</v>
      </c>
    </row>
    <row r="2048" spans="5:8" x14ac:dyDescent="0.25">
      <c r="E2048" t="str">
        <f>""</f>
        <v/>
      </c>
      <c r="F2048" t="str">
        <f>""</f>
        <v/>
      </c>
      <c r="H2048" t="str">
        <f t="shared" si="29"/>
        <v>MEDICARE TAXES</v>
      </c>
    </row>
    <row r="2049" spans="5:8" x14ac:dyDescent="0.25">
      <c r="E2049" t="str">
        <f>""</f>
        <v/>
      </c>
      <c r="F2049" t="str">
        <f>""</f>
        <v/>
      </c>
      <c r="H2049" t="str">
        <f t="shared" si="29"/>
        <v>MEDICARE TAXES</v>
      </c>
    </row>
    <row r="2050" spans="5:8" x14ac:dyDescent="0.25">
      <c r="E2050" t="str">
        <f>""</f>
        <v/>
      </c>
      <c r="F2050" t="str">
        <f>""</f>
        <v/>
      </c>
      <c r="H2050" t="str">
        <f t="shared" si="29"/>
        <v>MEDICARE TAXES</v>
      </c>
    </row>
    <row r="2051" spans="5:8" x14ac:dyDescent="0.25">
      <c r="E2051" t="str">
        <f>""</f>
        <v/>
      </c>
      <c r="F2051" t="str">
        <f>""</f>
        <v/>
      </c>
      <c r="H2051" t="str">
        <f t="shared" si="29"/>
        <v>MEDICARE TAXES</v>
      </c>
    </row>
    <row r="2052" spans="5:8" x14ac:dyDescent="0.25">
      <c r="E2052" t="str">
        <f>""</f>
        <v/>
      </c>
      <c r="F2052" t="str">
        <f>""</f>
        <v/>
      </c>
      <c r="H2052" t="str">
        <f t="shared" si="29"/>
        <v>MEDICARE TAXES</v>
      </c>
    </row>
    <row r="2053" spans="5:8" x14ac:dyDescent="0.25">
      <c r="E2053" t="str">
        <f>""</f>
        <v/>
      </c>
      <c r="F2053" t="str">
        <f>""</f>
        <v/>
      </c>
      <c r="H2053" t="str">
        <f t="shared" si="29"/>
        <v>MEDICARE TAXES</v>
      </c>
    </row>
    <row r="2054" spans="5:8" x14ac:dyDescent="0.25">
      <c r="E2054" t="str">
        <f>""</f>
        <v/>
      </c>
      <c r="F2054" t="str">
        <f>""</f>
        <v/>
      </c>
      <c r="H2054" t="str">
        <f t="shared" si="29"/>
        <v>MEDICARE TAXES</v>
      </c>
    </row>
    <row r="2055" spans="5:8" x14ac:dyDescent="0.25">
      <c r="E2055" t="str">
        <f>""</f>
        <v/>
      </c>
      <c r="F2055" t="str">
        <f>""</f>
        <v/>
      </c>
      <c r="H2055" t="str">
        <f t="shared" si="29"/>
        <v>MEDICARE TAXES</v>
      </c>
    </row>
    <row r="2056" spans="5:8" x14ac:dyDescent="0.25">
      <c r="E2056" t="str">
        <f>""</f>
        <v/>
      </c>
      <c r="F2056" t="str">
        <f>""</f>
        <v/>
      </c>
      <c r="H2056" t="str">
        <f t="shared" si="29"/>
        <v>MEDICARE TAXES</v>
      </c>
    </row>
    <row r="2057" spans="5:8" x14ac:dyDescent="0.25">
      <c r="E2057" t="str">
        <f>""</f>
        <v/>
      </c>
      <c r="F2057" t="str">
        <f>""</f>
        <v/>
      </c>
      <c r="H2057" t="str">
        <f t="shared" si="29"/>
        <v>MEDICARE TAXES</v>
      </c>
    </row>
    <row r="2058" spans="5:8" x14ac:dyDescent="0.25">
      <c r="E2058" t="str">
        <f>""</f>
        <v/>
      </c>
      <c r="F2058" t="str">
        <f>""</f>
        <v/>
      </c>
      <c r="H2058" t="str">
        <f t="shared" si="29"/>
        <v>MEDICARE TAXES</v>
      </c>
    </row>
    <row r="2059" spans="5:8" x14ac:dyDescent="0.25">
      <c r="E2059" t="str">
        <f>""</f>
        <v/>
      </c>
      <c r="F2059" t="str">
        <f>""</f>
        <v/>
      </c>
      <c r="H2059" t="str">
        <f t="shared" si="29"/>
        <v>MEDICARE TAXES</v>
      </c>
    </row>
    <row r="2060" spans="5:8" x14ac:dyDescent="0.25">
      <c r="E2060" t="str">
        <f>""</f>
        <v/>
      </c>
      <c r="F2060" t="str">
        <f>""</f>
        <v/>
      </c>
      <c r="H2060" t="str">
        <f t="shared" si="29"/>
        <v>MEDICARE TAXES</v>
      </c>
    </row>
    <row r="2061" spans="5:8" x14ac:dyDescent="0.25">
      <c r="E2061" t="str">
        <f>""</f>
        <v/>
      </c>
      <c r="F2061" t="str">
        <f>""</f>
        <v/>
      </c>
      <c r="H2061" t="str">
        <f t="shared" si="29"/>
        <v>MEDICARE TAXES</v>
      </c>
    </row>
    <row r="2062" spans="5:8" x14ac:dyDescent="0.25">
      <c r="E2062" t="str">
        <f>""</f>
        <v/>
      </c>
      <c r="F2062" t="str">
        <f>""</f>
        <v/>
      </c>
      <c r="H2062" t="str">
        <f t="shared" si="29"/>
        <v>MEDICARE TAXES</v>
      </c>
    </row>
    <row r="2063" spans="5:8" x14ac:dyDescent="0.25">
      <c r="E2063" t="str">
        <f>""</f>
        <v/>
      </c>
      <c r="F2063" t="str">
        <f>""</f>
        <v/>
      </c>
      <c r="H2063" t="str">
        <f t="shared" si="29"/>
        <v>MEDICARE TAXES</v>
      </c>
    </row>
    <row r="2064" spans="5:8" x14ac:dyDescent="0.25">
      <c r="E2064" t="str">
        <f>""</f>
        <v/>
      </c>
      <c r="F2064" t="str">
        <f>""</f>
        <v/>
      </c>
      <c r="H2064" t="str">
        <f t="shared" si="29"/>
        <v>MEDICARE TAXES</v>
      </c>
    </row>
    <row r="2065" spans="5:8" x14ac:dyDescent="0.25">
      <c r="E2065" t="str">
        <f>""</f>
        <v/>
      </c>
      <c r="F2065" t="str">
        <f>""</f>
        <v/>
      </c>
      <c r="H2065" t="str">
        <f t="shared" si="29"/>
        <v>MEDICARE TAXES</v>
      </c>
    </row>
    <row r="2066" spans="5:8" x14ac:dyDescent="0.25">
      <c r="E2066" t="str">
        <f>""</f>
        <v/>
      </c>
      <c r="F2066" t="str">
        <f>""</f>
        <v/>
      </c>
      <c r="H2066" t="str">
        <f t="shared" si="29"/>
        <v>MEDICARE TAXES</v>
      </c>
    </row>
    <row r="2067" spans="5:8" x14ac:dyDescent="0.25">
      <c r="E2067" t="str">
        <f>""</f>
        <v/>
      </c>
      <c r="F2067" t="str">
        <f>""</f>
        <v/>
      </c>
      <c r="H2067" t="str">
        <f t="shared" si="29"/>
        <v>MEDICARE TAXES</v>
      </c>
    </row>
    <row r="2068" spans="5:8" x14ac:dyDescent="0.25">
      <c r="E2068" t="str">
        <f>""</f>
        <v/>
      </c>
      <c r="F2068" t="str">
        <f>""</f>
        <v/>
      </c>
      <c r="H2068" t="str">
        <f t="shared" si="29"/>
        <v>MEDICARE TAXES</v>
      </c>
    </row>
    <row r="2069" spans="5:8" x14ac:dyDescent="0.25">
      <c r="E2069" t="str">
        <f>""</f>
        <v/>
      </c>
      <c r="F2069" t="str">
        <f>""</f>
        <v/>
      </c>
      <c r="H2069" t="str">
        <f t="shared" si="29"/>
        <v>MEDICARE TAXES</v>
      </c>
    </row>
    <row r="2070" spans="5:8" x14ac:dyDescent="0.25">
      <c r="E2070" t="str">
        <f>""</f>
        <v/>
      </c>
      <c r="F2070" t="str">
        <f>""</f>
        <v/>
      </c>
      <c r="H2070" t="str">
        <f t="shared" si="29"/>
        <v>MEDICARE TAXES</v>
      </c>
    </row>
    <row r="2071" spans="5:8" x14ac:dyDescent="0.25">
      <c r="E2071" t="str">
        <f>""</f>
        <v/>
      </c>
      <c r="F2071" t="str">
        <f>""</f>
        <v/>
      </c>
      <c r="H2071" t="str">
        <f t="shared" si="29"/>
        <v>MEDICARE TAXES</v>
      </c>
    </row>
    <row r="2072" spans="5:8" x14ac:dyDescent="0.25">
      <c r="E2072" t="str">
        <f>""</f>
        <v/>
      </c>
      <c r="F2072" t="str">
        <f>""</f>
        <v/>
      </c>
      <c r="H2072" t="str">
        <f t="shared" si="29"/>
        <v>MEDICARE TAXES</v>
      </c>
    </row>
    <row r="2073" spans="5:8" x14ac:dyDescent="0.25">
      <c r="E2073" t="str">
        <f>""</f>
        <v/>
      </c>
      <c r="F2073" t="str">
        <f>""</f>
        <v/>
      </c>
      <c r="H2073" t="str">
        <f t="shared" si="29"/>
        <v>MEDICARE TAXES</v>
      </c>
    </row>
    <row r="2074" spans="5:8" x14ac:dyDescent="0.25">
      <c r="E2074" t="str">
        <f>""</f>
        <v/>
      </c>
      <c r="F2074" t="str">
        <f>""</f>
        <v/>
      </c>
      <c r="H2074" t="str">
        <f t="shared" si="29"/>
        <v>MEDICARE TAXES</v>
      </c>
    </row>
    <row r="2075" spans="5:8" x14ac:dyDescent="0.25">
      <c r="E2075" t="str">
        <f>""</f>
        <v/>
      </c>
      <c r="F2075" t="str">
        <f>""</f>
        <v/>
      </c>
      <c r="H2075" t="str">
        <f t="shared" si="29"/>
        <v>MEDICARE TAXES</v>
      </c>
    </row>
    <row r="2076" spans="5:8" x14ac:dyDescent="0.25">
      <c r="E2076" t="str">
        <f>""</f>
        <v/>
      </c>
      <c r="F2076" t="str">
        <f>""</f>
        <v/>
      </c>
      <c r="H2076" t="str">
        <f t="shared" ref="H2076:H2099" si="30">"MEDICARE TAXES"</f>
        <v>MEDICARE TAXES</v>
      </c>
    </row>
    <row r="2077" spans="5:8" x14ac:dyDescent="0.25">
      <c r="E2077" t="str">
        <f>""</f>
        <v/>
      </c>
      <c r="F2077" t="str">
        <f>""</f>
        <v/>
      </c>
      <c r="H2077" t="str">
        <f t="shared" si="30"/>
        <v>MEDICARE TAXES</v>
      </c>
    </row>
    <row r="2078" spans="5:8" x14ac:dyDescent="0.25">
      <c r="E2078" t="str">
        <f>""</f>
        <v/>
      </c>
      <c r="F2078" t="str">
        <f>""</f>
        <v/>
      </c>
      <c r="H2078" t="str">
        <f t="shared" si="30"/>
        <v>MEDICARE TAXES</v>
      </c>
    </row>
    <row r="2079" spans="5:8" x14ac:dyDescent="0.25">
      <c r="E2079" t="str">
        <f>""</f>
        <v/>
      </c>
      <c r="F2079" t="str">
        <f>""</f>
        <v/>
      </c>
      <c r="H2079" t="str">
        <f t="shared" si="30"/>
        <v>MEDICARE TAXES</v>
      </c>
    </row>
    <row r="2080" spans="5:8" x14ac:dyDescent="0.25">
      <c r="E2080" t="str">
        <f>""</f>
        <v/>
      </c>
      <c r="F2080" t="str">
        <f>""</f>
        <v/>
      </c>
      <c r="H2080" t="str">
        <f t="shared" si="30"/>
        <v>MEDICARE TAXES</v>
      </c>
    </row>
    <row r="2081" spans="5:8" x14ac:dyDescent="0.25">
      <c r="E2081" t="str">
        <f>""</f>
        <v/>
      </c>
      <c r="F2081" t="str">
        <f>""</f>
        <v/>
      </c>
      <c r="H2081" t="str">
        <f t="shared" si="30"/>
        <v>MEDICARE TAXES</v>
      </c>
    </row>
    <row r="2082" spans="5:8" x14ac:dyDescent="0.25">
      <c r="E2082" t="str">
        <f>""</f>
        <v/>
      </c>
      <c r="F2082" t="str">
        <f>""</f>
        <v/>
      </c>
      <c r="H2082" t="str">
        <f t="shared" si="30"/>
        <v>MEDICARE TAXES</v>
      </c>
    </row>
    <row r="2083" spans="5:8" x14ac:dyDescent="0.25">
      <c r="E2083" t="str">
        <f>""</f>
        <v/>
      </c>
      <c r="F2083" t="str">
        <f>""</f>
        <v/>
      </c>
      <c r="H2083" t="str">
        <f t="shared" si="30"/>
        <v>MEDICARE TAXES</v>
      </c>
    </row>
    <row r="2084" spans="5:8" x14ac:dyDescent="0.25">
      <c r="E2084" t="str">
        <f>""</f>
        <v/>
      </c>
      <c r="F2084" t="str">
        <f>""</f>
        <v/>
      </c>
      <c r="H2084" t="str">
        <f t="shared" si="30"/>
        <v>MEDICARE TAXES</v>
      </c>
    </row>
    <row r="2085" spans="5:8" x14ac:dyDescent="0.25">
      <c r="E2085" t="str">
        <f>""</f>
        <v/>
      </c>
      <c r="F2085" t="str">
        <f>""</f>
        <v/>
      </c>
      <c r="H2085" t="str">
        <f t="shared" si="30"/>
        <v>MEDICARE TAXES</v>
      </c>
    </row>
    <row r="2086" spans="5:8" x14ac:dyDescent="0.25">
      <c r="E2086" t="str">
        <f>""</f>
        <v/>
      </c>
      <c r="F2086" t="str">
        <f>""</f>
        <v/>
      </c>
      <c r="H2086" t="str">
        <f t="shared" si="30"/>
        <v>MEDICARE TAXES</v>
      </c>
    </row>
    <row r="2087" spans="5:8" x14ac:dyDescent="0.25">
      <c r="E2087" t="str">
        <f>""</f>
        <v/>
      </c>
      <c r="F2087" t="str">
        <f>""</f>
        <v/>
      </c>
      <c r="H2087" t="str">
        <f t="shared" si="30"/>
        <v>MEDICARE TAXES</v>
      </c>
    </row>
    <row r="2088" spans="5:8" x14ac:dyDescent="0.25">
      <c r="E2088" t="str">
        <f>""</f>
        <v/>
      </c>
      <c r="F2088" t="str">
        <f>""</f>
        <v/>
      </c>
      <c r="H2088" t="str">
        <f t="shared" si="30"/>
        <v>MEDICARE TAXES</v>
      </c>
    </row>
    <row r="2089" spans="5:8" x14ac:dyDescent="0.25">
      <c r="E2089" t="str">
        <f>""</f>
        <v/>
      </c>
      <c r="F2089" t="str">
        <f>""</f>
        <v/>
      </c>
      <c r="H2089" t="str">
        <f t="shared" si="30"/>
        <v>MEDICARE TAXES</v>
      </c>
    </row>
    <row r="2090" spans="5:8" x14ac:dyDescent="0.25">
      <c r="E2090" t="str">
        <f>""</f>
        <v/>
      </c>
      <c r="F2090" t="str">
        <f>""</f>
        <v/>
      </c>
      <c r="H2090" t="str">
        <f t="shared" si="30"/>
        <v>MEDICARE TAXES</v>
      </c>
    </row>
    <row r="2091" spans="5:8" x14ac:dyDescent="0.25">
      <c r="E2091" t="str">
        <f>""</f>
        <v/>
      </c>
      <c r="F2091" t="str">
        <f>""</f>
        <v/>
      </c>
      <c r="H2091" t="str">
        <f t="shared" si="30"/>
        <v>MEDICARE TAXES</v>
      </c>
    </row>
    <row r="2092" spans="5:8" x14ac:dyDescent="0.25">
      <c r="E2092" t="str">
        <f>""</f>
        <v/>
      </c>
      <c r="F2092" t="str">
        <f>""</f>
        <v/>
      </c>
      <c r="H2092" t="str">
        <f t="shared" si="30"/>
        <v>MEDICARE TAXES</v>
      </c>
    </row>
    <row r="2093" spans="5:8" x14ac:dyDescent="0.25">
      <c r="E2093" t="str">
        <f>""</f>
        <v/>
      </c>
      <c r="F2093" t="str">
        <f>""</f>
        <v/>
      </c>
      <c r="H2093" t="str">
        <f t="shared" si="30"/>
        <v>MEDICARE TAXES</v>
      </c>
    </row>
    <row r="2094" spans="5:8" x14ac:dyDescent="0.25">
      <c r="E2094" t="str">
        <f>""</f>
        <v/>
      </c>
      <c r="F2094" t="str">
        <f>""</f>
        <v/>
      </c>
      <c r="H2094" t="str">
        <f t="shared" si="30"/>
        <v>MEDICARE TAXES</v>
      </c>
    </row>
    <row r="2095" spans="5:8" x14ac:dyDescent="0.25">
      <c r="E2095" t="str">
        <f>""</f>
        <v/>
      </c>
      <c r="F2095" t="str">
        <f>""</f>
        <v/>
      </c>
      <c r="H2095" t="str">
        <f t="shared" si="30"/>
        <v>MEDICARE TAXES</v>
      </c>
    </row>
    <row r="2096" spans="5:8" x14ac:dyDescent="0.25">
      <c r="E2096" t="str">
        <f>"T4 201909031426"</f>
        <v>T4 201909031426</v>
      </c>
      <c r="F2096" t="str">
        <f>"MEDICARE TAXES"</f>
        <v>MEDICARE TAXES</v>
      </c>
      <c r="G2096" s="2">
        <v>1010.74</v>
      </c>
      <c r="H2096" t="str">
        <f t="shared" si="30"/>
        <v>MEDICARE TAXES</v>
      </c>
    </row>
    <row r="2097" spans="1:8" x14ac:dyDescent="0.25">
      <c r="E2097" t="str">
        <f>""</f>
        <v/>
      </c>
      <c r="F2097" t="str">
        <f>""</f>
        <v/>
      </c>
      <c r="H2097" t="str">
        <f t="shared" si="30"/>
        <v>MEDICARE TAXES</v>
      </c>
    </row>
    <row r="2098" spans="1:8" x14ac:dyDescent="0.25">
      <c r="E2098" t="str">
        <f>"T4 201909031427"</f>
        <v>T4 201909031427</v>
      </c>
      <c r="F2098" t="str">
        <f>"MEDICARE TAXES"</f>
        <v>MEDICARE TAXES</v>
      </c>
      <c r="G2098" s="2">
        <v>1121.02</v>
      </c>
      <c r="H2098" t="str">
        <f t="shared" si="30"/>
        <v>MEDICARE TAXES</v>
      </c>
    </row>
    <row r="2099" spans="1:8" x14ac:dyDescent="0.25">
      <c r="E2099" t="str">
        <f>""</f>
        <v/>
      </c>
      <c r="F2099" t="str">
        <f>""</f>
        <v/>
      </c>
      <c r="H2099" t="str">
        <f t="shared" si="30"/>
        <v>MEDICARE TAXES</v>
      </c>
    </row>
    <row r="2100" spans="1:8" x14ac:dyDescent="0.25">
      <c r="A2100" t="s">
        <v>457</v>
      </c>
      <c r="B2100">
        <v>219</v>
      </c>
      <c r="C2100" s="2">
        <v>223781.41</v>
      </c>
      <c r="D2100" s="1">
        <v>43728</v>
      </c>
      <c r="E2100" t="str">
        <f>"T1 201909181931"</f>
        <v>T1 201909181931</v>
      </c>
      <c r="F2100" t="str">
        <f>"FEDERAL WITHHOLDING"</f>
        <v>FEDERAL WITHHOLDING</v>
      </c>
      <c r="G2100" s="2">
        <v>73152.210000000006</v>
      </c>
      <c r="H2100" t="str">
        <f>"FEDERAL WITHHOLDING"</f>
        <v>FEDERAL WITHHOLDING</v>
      </c>
    </row>
    <row r="2101" spans="1:8" x14ac:dyDescent="0.25">
      <c r="E2101" t="str">
        <f>"T1 201909181934"</f>
        <v>T1 201909181934</v>
      </c>
      <c r="F2101" t="str">
        <f>"FEDERAL WITHHOLDING"</f>
        <v>FEDERAL WITHHOLDING</v>
      </c>
      <c r="G2101" s="2">
        <v>3246.2</v>
      </c>
      <c r="H2101" t="str">
        <f>"FEDERAL WITHHOLDING"</f>
        <v>FEDERAL WITHHOLDING</v>
      </c>
    </row>
    <row r="2102" spans="1:8" x14ac:dyDescent="0.25">
      <c r="E2102" t="str">
        <f>"T1 201909181935"</f>
        <v>T1 201909181935</v>
      </c>
      <c r="F2102" t="str">
        <f>"FEDERAL WITHHOLDING"</f>
        <v>FEDERAL WITHHOLDING</v>
      </c>
      <c r="G2102" s="2">
        <v>3374</v>
      </c>
      <c r="H2102" t="str">
        <f>"FEDERAL WITHHOLDING"</f>
        <v>FEDERAL WITHHOLDING</v>
      </c>
    </row>
    <row r="2103" spans="1:8" x14ac:dyDescent="0.25">
      <c r="E2103" t="str">
        <f>"T3 201909181931"</f>
        <v>T3 201909181931</v>
      </c>
      <c r="F2103" t="str">
        <f>"SOCIAL SECURITY TAXES"</f>
        <v>SOCIAL SECURITY TAXES</v>
      </c>
      <c r="G2103" s="2">
        <v>107458.9</v>
      </c>
      <c r="H2103" t="str">
        <f t="shared" ref="H2103:H2134" si="31">"SOCIAL SECURITY TAXES"</f>
        <v>SOCIAL SECURITY TAXES</v>
      </c>
    </row>
    <row r="2104" spans="1:8" x14ac:dyDescent="0.25">
      <c r="E2104" t="str">
        <f>""</f>
        <v/>
      </c>
      <c r="F2104" t="str">
        <f>""</f>
        <v/>
      </c>
      <c r="H2104" t="str">
        <f t="shared" si="31"/>
        <v>SOCIAL SECURITY TAXES</v>
      </c>
    </row>
    <row r="2105" spans="1:8" x14ac:dyDescent="0.25">
      <c r="E2105" t="str">
        <f>""</f>
        <v/>
      </c>
      <c r="F2105" t="str">
        <f>""</f>
        <v/>
      </c>
      <c r="H2105" t="str">
        <f t="shared" si="31"/>
        <v>SOCIAL SECURITY TAXES</v>
      </c>
    </row>
    <row r="2106" spans="1:8" x14ac:dyDescent="0.25">
      <c r="E2106" t="str">
        <f>""</f>
        <v/>
      </c>
      <c r="F2106" t="str">
        <f>""</f>
        <v/>
      </c>
      <c r="H2106" t="str">
        <f t="shared" si="31"/>
        <v>SOCIAL SECURITY TAXES</v>
      </c>
    </row>
    <row r="2107" spans="1:8" x14ac:dyDescent="0.25">
      <c r="E2107" t="str">
        <f>""</f>
        <v/>
      </c>
      <c r="F2107" t="str">
        <f>""</f>
        <v/>
      </c>
      <c r="H2107" t="str">
        <f t="shared" si="31"/>
        <v>SOCIAL SECURITY TAXES</v>
      </c>
    </row>
    <row r="2108" spans="1:8" x14ac:dyDescent="0.25">
      <c r="E2108" t="str">
        <f>""</f>
        <v/>
      </c>
      <c r="F2108" t="str">
        <f>""</f>
        <v/>
      </c>
      <c r="H2108" t="str">
        <f t="shared" si="31"/>
        <v>SOCIAL SECURITY TAXES</v>
      </c>
    </row>
    <row r="2109" spans="1:8" x14ac:dyDescent="0.25">
      <c r="E2109" t="str">
        <f>""</f>
        <v/>
      </c>
      <c r="F2109" t="str">
        <f>""</f>
        <v/>
      </c>
      <c r="H2109" t="str">
        <f t="shared" si="31"/>
        <v>SOCIAL SECURITY TAXES</v>
      </c>
    </row>
    <row r="2110" spans="1:8" x14ac:dyDescent="0.25">
      <c r="E2110" t="str">
        <f>""</f>
        <v/>
      </c>
      <c r="F2110" t="str">
        <f>""</f>
        <v/>
      </c>
      <c r="H2110" t="str">
        <f t="shared" si="31"/>
        <v>SOCIAL SECURITY TAXES</v>
      </c>
    </row>
    <row r="2111" spans="1:8" x14ac:dyDescent="0.25">
      <c r="E2111" t="str">
        <f>""</f>
        <v/>
      </c>
      <c r="F2111" t="str">
        <f>""</f>
        <v/>
      </c>
      <c r="H2111" t="str">
        <f t="shared" si="31"/>
        <v>SOCIAL SECURITY TAXES</v>
      </c>
    </row>
    <row r="2112" spans="1:8" x14ac:dyDescent="0.25">
      <c r="E2112" t="str">
        <f>""</f>
        <v/>
      </c>
      <c r="F2112" t="str">
        <f>""</f>
        <v/>
      </c>
      <c r="H2112" t="str">
        <f t="shared" si="31"/>
        <v>SOCIAL SECURITY TAXES</v>
      </c>
    </row>
    <row r="2113" spans="5:8" x14ac:dyDescent="0.25">
      <c r="E2113" t="str">
        <f>""</f>
        <v/>
      </c>
      <c r="F2113" t="str">
        <f>""</f>
        <v/>
      </c>
      <c r="H2113" t="str">
        <f t="shared" si="31"/>
        <v>SOCIAL SECURITY TAXES</v>
      </c>
    </row>
    <row r="2114" spans="5:8" x14ac:dyDescent="0.25">
      <c r="E2114" t="str">
        <f>""</f>
        <v/>
      </c>
      <c r="F2114" t="str">
        <f>""</f>
        <v/>
      </c>
      <c r="H2114" t="str">
        <f t="shared" si="31"/>
        <v>SOCIAL SECURITY TAXES</v>
      </c>
    </row>
    <row r="2115" spans="5:8" x14ac:dyDescent="0.25">
      <c r="E2115" t="str">
        <f>""</f>
        <v/>
      </c>
      <c r="F2115" t="str">
        <f>""</f>
        <v/>
      </c>
      <c r="H2115" t="str">
        <f t="shared" si="31"/>
        <v>SOCIAL SECURITY TAXES</v>
      </c>
    </row>
    <row r="2116" spans="5:8" x14ac:dyDescent="0.25">
      <c r="E2116" t="str">
        <f>""</f>
        <v/>
      </c>
      <c r="F2116" t="str">
        <f>""</f>
        <v/>
      </c>
      <c r="H2116" t="str">
        <f t="shared" si="31"/>
        <v>SOCIAL SECURITY TAXES</v>
      </c>
    </row>
    <row r="2117" spans="5:8" x14ac:dyDescent="0.25">
      <c r="E2117" t="str">
        <f>""</f>
        <v/>
      </c>
      <c r="F2117" t="str">
        <f>""</f>
        <v/>
      </c>
      <c r="H2117" t="str">
        <f t="shared" si="31"/>
        <v>SOCIAL SECURITY TAXES</v>
      </c>
    </row>
    <row r="2118" spans="5:8" x14ac:dyDescent="0.25">
      <c r="E2118" t="str">
        <f>""</f>
        <v/>
      </c>
      <c r="F2118" t="str">
        <f>""</f>
        <v/>
      </c>
      <c r="H2118" t="str">
        <f t="shared" si="31"/>
        <v>SOCIAL SECURITY TAXES</v>
      </c>
    </row>
    <row r="2119" spans="5:8" x14ac:dyDescent="0.25">
      <c r="E2119" t="str">
        <f>""</f>
        <v/>
      </c>
      <c r="F2119" t="str">
        <f>""</f>
        <v/>
      </c>
      <c r="H2119" t="str">
        <f t="shared" si="31"/>
        <v>SOCIAL SECURITY TAXES</v>
      </c>
    </row>
    <row r="2120" spans="5:8" x14ac:dyDescent="0.25">
      <c r="E2120" t="str">
        <f>""</f>
        <v/>
      </c>
      <c r="F2120" t="str">
        <f>""</f>
        <v/>
      </c>
      <c r="H2120" t="str">
        <f t="shared" si="31"/>
        <v>SOCIAL SECURITY TAXES</v>
      </c>
    </row>
    <row r="2121" spans="5:8" x14ac:dyDescent="0.25">
      <c r="E2121" t="str">
        <f>""</f>
        <v/>
      </c>
      <c r="F2121" t="str">
        <f>""</f>
        <v/>
      </c>
      <c r="H2121" t="str">
        <f t="shared" si="31"/>
        <v>SOCIAL SECURITY TAXES</v>
      </c>
    </row>
    <row r="2122" spans="5:8" x14ac:dyDescent="0.25">
      <c r="E2122" t="str">
        <f>""</f>
        <v/>
      </c>
      <c r="F2122" t="str">
        <f>""</f>
        <v/>
      </c>
      <c r="H2122" t="str">
        <f t="shared" si="31"/>
        <v>SOCIAL SECURITY TAXES</v>
      </c>
    </row>
    <row r="2123" spans="5:8" x14ac:dyDescent="0.25">
      <c r="E2123" t="str">
        <f>""</f>
        <v/>
      </c>
      <c r="F2123" t="str">
        <f>""</f>
        <v/>
      </c>
      <c r="H2123" t="str">
        <f t="shared" si="31"/>
        <v>SOCIAL SECURITY TAXES</v>
      </c>
    </row>
    <row r="2124" spans="5:8" x14ac:dyDescent="0.25">
      <c r="E2124" t="str">
        <f>""</f>
        <v/>
      </c>
      <c r="F2124" t="str">
        <f>""</f>
        <v/>
      </c>
      <c r="H2124" t="str">
        <f t="shared" si="31"/>
        <v>SOCIAL SECURITY TAXES</v>
      </c>
    </row>
    <row r="2125" spans="5:8" x14ac:dyDescent="0.25">
      <c r="E2125" t="str">
        <f>""</f>
        <v/>
      </c>
      <c r="F2125" t="str">
        <f>""</f>
        <v/>
      </c>
      <c r="H2125" t="str">
        <f t="shared" si="31"/>
        <v>SOCIAL SECURITY TAXES</v>
      </c>
    </row>
    <row r="2126" spans="5:8" x14ac:dyDescent="0.25">
      <c r="E2126" t="str">
        <f>""</f>
        <v/>
      </c>
      <c r="F2126" t="str">
        <f>""</f>
        <v/>
      </c>
      <c r="H2126" t="str">
        <f t="shared" si="31"/>
        <v>SOCIAL SECURITY TAXES</v>
      </c>
    </row>
    <row r="2127" spans="5:8" x14ac:dyDescent="0.25">
      <c r="E2127" t="str">
        <f>""</f>
        <v/>
      </c>
      <c r="F2127" t="str">
        <f>""</f>
        <v/>
      </c>
      <c r="H2127" t="str">
        <f t="shared" si="31"/>
        <v>SOCIAL SECURITY TAXES</v>
      </c>
    </row>
    <row r="2128" spans="5:8" x14ac:dyDescent="0.25">
      <c r="E2128" t="str">
        <f>""</f>
        <v/>
      </c>
      <c r="F2128" t="str">
        <f>""</f>
        <v/>
      </c>
      <c r="H2128" t="str">
        <f t="shared" si="31"/>
        <v>SOCIAL SECURITY TAXES</v>
      </c>
    </row>
    <row r="2129" spans="5:8" x14ac:dyDescent="0.25">
      <c r="E2129" t="str">
        <f>""</f>
        <v/>
      </c>
      <c r="F2129" t="str">
        <f>""</f>
        <v/>
      </c>
      <c r="H2129" t="str">
        <f t="shared" si="31"/>
        <v>SOCIAL SECURITY TAXES</v>
      </c>
    </row>
    <row r="2130" spans="5:8" x14ac:dyDescent="0.25">
      <c r="E2130" t="str">
        <f>""</f>
        <v/>
      </c>
      <c r="F2130" t="str">
        <f>""</f>
        <v/>
      </c>
      <c r="H2130" t="str">
        <f t="shared" si="31"/>
        <v>SOCIAL SECURITY TAXES</v>
      </c>
    </row>
    <row r="2131" spans="5:8" x14ac:dyDescent="0.25">
      <c r="E2131" t="str">
        <f>""</f>
        <v/>
      </c>
      <c r="F2131" t="str">
        <f>""</f>
        <v/>
      </c>
      <c r="H2131" t="str">
        <f t="shared" si="31"/>
        <v>SOCIAL SECURITY TAXES</v>
      </c>
    </row>
    <row r="2132" spans="5:8" x14ac:dyDescent="0.25">
      <c r="E2132" t="str">
        <f>""</f>
        <v/>
      </c>
      <c r="F2132" t="str">
        <f>""</f>
        <v/>
      </c>
      <c r="H2132" t="str">
        <f t="shared" si="31"/>
        <v>SOCIAL SECURITY TAXES</v>
      </c>
    </row>
    <row r="2133" spans="5:8" x14ac:dyDescent="0.25">
      <c r="E2133" t="str">
        <f>""</f>
        <v/>
      </c>
      <c r="F2133" t="str">
        <f>""</f>
        <v/>
      </c>
      <c r="H2133" t="str">
        <f t="shared" si="31"/>
        <v>SOCIAL SECURITY TAXES</v>
      </c>
    </row>
    <row r="2134" spans="5:8" x14ac:dyDescent="0.25">
      <c r="E2134" t="str">
        <f>""</f>
        <v/>
      </c>
      <c r="F2134" t="str">
        <f>""</f>
        <v/>
      </c>
      <c r="H2134" t="str">
        <f t="shared" si="31"/>
        <v>SOCIAL SECURITY TAXES</v>
      </c>
    </row>
    <row r="2135" spans="5:8" x14ac:dyDescent="0.25">
      <c r="E2135" t="str">
        <f>""</f>
        <v/>
      </c>
      <c r="F2135" t="str">
        <f>""</f>
        <v/>
      </c>
      <c r="H2135" t="str">
        <f t="shared" ref="H2135:H2158" si="32">"SOCIAL SECURITY TAXES"</f>
        <v>SOCIAL SECURITY TAXES</v>
      </c>
    </row>
    <row r="2136" spans="5:8" x14ac:dyDescent="0.25">
      <c r="E2136" t="str">
        <f>""</f>
        <v/>
      </c>
      <c r="F2136" t="str">
        <f>""</f>
        <v/>
      </c>
      <c r="H2136" t="str">
        <f t="shared" si="32"/>
        <v>SOCIAL SECURITY TAXES</v>
      </c>
    </row>
    <row r="2137" spans="5:8" x14ac:dyDescent="0.25">
      <c r="E2137" t="str">
        <f>""</f>
        <v/>
      </c>
      <c r="F2137" t="str">
        <f>""</f>
        <v/>
      </c>
      <c r="H2137" t="str">
        <f t="shared" si="32"/>
        <v>SOCIAL SECURITY TAXES</v>
      </c>
    </row>
    <row r="2138" spans="5:8" x14ac:dyDescent="0.25">
      <c r="E2138" t="str">
        <f>""</f>
        <v/>
      </c>
      <c r="F2138" t="str">
        <f>""</f>
        <v/>
      </c>
      <c r="H2138" t="str">
        <f t="shared" si="32"/>
        <v>SOCIAL SECURITY TAXES</v>
      </c>
    </row>
    <row r="2139" spans="5:8" x14ac:dyDescent="0.25">
      <c r="E2139" t="str">
        <f>""</f>
        <v/>
      </c>
      <c r="F2139" t="str">
        <f>""</f>
        <v/>
      </c>
      <c r="H2139" t="str">
        <f t="shared" si="32"/>
        <v>SOCIAL SECURITY TAXES</v>
      </c>
    </row>
    <row r="2140" spans="5:8" x14ac:dyDescent="0.25">
      <c r="E2140" t="str">
        <f>""</f>
        <v/>
      </c>
      <c r="F2140" t="str">
        <f>""</f>
        <v/>
      </c>
      <c r="H2140" t="str">
        <f t="shared" si="32"/>
        <v>SOCIAL SECURITY TAXES</v>
      </c>
    </row>
    <row r="2141" spans="5:8" x14ac:dyDescent="0.25">
      <c r="E2141" t="str">
        <f>""</f>
        <v/>
      </c>
      <c r="F2141" t="str">
        <f>""</f>
        <v/>
      </c>
      <c r="H2141" t="str">
        <f t="shared" si="32"/>
        <v>SOCIAL SECURITY TAXES</v>
      </c>
    </row>
    <row r="2142" spans="5:8" x14ac:dyDescent="0.25">
      <c r="E2142" t="str">
        <f>""</f>
        <v/>
      </c>
      <c r="F2142" t="str">
        <f>""</f>
        <v/>
      </c>
      <c r="H2142" t="str">
        <f t="shared" si="32"/>
        <v>SOCIAL SECURITY TAXES</v>
      </c>
    </row>
    <row r="2143" spans="5:8" x14ac:dyDescent="0.25">
      <c r="E2143" t="str">
        <f>""</f>
        <v/>
      </c>
      <c r="F2143" t="str">
        <f>""</f>
        <v/>
      </c>
      <c r="H2143" t="str">
        <f t="shared" si="32"/>
        <v>SOCIAL SECURITY TAXES</v>
      </c>
    </row>
    <row r="2144" spans="5:8" x14ac:dyDescent="0.25">
      <c r="E2144" t="str">
        <f>""</f>
        <v/>
      </c>
      <c r="F2144" t="str">
        <f>""</f>
        <v/>
      </c>
      <c r="H2144" t="str">
        <f t="shared" si="32"/>
        <v>SOCIAL SECURITY TAXES</v>
      </c>
    </row>
    <row r="2145" spans="5:8" x14ac:dyDescent="0.25">
      <c r="E2145" t="str">
        <f>""</f>
        <v/>
      </c>
      <c r="F2145" t="str">
        <f>""</f>
        <v/>
      </c>
      <c r="H2145" t="str">
        <f t="shared" si="32"/>
        <v>SOCIAL SECURITY TAXES</v>
      </c>
    </row>
    <row r="2146" spans="5:8" x14ac:dyDescent="0.25">
      <c r="E2146" t="str">
        <f>""</f>
        <v/>
      </c>
      <c r="F2146" t="str">
        <f>""</f>
        <v/>
      </c>
      <c r="H2146" t="str">
        <f t="shared" si="32"/>
        <v>SOCIAL SECURITY TAXES</v>
      </c>
    </row>
    <row r="2147" spans="5:8" x14ac:dyDescent="0.25">
      <c r="E2147" t="str">
        <f>""</f>
        <v/>
      </c>
      <c r="F2147" t="str">
        <f>""</f>
        <v/>
      </c>
      <c r="H2147" t="str">
        <f t="shared" si="32"/>
        <v>SOCIAL SECURITY TAXES</v>
      </c>
    </row>
    <row r="2148" spans="5:8" x14ac:dyDescent="0.25">
      <c r="E2148" t="str">
        <f>""</f>
        <v/>
      </c>
      <c r="F2148" t="str">
        <f>""</f>
        <v/>
      </c>
      <c r="H2148" t="str">
        <f t="shared" si="32"/>
        <v>SOCIAL SECURITY TAXES</v>
      </c>
    </row>
    <row r="2149" spans="5:8" x14ac:dyDescent="0.25">
      <c r="E2149" t="str">
        <f>""</f>
        <v/>
      </c>
      <c r="F2149" t="str">
        <f>""</f>
        <v/>
      </c>
      <c r="H2149" t="str">
        <f t="shared" si="32"/>
        <v>SOCIAL SECURITY TAXES</v>
      </c>
    </row>
    <row r="2150" spans="5:8" x14ac:dyDescent="0.25">
      <c r="E2150" t="str">
        <f>""</f>
        <v/>
      </c>
      <c r="F2150" t="str">
        <f>""</f>
        <v/>
      </c>
      <c r="H2150" t="str">
        <f t="shared" si="32"/>
        <v>SOCIAL SECURITY TAXES</v>
      </c>
    </row>
    <row r="2151" spans="5:8" x14ac:dyDescent="0.25">
      <c r="E2151" t="str">
        <f>""</f>
        <v/>
      </c>
      <c r="F2151" t="str">
        <f>""</f>
        <v/>
      </c>
      <c r="H2151" t="str">
        <f t="shared" si="32"/>
        <v>SOCIAL SECURITY TAXES</v>
      </c>
    </row>
    <row r="2152" spans="5:8" x14ac:dyDescent="0.25">
      <c r="E2152" t="str">
        <f>""</f>
        <v/>
      </c>
      <c r="F2152" t="str">
        <f>""</f>
        <v/>
      </c>
      <c r="H2152" t="str">
        <f t="shared" si="32"/>
        <v>SOCIAL SECURITY TAXES</v>
      </c>
    </row>
    <row r="2153" spans="5:8" x14ac:dyDescent="0.25">
      <c r="E2153" t="str">
        <f>""</f>
        <v/>
      </c>
      <c r="F2153" t="str">
        <f>""</f>
        <v/>
      </c>
      <c r="H2153" t="str">
        <f t="shared" si="32"/>
        <v>SOCIAL SECURITY TAXES</v>
      </c>
    </row>
    <row r="2154" spans="5:8" x14ac:dyDescent="0.25">
      <c r="E2154" t="str">
        <f>""</f>
        <v/>
      </c>
      <c r="F2154" t="str">
        <f>""</f>
        <v/>
      </c>
      <c r="H2154" t="str">
        <f t="shared" si="32"/>
        <v>SOCIAL SECURITY TAXES</v>
      </c>
    </row>
    <row r="2155" spans="5:8" x14ac:dyDescent="0.25">
      <c r="E2155" t="str">
        <f>"T3 201909181934"</f>
        <v>T3 201909181934</v>
      </c>
      <c r="F2155" t="str">
        <f>"SOCIAL SECURITY TAXES"</f>
        <v>SOCIAL SECURITY TAXES</v>
      </c>
      <c r="G2155" s="2">
        <v>4429.58</v>
      </c>
      <c r="H2155" t="str">
        <f t="shared" si="32"/>
        <v>SOCIAL SECURITY TAXES</v>
      </c>
    </row>
    <row r="2156" spans="5:8" x14ac:dyDescent="0.25">
      <c r="E2156" t="str">
        <f>""</f>
        <v/>
      </c>
      <c r="F2156" t="str">
        <f>""</f>
        <v/>
      </c>
      <c r="H2156" t="str">
        <f t="shared" si="32"/>
        <v>SOCIAL SECURITY TAXES</v>
      </c>
    </row>
    <row r="2157" spans="5:8" x14ac:dyDescent="0.25">
      <c r="E2157" t="str">
        <f>"T3 201909181935"</f>
        <v>T3 201909181935</v>
      </c>
      <c r="F2157" t="str">
        <f>"SOCIAL SECURITY TAXES"</f>
        <v>SOCIAL SECURITY TAXES</v>
      </c>
      <c r="G2157" s="2">
        <v>4824.68</v>
      </c>
      <c r="H2157" t="str">
        <f t="shared" si="32"/>
        <v>SOCIAL SECURITY TAXES</v>
      </c>
    </row>
    <row r="2158" spans="5:8" x14ac:dyDescent="0.25">
      <c r="E2158" t="str">
        <f>""</f>
        <v/>
      </c>
      <c r="F2158" t="str">
        <f>""</f>
        <v/>
      </c>
      <c r="H2158" t="str">
        <f t="shared" si="32"/>
        <v>SOCIAL SECURITY TAXES</v>
      </c>
    </row>
    <row r="2159" spans="5:8" x14ac:dyDescent="0.25">
      <c r="E2159" t="str">
        <f>"T4 201909181931"</f>
        <v>T4 201909181931</v>
      </c>
      <c r="F2159" t="str">
        <f>"MEDICARE TAXES"</f>
        <v>MEDICARE TAXES</v>
      </c>
      <c r="G2159" s="2">
        <v>25131.56</v>
      </c>
      <c r="H2159" t="str">
        <f t="shared" ref="H2159:H2190" si="33">"MEDICARE TAXES"</f>
        <v>MEDICARE TAXES</v>
      </c>
    </row>
    <row r="2160" spans="5:8" x14ac:dyDescent="0.25">
      <c r="E2160" t="str">
        <f>""</f>
        <v/>
      </c>
      <c r="F2160" t="str">
        <f>""</f>
        <v/>
      </c>
      <c r="H2160" t="str">
        <f t="shared" si="33"/>
        <v>MEDICARE TAXES</v>
      </c>
    </row>
    <row r="2161" spans="5:8" x14ac:dyDescent="0.25">
      <c r="E2161" t="str">
        <f>""</f>
        <v/>
      </c>
      <c r="F2161" t="str">
        <f>""</f>
        <v/>
      </c>
      <c r="H2161" t="str">
        <f t="shared" si="33"/>
        <v>MEDICARE TAXES</v>
      </c>
    </row>
    <row r="2162" spans="5:8" x14ac:dyDescent="0.25">
      <c r="E2162" t="str">
        <f>""</f>
        <v/>
      </c>
      <c r="F2162" t="str">
        <f>""</f>
        <v/>
      </c>
      <c r="H2162" t="str">
        <f t="shared" si="33"/>
        <v>MEDICARE TAXES</v>
      </c>
    </row>
    <row r="2163" spans="5:8" x14ac:dyDescent="0.25">
      <c r="E2163" t="str">
        <f>""</f>
        <v/>
      </c>
      <c r="F2163" t="str">
        <f>""</f>
        <v/>
      </c>
      <c r="H2163" t="str">
        <f t="shared" si="33"/>
        <v>MEDICARE TAXES</v>
      </c>
    </row>
    <row r="2164" spans="5:8" x14ac:dyDescent="0.25">
      <c r="E2164" t="str">
        <f>""</f>
        <v/>
      </c>
      <c r="F2164" t="str">
        <f>""</f>
        <v/>
      </c>
      <c r="H2164" t="str">
        <f t="shared" si="33"/>
        <v>MEDICARE TAXES</v>
      </c>
    </row>
    <row r="2165" spans="5:8" x14ac:dyDescent="0.25">
      <c r="E2165" t="str">
        <f>""</f>
        <v/>
      </c>
      <c r="F2165" t="str">
        <f>""</f>
        <v/>
      </c>
      <c r="H2165" t="str">
        <f t="shared" si="33"/>
        <v>MEDICARE TAXES</v>
      </c>
    </row>
    <row r="2166" spans="5:8" x14ac:dyDescent="0.25">
      <c r="E2166" t="str">
        <f>""</f>
        <v/>
      </c>
      <c r="F2166" t="str">
        <f>""</f>
        <v/>
      </c>
      <c r="H2166" t="str">
        <f t="shared" si="33"/>
        <v>MEDICARE TAXES</v>
      </c>
    </row>
    <row r="2167" spans="5:8" x14ac:dyDescent="0.25">
      <c r="E2167" t="str">
        <f>""</f>
        <v/>
      </c>
      <c r="F2167" t="str">
        <f>""</f>
        <v/>
      </c>
      <c r="H2167" t="str">
        <f t="shared" si="33"/>
        <v>MEDICARE TAXES</v>
      </c>
    </row>
    <row r="2168" spans="5:8" x14ac:dyDescent="0.25">
      <c r="E2168" t="str">
        <f>""</f>
        <v/>
      </c>
      <c r="F2168" t="str">
        <f>""</f>
        <v/>
      </c>
      <c r="H2168" t="str">
        <f t="shared" si="33"/>
        <v>MEDICARE TAXES</v>
      </c>
    </row>
    <row r="2169" spans="5:8" x14ac:dyDescent="0.25">
      <c r="E2169" t="str">
        <f>""</f>
        <v/>
      </c>
      <c r="F2169" t="str">
        <f>""</f>
        <v/>
      </c>
      <c r="H2169" t="str">
        <f t="shared" si="33"/>
        <v>MEDICARE TAXES</v>
      </c>
    </row>
    <row r="2170" spans="5:8" x14ac:dyDescent="0.25">
      <c r="E2170" t="str">
        <f>""</f>
        <v/>
      </c>
      <c r="F2170" t="str">
        <f>""</f>
        <v/>
      </c>
      <c r="H2170" t="str">
        <f t="shared" si="33"/>
        <v>MEDICARE TAXES</v>
      </c>
    </row>
    <row r="2171" spans="5:8" x14ac:dyDescent="0.25">
      <c r="E2171" t="str">
        <f>""</f>
        <v/>
      </c>
      <c r="F2171" t="str">
        <f>""</f>
        <v/>
      </c>
      <c r="H2171" t="str">
        <f t="shared" si="33"/>
        <v>MEDICARE TAXES</v>
      </c>
    </row>
    <row r="2172" spans="5:8" x14ac:dyDescent="0.25">
      <c r="E2172" t="str">
        <f>""</f>
        <v/>
      </c>
      <c r="F2172" t="str">
        <f>""</f>
        <v/>
      </c>
      <c r="H2172" t="str">
        <f t="shared" si="33"/>
        <v>MEDICARE TAXES</v>
      </c>
    </row>
    <row r="2173" spans="5:8" x14ac:dyDescent="0.25">
      <c r="E2173" t="str">
        <f>""</f>
        <v/>
      </c>
      <c r="F2173" t="str">
        <f>""</f>
        <v/>
      </c>
      <c r="H2173" t="str">
        <f t="shared" si="33"/>
        <v>MEDICARE TAXES</v>
      </c>
    </row>
    <row r="2174" spans="5:8" x14ac:dyDescent="0.25">
      <c r="E2174" t="str">
        <f>""</f>
        <v/>
      </c>
      <c r="F2174" t="str">
        <f>""</f>
        <v/>
      </c>
      <c r="H2174" t="str">
        <f t="shared" si="33"/>
        <v>MEDICARE TAXES</v>
      </c>
    </row>
    <row r="2175" spans="5:8" x14ac:dyDescent="0.25">
      <c r="E2175" t="str">
        <f>""</f>
        <v/>
      </c>
      <c r="F2175" t="str">
        <f>""</f>
        <v/>
      </c>
      <c r="H2175" t="str">
        <f t="shared" si="33"/>
        <v>MEDICARE TAXES</v>
      </c>
    </row>
    <row r="2176" spans="5:8" x14ac:dyDescent="0.25">
      <c r="E2176" t="str">
        <f>""</f>
        <v/>
      </c>
      <c r="F2176" t="str">
        <f>""</f>
        <v/>
      </c>
      <c r="H2176" t="str">
        <f t="shared" si="33"/>
        <v>MEDICARE TAXES</v>
      </c>
    </row>
    <row r="2177" spans="5:8" x14ac:dyDescent="0.25">
      <c r="E2177" t="str">
        <f>""</f>
        <v/>
      </c>
      <c r="F2177" t="str">
        <f>""</f>
        <v/>
      </c>
      <c r="H2177" t="str">
        <f t="shared" si="33"/>
        <v>MEDICARE TAXES</v>
      </c>
    </row>
    <row r="2178" spans="5:8" x14ac:dyDescent="0.25">
      <c r="E2178" t="str">
        <f>""</f>
        <v/>
      </c>
      <c r="F2178" t="str">
        <f>""</f>
        <v/>
      </c>
      <c r="H2178" t="str">
        <f t="shared" si="33"/>
        <v>MEDICARE TAXES</v>
      </c>
    </row>
    <row r="2179" spans="5:8" x14ac:dyDescent="0.25">
      <c r="E2179" t="str">
        <f>""</f>
        <v/>
      </c>
      <c r="F2179" t="str">
        <f>""</f>
        <v/>
      </c>
      <c r="H2179" t="str">
        <f t="shared" si="33"/>
        <v>MEDICARE TAXES</v>
      </c>
    </row>
    <row r="2180" spans="5:8" x14ac:dyDescent="0.25">
      <c r="E2180" t="str">
        <f>""</f>
        <v/>
      </c>
      <c r="F2180" t="str">
        <f>""</f>
        <v/>
      </c>
      <c r="H2180" t="str">
        <f t="shared" si="33"/>
        <v>MEDICARE TAXES</v>
      </c>
    </row>
    <row r="2181" spans="5:8" x14ac:dyDescent="0.25">
      <c r="E2181" t="str">
        <f>""</f>
        <v/>
      </c>
      <c r="F2181" t="str">
        <f>""</f>
        <v/>
      </c>
      <c r="H2181" t="str">
        <f t="shared" si="33"/>
        <v>MEDICARE TAXES</v>
      </c>
    </row>
    <row r="2182" spans="5:8" x14ac:dyDescent="0.25">
      <c r="E2182" t="str">
        <f>""</f>
        <v/>
      </c>
      <c r="F2182" t="str">
        <f>""</f>
        <v/>
      </c>
      <c r="H2182" t="str">
        <f t="shared" si="33"/>
        <v>MEDICARE TAXES</v>
      </c>
    </row>
    <row r="2183" spans="5:8" x14ac:dyDescent="0.25">
      <c r="E2183" t="str">
        <f>""</f>
        <v/>
      </c>
      <c r="F2183" t="str">
        <f>""</f>
        <v/>
      </c>
      <c r="H2183" t="str">
        <f t="shared" si="33"/>
        <v>MEDICARE TAXES</v>
      </c>
    </row>
    <row r="2184" spans="5:8" x14ac:dyDescent="0.25">
      <c r="E2184" t="str">
        <f>""</f>
        <v/>
      </c>
      <c r="F2184" t="str">
        <f>""</f>
        <v/>
      </c>
      <c r="H2184" t="str">
        <f t="shared" si="33"/>
        <v>MEDICARE TAXES</v>
      </c>
    </row>
    <row r="2185" spans="5:8" x14ac:dyDescent="0.25">
      <c r="E2185" t="str">
        <f>""</f>
        <v/>
      </c>
      <c r="F2185" t="str">
        <f>""</f>
        <v/>
      </c>
      <c r="H2185" t="str">
        <f t="shared" si="33"/>
        <v>MEDICARE TAXES</v>
      </c>
    </row>
    <row r="2186" spans="5:8" x14ac:dyDescent="0.25">
      <c r="E2186" t="str">
        <f>""</f>
        <v/>
      </c>
      <c r="F2186" t="str">
        <f>""</f>
        <v/>
      </c>
      <c r="H2186" t="str">
        <f t="shared" si="33"/>
        <v>MEDICARE TAXES</v>
      </c>
    </row>
    <row r="2187" spans="5:8" x14ac:dyDescent="0.25">
      <c r="E2187" t="str">
        <f>""</f>
        <v/>
      </c>
      <c r="F2187" t="str">
        <f>""</f>
        <v/>
      </c>
      <c r="H2187" t="str">
        <f t="shared" si="33"/>
        <v>MEDICARE TAXES</v>
      </c>
    </row>
    <row r="2188" spans="5:8" x14ac:dyDescent="0.25">
      <c r="E2188" t="str">
        <f>""</f>
        <v/>
      </c>
      <c r="F2188" t="str">
        <f>""</f>
        <v/>
      </c>
      <c r="H2188" t="str">
        <f t="shared" si="33"/>
        <v>MEDICARE TAXES</v>
      </c>
    </row>
    <row r="2189" spans="5:8" x14ac:dyDescent="0.25">
      <c r="E2189" t="str">
        <f>""</f>
        <v/>
      </c>
      <c r="F2189" t="str">
        <f>""</f>
        <v/>
      </c>
      <c r="H2189" t="str">
        <f t="shared" si="33"/>
        <v>MEDICARE TAXES</v>
      </c>
    </row>
    <row r="2190" spans="5:8" x14ac:dyDescent="0.25">
      <c r="E2190" t="str">
        <f>""</f>
        <v/>
      </c>
      <c r="F2190" t="str">
        <f>""</f>
        <v/>
      </c>
      <c r="H2190" t="str">
        <f t="shared" si="33"/>
        <v>MEDICARE TAXES</v>
      </c>
    </row>
    <row r="2191" spans="5:8" x14ac:dyDescent="0.25">
      <c r="E2191" t="str">
        <f>""</f>
        <v/>
      </c>
      <c r="F2191" t="str">
        <f>""</f>
        <v/>
      </c>
      <c r="H2191" t="str">
        <f t="shared" ref="H2191:H2214" si="34">"MEDICARE TAXES"</f>
        <v>MEDICARE TAXES</v>
      </c>
    </row>
    <row r="2192" spans="5:8" x14ac:dyDescent="0.25">
      <c r="E2192" t="str">
        <f>""</f>
        <v/>
      </c>
      <c r="F2192" t="str">
        <f>""</f>
        <v/>
      </c>
      <c r="H2192" t="str">
        <f t="shared" si="34"/>
        <v>MEDICARE TAXES</v>
      </c>
    </row>
    <row r="2193" spans="5:8" x14ac:dyDescent="0.25">
      <c r="E2193" t="str">
        <f>""</f>
        <v/>
      </c>
      <c r="F2193" t="str">
        <f>""</f>
        <v/>
      </c>
      <c r="H2193" t="str">
        <f t="shared" si="34"/>
        <v>MEDICARE TAXES</v>
      </c>
    </row>
    <row r="2194" spans="5:8" x14ac:dyDescent="0.25">
      <c r="E2194" t="str">
        <f>""</f>
        <v/>
      </c>
      <c r="F2194" t="str">
        <f>""</f>
        <v/>
      </c>
      <c r="H2194" t="str">
        <f t="shared" si="34"/>
        <v>MEDICARE TAXES</v>
      </c>
    </row>
    <row r="2195" spans="5:8" x14ac:dyDescent="0.25">
      <c r="E2195" t="str">
        <f>""</f>
        <v/>
      </c>
      <c r="F2195" t="str">
        <f>""</f>
        <v/>
      </c>
      <c r="H2195" t="str">
        <f t="shared" si="34"/>
        <v>MEDICARE TAXES</v>
      </c>
    </row>
    <row r="2196" spans="5:8" x14ac:dyDescent="0.25">
      <c r="E2196" t="str">
        <f>""</f>
        <v/>
      </c>
      <c r="F2196" t="str">
        <f>""</f>
        <v/>
      </c>
      <c r="H2196" t="str">
        <f t="shared" si="34"/>
        <v>MEDICARE TAXES</v>
      </c>
    </row>
    <row r="2197" spans="5:8" x14ac:dyDescent="0.25">
      <c r="E2197" t="str">
        <f>""</f>
        <v/>
      </c>
      <c r="F2197" t="str">
        <f>""</f>
        <v/>
      </c>
      <c r="H2197" t="str">
        <f t="shared" si="34"/>
        <v>MEDICARE TAXES</v>
      </c>
    </row>
    <row r="2198" spans="5:8" x14ac:dyDescent="0.25">
      <c r="E2198" t="str">
        <f>""</f>
        <v/>
      </c>
      <c r="F2198" t="str">
        <f>""</f>
        <v/>
      </c>
      <c r="H2198" t="str">
        <f t="shared" si="34"/>
        <v>MEDICARE TAXES</v>
      </c>
    </row>
    <row r="2199" spans="5:8" x14ac:dyDescent="0.25">
      <c r="E2199" t="str">
        <f>""</f>
        <v/>
      </c>
      <c r="F2199" t="str">
        <f>""</f>
        <v/>
      </c>
      <c r="H2199" t="str">
        <f t="shared" si="34"/>
        <v>MEDICARE TAXES</v>
      </c>
    </row>
    <row r="2200" spans="5:8" x14ac:dyDescent="0.25">
      <c r="E2200" t="str">
        <f>""</f>
        <v/>
      </c>
      <c r="F2200" t="str">
        <f>""</f>
        <v/>
      </c>
      <c r="H2200" t="str">
        <f t="shared" si="34"/>
        <v>MEDICARE TAXES</v>
      </c>
    </row>
    <row r="2201" spans="5:8" x14ac:dyDescent="0.25">
      <c r="E2201" t="str">
        <f>""</f>
        <v/>
      </c>
      <c r="F2201" t="str">
        <f>""</f>
        <v/>
      </c>
      <c r="H2201" t="str">
        <f t="shared" si="34"/>
        <v>MEDICARE TAXES</v>
      </c>
    </row>
    <row r="2202" spans="5:8" x14ac:dyDescent="0.25">
      <c r="E2202" t="str">
        <f>""</f>
        <v/>
      </c>
      <c r="F2202" t="str">
        <f>""</f>
        <v/>
      </c>
      <c r="H2202" t="str">
        <f t="shared" si="34"/>
        <v>MEDICARE TAXES</v>
      </c>
    </row>
    <row r="2203" spans="5:8" x14ac:dyDescent="0.25">
      <c r="E2203" t="str">
        <f>""</f>
        <v/>
      </c>
      <c r="F2203" t="str">
        <f>""</f>
        <v/>
      </c>
      <c r="H2203" t="str">
        <f t="shared" si="34"/>
        <v>MEDICARE TAXES</v>
      </c>
    </row>
    <row r="2204" spans="5:8" x14ac:dyDescent="0.25">
      <c r="E2204" t="str">
        <f>""</f>
        <v/>
      </c>
      <c r="F2204" t="str">
        <f>""</f>
        <v/>
      </c>
      <c r="H2204" t="str">
        <f t="shared" si="34"/>
        <v>MEDICARE TAXES</v>
      </c>
    </row>
    <row r="2205" spans="5:8" x14ac:dyDescent="0.25">
      <c r="E2205" t="str">
        <f>""</f>
        <v/>
      </c>
      <c r="F2205" t="str">
        <f>""</f>
        <v/>
      </c>
      <c r="H2205" t="str">
        <f t="shared" si="34"/>
        <v>MEDICARE TAXES</v>
      </c>
    </row>
    <row r="2206" spans="5:8" x14ac:dyDescent="0.25">
      <c r="E2206" t="str">
        <f>""</f>
        <v/>
      </c>
      <c r="F2206" t="str">
        <f>""</f>
        <v/>
      </c>
      <c r="H2206" t="str">
        <f t="shared" si="34"/>
        <v>MEDICARE TAXES</v>
      </c>
    </row>
    <row r="2207" spans="5:8" x14ac:dyDescent="0.25">
      <c r="E2207" t="str">
        <f>""</f>
        <v/>
      </c>
      <c r="F2207" t="str">
        <f>""</f>
        <v/>
      </c>
      <c r="H2207" t="str">
        <f t="shared" si="34"/>
        <v>MEDICARE TAXES</v>
      </c>
    </row>
    <row r="2208" spans="5:8" x14ac:dyDescent="0.25">
      <c r="E2208" t="str">
        <f>""</f>
        <v/>
      </c>
      <c r="F2208" t="str">
        <f>""</f>
        <v/>
      </c>
      <c r="H2208" t="str">
        <f t="shared" si="34"/>
        <v>MEDICARE TAXES</v>
      </c>
    </row>
    <row r="2209" spans="1:8" x14ac:dyDescent="0.25">
      <c r="E2209" t="str">
        <f>""</f>
        <v/>
      </c>
      <c r="F2209" t="str">
        <f>""</f>
        <v/>
      </c>
      <c r="H2209" t="str">
        <f t="shared" si="34"/>
        <v>MEDICARE TAXES</v>
      </c>
    </row>
    <row r="2210" spans="1:8" x14ac:dyDescent="0.25">
      <c r="E2210" t="str">
        <f>""</f>
        <v/>
      </c>
      <c r="F2210" t="str">
        <f>""</f>
        <v/>
      </c>
      <c r="H2210" t="str">
        <f t="shared" si="34"/>
        <v>MEDICARE TAXES</v>
      </c>
    </row>
    <row r="2211" spans="1:8" x14ac:dyDescent="0.25">
      <c r="E2211" t="str">
        <f>"T4 201909181934"</f>
        <v>T4 201909181934</v>
      </c>
      <c r="F2211" t="str">
        <f>"MEDICARE TAXES"</f>
        <v>MEDICARE TAXES</v>
      </c>
      <c r="G2211" s="2">
        <v>1035.96</v>
      </c>
      <c r="H2211" t="str">
        <f t="shared" si="34"/>
        <v>MEDICARE TAXES</v>
      </c>
    </row>
    <row r="2212" spans="1:8" x14ac:dyDescent="0.25">
      <c r="E2212" t="str">
        <f>""</f>
        <v/>
      </c>
      <c r="F2212" t="str">
        <f>""</f>
        <v/>
      </c>
      <c r="H2212" t="str">
        <f t="shared" si="34"/>
        <v>MEDICARE TAXES</v>
      </c>
    </row>
    <row r="2213" spans="1:8" x14ac:dyDescent="0.25">
      <c r="E2213" t="str">
        <f>"T4 201909181935"</f>
        <v>T4 201909181935</v>
      </c>
      <c r="F2213" t="str">
        <f>"MEDICARE TAXES"</f>
        <v>MEDICARE TAXES</v>
      </c>
      <c r="G2213" s="2">
        <v>1128.32</v>
      </c>
      <c r="H2213" t="str">
        <f t="shared" si="34"/>
        <v>MEDICARE TAXES</v>
      </c>
    </row>
    <row r="2214" spans="1:8" x14ac:dyDescent="0.25">
      <c r="E2214" t="str">
        <f>""</f>
        <v/>
      </c>
      <c r="F2214" t="str">
        <f>""</f>
        <v/>
      </c>
      <c r="H2214" t="str">
        <f t="shared" si="34"/>
        <v>MEDICARE TAXES</v>
      </c>
    </row>
    <row r="2215" spans="1:8" x14ac:dyDescent="0.25">
      <c r="A2215" t="s">
        <v>458</v>
      </c>
      <c r="B2215">
        <v>47636</v>
      </c>
      <c r="C2215" s="2">
        <v>12.58</v>
      </c>
      <c r="D2215" s="1">
        <v>43731</v>
      </c>
      <c r="E2215" t="str">
        <f>"201909231975"</f>
        <v>201909231975</v>
      </c>
      <c r="F2215" t="str">
        <f>"MARY CASEY RETIREE REFUND"</f>
        <v>MARY CASEY RETIREE REFUND</v>
      </c>
      <c r="G2215" s="2">
        <v>12.58</v>
      </c>
      <c r="H2215" t="str">
        <f>"MARY CASEY"</f>
        <v>MARY CASEY</v>
      </c>
    </row>
    <row r="2216" spans="1:8" x14ac:dyDescent="0.25">
      <c r="A2216" t="s">
        <v>459</v>
      </c>
      <c r="B2216">
        <v>47635</v>
      </c>
      <c r="C2216" s="2">
        <v>377.28</v>
      </c>
      <c r="D2216" s="1">
        <v>43731</v>
      </c>
      <c r="E2216" t="str">
        <f>"201909231976"</f>
        <v>201909231976</v>
      </c>
      <c r="F2216" t="str">
        <f>"MARY COLLING REFUND"</f>
        <v>MARY COLLING REFUND</v>
      </c>
      <c r="G2216" s="2">
        <v>377.28</v>
      </c>
      <c r="H2216" t="str">
        <f>"MARY COLLING"</f>
        <v>MARY COLLING</v>
      </c>
    </row>
    <row r="2217" spans="1:8" x14ac:dyDescent="0.25">
      <c r="A2217" t="s">
        <v>460</v>
      </c>
      <c r="B2217">
        <v>237</v>
      </c>
      <c r="C2217" s="2">
        <v>113.22</v>
      </c>
      <c r="D2217" s="1">
        <v>43731</v>
      </c>
      <c r="E2217" t="str">
        <f>"201909231974"</f>
        <v>201909231974</v>
      </c>
      <c r="F2217" t="str">
        <f>"MELVIN BELL - REFUND"</f>
        <v>MELVIN BELL - REFUND</v>
      </c>
      <c r="G2217" s="2">
        <v>113.22</v>
      </c>
      <c r="H2217" t="str">
        <f>"MELVIN BELL - REFUND"</f>
        <v>MELVIN BELL - REFUND</v>
      </c>
    </row>
    <row r="2218" spans="1:8" x14ac:dyDescent="0.25">
      <c r="A2218" t="s">
        <v>461</v>
      </c>
      <c r="B2218">
        <v>235</v>
      </c>
      <c r="C2218" s="2">
        <v>222.32</v>
      </c>
      <c r="D2218" s="1">
        <v>43731</v>
      </c>
      <c r="E2218" t="str">
        <f>"201909231977"</f>
        <v>201909231977</v>
      </c>
      <c r="F2218" t="str">
        <f>"MICHAEL DANIEL RETIREE REFUND"</f>
        <v>MICHAEL DANIEL RETIREE REFUND</v>
      </c>
      <c r="G2218" s="2">
        <v>222.32</v>
      </c>
      <c r="H2218" t="str">
        <f>"MICHAEL DANIEL"</f>
        <v>MICHAEL DANIEL</v>
      </c>
    </row>
    <row r="2219" spans="1:8" x14ac:dyDescent="0.25">
      <c r="A2219" t="s">
        <v>462</v>
      </c>
      <c r="B2219">
        <v>47611</v>
      </c>
      <c r="C2219" s="2">
        <v>222.76</v>
      </c>
      <c r="D2219" s="1">
        <v>43714</v>
      </c>
      <c r="E2219" t="str">
        <f>"C64201909031425"</f>
        <v>C64201909031425</v>
      </c>
      <c r="F2219" t="str">
        <f>"CASE #912745322"</f>
        <v>CASE #912745322</v>
      </c>
      <c r="G2219" s="2">
        <v>222.76</v>
      </c>
      <c r="H2219" t="str">
        <f>"CASE #912745322"</f>
        <v>CASE #912745322</v>
      </c>
    </row>
    <row r="2220" spans="1:8" x14ac:dyDescent="0.25">
      <c r="A2220" t="s">
        <v>462</v>
      </c>
      <c r="B2220">
        <v>47630</v>
      </c>
      <c r="C2220" s="2">
        <v>222.76</v>
      </c>
      <c r="D2220" s="1">
        <v>43728</v>
      </c>
      <c r="E2220" t="str">
        <f>"C64201909181931"</f>
        <v>C64201909181931</v>
      </c>
      <c r="F2220" t="str">
        <f>"CASE #912745322"</f>
        <v>CASE #912745322</v>
      </c>
      <c r="G2220" s="2">
        <v>222.76</v>
      </c>
      <c r="H2220" t="str">
        <f>"CASE #912745322"</f>
        <v>CASE #912745322</v>
      </c>
    </row>
    <row r="2221" spans="1:8" x14ac:dyDescent="0.25">
      <c r="A2221" t="s">
        <v>463</v>
      </c>
      <c r="B2221">
        <v>231</v>
      </c>
      <c r="C2221" s="2">
        <v>674.82</v>
      </c>
      <c r="D2221" s="1">
        <v>43734</v>
      </c>
      <c r="E2221" t="str">
        <f>"LIX201909031425"</f>
        <v>LIX201909031425</v>
      </c>
      <c r="F2221" t="str">
        <f>"TEXAS LIFE/OLIVO GROUP"</f>
        <v>TEXAS LIFE/OLIVO GROUP</v>
      </c>
      <c r="G2221" s="2">
        <v>337.41</v>
      </c>
      <c r="H2221" t="str">
        <f>"TEXAS LIFE/OLIVO GROUP"</f>
        <v>TEXAS LIFE/OLIVO GROUP</v>
      </c>
    </row>
    <row r="2222" spans="1:8" x14ac:dyDescent="0.25">
      <c r="E2222" t="str">
        <f>"LIX201909181931"</f>
        <v>LIX201909181931</v>
      </c>
      <c r="F2222" t="str">
        <f>"TEXAS LIFE/OLIVO GROUP"</f>
        <v>TEXAS LIFE/OLIVO GROUP</v>
      </c>
      <c r="G2222" s="2">
        <v>337.41</v>
      </c>
      <c r="H2222" t="str">
        <f>"TEXAS LIFE/OLIVO GROUP"</f>
        <v>TEXAS LIFE/OLIVO GROUP</v>
      </c>
    </row>
    <row r="2223" spans="1:8" x14ac:dyDescent="0.25">
      <c r="A2223" t="s">
        <v>464</v>
      </c>
      <c r="B2223">
        <v>47637</v>
      </c>
      <c r="C2223" s="2">
        <v>31.6</v>
      </c>
      <c r="D2223" s="1">
        <v>43738</v>
      </c>
      <c r="E2223" t="str">
        <f>"201910012132"</f>
        <v>201910012132</v>
      </c>
      <c r="F2223" t="str">
        <f>"ROSS JOHNSON REFUND SEPT '19"</f>
        <v>ROSS JOHNSON REFUND SEPT '19</v>
      </c>
      <c r="G2223" s="2">
        <v>31.6</v>
      </c>
      <c r="H2223" t="str">
        <f>"ROSS D JOHNSON"</f>
        <v>ROSS D JOHNSON</v>
      </c>
    </row>
    <row r="2224" spans="1:8" x14ac:dyDescent="0.25">
      <c r="A2224" t="s">
        <v>465</v>
      </c>
      <c r="B2224">
        <v>47634</v>
      </c>
      <c r="C2224" s="2">
        <v>336663.52</v>
      </c>
      <c r="D2224" s="1">
        <v>43734</v>
      </c>
      <c r="E2224" t="str">
        <f>"201909231964"</f>
        <v>201909231964</v>
      </c>
      <c r="F2224" t="str">
        <f>"Retiree Sept 2019"</f>
        <v>Retiree Sept 2019</v>
      </c>
      <c r="G2224" s="2">
        <v>16018.76</v>
      </c>
      <c r="H2224" t="str">
        <f>"TAC HEALTH BENEFITS POOL"</f>
        <v>TAC HEALTH BENEFITS POOL</v>
      </c>
    </row>
    <row r="2225" spans="5:8" x14ac:dyDescent="0.25">
      <c r="E2225" t="str">
        <f>"201909231965"</f>
        <v>201909231965</v>
      </c>
      <c r="F2225" t="str">
        <f>"Krystal Stabeno"</f>
        <v>Krystal Stabeno</v>
      </c>
      <c r="G2225" s="2">
        <v>236.74</v>
      </c>
      <c r="H2225" t="str">
        <f>"TAC HEALTH BENEFITS POOL"</f>
        <v>TAC HEALTH BENEFITS POOL</v>
      </c>
    </row>
    <row r="2226" spans="5:8" x14ac:dyDescent="0.25">
      <c r="E2226" t="str">
        <f>"2EC201909031425"</f>
        <v>2EC201909031425</v>
      </c>
      <c r="F2226" t="str">
        <f>"BCBS PAYABLE"</f>
        <v>BCBS PAYABLE</v>
      </c>
      <c r="G2226" s="2">
        <v>45182.8</v>
      </c>
      <c r="H2226" t="str">
        <f t="shared" ref="H2226:H2257" si="35">"BCBS PAYABLE"</f>
        <v>BCBS PAYABLE</v>
      </c>
    </row>
    <row r="2227" spans="5:8" x14ac:dyDescent="0.25">
      <c r="E2227" t="str">
        <f>""</f>
        <v/>
      </c>
      <c r="F2227" t="str">
        <f>""</f>
        <v/>
      </c>
      <c r="H2227" t="str">
        <f t="shared" si="35"/>
        <v>BCBS PAYABLE</v>
      </c>
    </row>
    <row r="2228" spans="5:8" x14ac:dyDescent="0.25">
      <c r="E2228" t="str">
        <f>""</f>
        <v/>
      </c>
      <c r="F2228" t="str">
        <f>""</f>
        <v/>
      </c>
      <c r="H2228" t="str">
        <f t="shared" si="35"/>
        <v>BCBS PAYABLE</v>
      </c>
    </row>
    <row r="2229" spans="5:8" x14ac:dyDescent="0.25">
      <c r="E2229" t="str">
        <f>""</f>
        <v/>
      </c>
      <c r="F2229" t="str">
        <f>""</f>
        <v/>
      </c>
      <c r="H2229" t="str">
        <f t="shared" si="35"/>
        <v>BCBS PAYABLE</v>
      </c>
    </row>
    <row r="2230" spans="5:8" x14ac:dyDescent="0.25">
      <c r="E2230" t="str">
        <f>""</f>
        <v/>
      </c>
      <c r="F2230" t="str">
        <f>""</f>
        <v/>
      </c>
      <c r="H2230" t="str">
        <f t="shared" si="35"/>
        <v>BCBS PAYABLE</v>
      </c>
    </row>
    <row r="2231" spans="5:8" x14ac:dyDescent="0.25">
      <c r="E2231" t="str">
        <f>""</f>
        <v/>
      </c>
      <c r="F2231" t="str">
        <f>""</f>
        <v/>
      </c>
      <c r="H2231" t="str">
        <f t="shared" si="35"/>
        <v>BCBS PAYABLE</v>
      </c>
    </row>
    <row r="2232" spans="5:8" x14ac:dyDescent="0.25">
      <c r="E2232" t="str">
        <f>""</f>
        <v/>
      </c>
      <c r="F2232" t="str">
        <f>""</f>
        <v/>
      </c>
      <c r="H2232" t="str">
        <f t="shared" si="35"/>
        <v>BCBS PAYABLE</v>
      </c>
    </row>
    <row r="2233" spans="5:8" x14ac:dyDescent="0.25">
      <c r="E2233" t="str">
        <f>""</f>
        <v/>
      </c>
      <c r="F2233" t="str">
        <f>""</f>
        <v/>
      </c>
      <c r="H2233" t="str">
        <f t="shared" si="35"/>
        <v>BCBS PAYABLE</v>
      </c>
    </row>
    <row r="2234" spans="5:8" x14ac:dyDescent="0.25">
      <c r="E2234" t="str">
        <f>""</f>
        <v/>
      </c>
      <c r="F2234" t="str">
        <f>""</f>
        <v/>
      </c>
      <c r="H2234" t="str">
        <f t="shared" si="35"/>
        <v>BCBS PAYABLE</v>
      </c>
    </row>
    <row r="2235" spans="5:8" x14ac:dyDescent="0.25">
      <c r="E2235" t="str">
        <f>""</f>
        <v/>
      </c>
      <c r="F2235" t="str">
        <f>""</f>
        <v/>
      </c>
      <c r="H2235" t="str">
        <f t="shared" si="35"/>
        <v>BCBS PAYABLE</v>
      </c>
    </row>
    <row r="2236" spans="5:8" x14ac:dyDescent="0.25">
      <c r="E2236" t="str">
        <f>""</f>
        <v/>
      </c>
      <c r="F2236" t="str">
        <f>""</f>
        <v/>
      </c>
      <c r="H2236" t="str">
        <f t="shared" si="35"/>
        <v>BCBS PAYABLE</v>
      </c>
    </row>
    <row r="2237" spans="5:8" x14ac:dyDescent="0.25">
      <c r="E2237" t="str">
        <f>""</f>
        <v/>
      </c>
      <c r="F2237" t="str">
        <f>""</f>
        <v/>
      </c>
      <c r="H2237" t="str">
        <f t="shared" si="35"/>
        <v>BCBS PAYABLE</v>
      </c>
    </row>
    <row r="2238" spans="5:8" x14ac:dyDescent="0.25">
      <c r="E2238" t="str">
        <f>""</f>
        <v/>
      </c>
      <c r="F2238" t="str">
        <f>""</f>
        <v/>
      </c>
      <c r="H2238" t="str">
        <f t="shared" si="35"/>
        <v>BCBS PAYABLE</v>
      </c>
    </row>
    <row r="2239" spans="5:8" x14ac:dyDescent="0.25">
      <c r="E2239" t="str">
        <f>""</f>
        <v/>
      </c>
      <c r="F2239" t="str">
        <f>""</f>
        <v/>
      </c>
      <c r="H2239" t="str">
        <f t="shared" si="35"/>
        <v>BCBS PAYABLE</v>
      </c>
    </row>
    <row r="2240" spans="5:8" x14ac:dyDescent="0.25">
      <c r="E2240" t="str">
        <f>""</f>
        <v/>
      </c>
      <c r="F2240" t="str">
        <f>""</f>
        <v/>
      </c>
      <c r="H2240" t="str">
        <f t="shared" si="35"/>
        <v>BCBS PAYABLE</v>
      </c>
    </row>
    <row r="2241" spans="5:8" x14ac:dyDescent="0.25">
      <c r="E2241" t="str">
        <f>""</f>
        <v/>
      </c>
      <c r="F2241" t="str">
        <f>""</f>
        <v/>
      </c>
      <c r="H2241" t="str">
        <f t="shared" si="35"/>
        <v>BCBS PAYABLE</v>
      </c>
    </row>
    <row r="2242" spans="5:8" x14ac:dyDescent="0.25">
      <c r="E2242" t="str">
        <f>""</f>
        <v/>
      </c>
      <c r="F2242" t="str">
        <f>""</f>
        <v/>
      </c>
      <c r="H2242" t="str">
        <f t="shared" si="35"/>
        <v>BCBS PAYABLE</v>
      </c>
    </row>
    <row r="2243" spans="5:8" x14ac:dyDescent="0.25">
      <c r="E2243" t="str">
        <f>""</f>
        <v/>
      </c>
      <c r="F2243" t="str">
        <f>""</f>
        <v/>
      </c>
      <c r="H2243" t="str">
        <f t="shared" si="35"/>
        <v>BCBS PAYABLE</v>
      </c>
    </row>
    <row r="2244" spans="5:8" x14ac:dyDescent="0.25">
      <c r="E2244" t="str">
        <f>""</f>
        <v/>
      </c>
      <c r="F2244" t="str">
        <f>""</f>
        <v/>
      </c>
      <c r="H2244" t="str">
        <f t="shared" si="35"/>
        <v>BCBS PAYABLE</v>
      </c>
    </row>
    <row r="2245" spans="5:8" x14ac:dyDescent="0.25">
      <c r="E2245" t="str">
        <f>""</f>
        <v/>
      </c>
      <c r="F2245" t="str">
        <f>""</f>
        <v/>
      </c>
      <c r="H2245" t="str">
        <f t="shared" si="35"/>
        <v>BCBS PAYABLE</v>
      </c>
    </row>
    <row r="2246" spans="5:8" x14ac:dyDescent="0.25">
      <c r="E2246" t="str">
        <f>""</f>
        <v/>
      </c>
      <c r="F2246" t="str">
        <f>""</f>
        <v/>
      </c>
      <c r="H2246" t="str">
        <f t="shared" si="35"/>
        <v>BCBS PAYABLE</v>
      </c>
    </row>
    <row r="2247" spans="5:8" x14ac:dyDescent="0.25">
      <c r="E2247" t="str">
        <f>""</f>
        <v/>
      </c>
      <c r="F2247" t="str">
        <f>""</f>
        <v/>
      </c>
      <c r="H2247" t="str">
        <f t="shared" si="35"/>
        <v>BCBS PAYABLE</v>
      </c>
    </row>
    <row r="2248" spans="5:8" x14ac:dyDescent="0.25">
      <c r="E2248" t="str">
        <f>""</f>
        <v/>
      </c>
      <c r="F2248" t="str">
        <f>""</f>
        <v/>
      </c>
      <c r="H2248" t="str">
        <f t="shared" si="35"/>
        <v>BCBS PAYABLE</v>
      </c>
    </row>
    <row r="2249" spans="5:8" x14ac:dyDescent="0.25">
      <c r="E2249" t="str">
        <f>""</f>
        <v/>
      </c>
      <c r="F2249" t="str">
        <f>""</f>
        <v/>
      </c>
      <c r="H2249" t="str">
        <f t="shared" si="35"/>
        <v>BCBS PAYABLE</v>
      </c>
    </row>
    <row r="2250" spans="5:8" x14ac:dyDescent="0.25">
      <c r="E2250" t="str">
        <f>""</f>
        <v/>
      </c>
      <c r="F2250" t="str">
        <f>""</f>
        <v/>
      </c>
      <c r="H2250" t="str">
        <f t="shared" si="35"/>
        <v>BCBS PAYABLE</v>
      </c>
    </row>
    <row r="2251" spans="5:8" x14ac:dyDescent="0.25">
      <c r="E2251" t="str">
        <f>""</f>
        <v/>
      </c>
      <c r="F2251" t="str">
        <f>""</f>
        <v/>
      </c>
      <c r="H2251" t="str">
        <f t="shared" si="35"/>
        <v>BCBS PAYABLE</v>
      </c>
    </row>
    <row r="2252" spans="5:8" x14ac:dyDescent="0.25">
      <c r="E2252" t="str">
        <f>""</f>
        <v/>
      </c>
      <c r="F2252" t="str">
        <f>""</f>
        <v/>
      </c>
      <c r="H2252" t="str">
        <f t="shared" si="35"/>
        <v>BCBS PAYABLE</v>
      </c>
    </row>
    <row r="2253" spans="5:8" x14ac:dyDescent="0.25">
      <c r="E2253" t="str">
        <f>""</f>
        <v/>
      </c>
      <c r="F2253" t="str">
        <f>""</f>
        <v/>
      </c>
      <c r="H2253" t="str">
        <f t="shared" si="35"/>
        <v>BCBS PAYABLE</v>
      </c>
    </row>
    <row r="2254" spans="5:8" x14ac:dyDescent="0.25">
      <c r="E2254" t="str">
        <f>""</f>
        <v/>
      </c>
      <c r="F2254" t="str">
        <f>""</f>
        <v/>
      </c>
      <c r="H2254" t="str">
        <f t="shared" si="35"/>
        <v>BCBS PAYABLE</v>
      </c>
    </row>
    <row r="2255" spans="5:8" x14ac:dyDescent="0.25">
      <c r="E2255" t="str">
        <f>""</f>
        <v/>
      </c>
      <c r="F2255" t="str">
        <f>""</f>
        <v/>
      </c>
      <c r="H2255" t="str">
        <f t="shared" si="35"/>
        <v>BCBS PAYABLE</v>
      </c>
    </row>
    <row r="2256" spans="5:8" x14ac:dyDescent="0.25">
      <c r="E2256" t="str">
        <f>""</f>
        <v/>
      </c>
      <c r="F2256" t="str">
        <f>""</f>
        <v/>
      </c>
      <c r="H2256" t="str">
        <f t="shared" si="35"/>
        <v>BCBS PAYABLE</v>
      </c>
    </row>
    <row r="2257" spans="5:8" x14ac:dyDescent="0.25">
      <c r="E2257" t="str">
        <f>"2EC201909031426"</f>
        <v>2EC201909031426</v>
      </c>
      <c r="F2257" t="str">
        <f>"BCBS PAYABLE"</f>
        <v>BCBS PAYABLE</v>
      </c>
      <c r="G2257" s="2">
        <v>1619.43</v>
      </c>
      <c r="H2257" t="str">
        <f t="shared" si="35"/>
        <v>BCBS PAYABLE</v>
      </c>
    </row>
    <row r="2258" spans="5:8" x14ac:dyDescent="0.25">
      <c r="E2258" t="str">
        <f>""</f>
        <v/>
      </c>
      <c r="F2258" t="str">
        <f>""</f>
        <v/>
      </c>
      <c r="H2258" t="str">
        <f t="shared" ref="H2258:H2289" si="36">"BCBS PAYABLE"</f>
        <v>BCBS PAYABLE</v>
      </c>
    </row>
    <row r="2259" spans="5:8" x14ac:dyDescent="0.25">
      <c r="E2259" t="str">
        <f>"2EC201909181931"</f>
        <v>2EC201909181931</v>
      </c>
      <c r="F2259" t="str">
        <f>"BCBS PAYABLE"</f>
        <v>BCBS PAYABLE</v>
      </c>
      <c r="G2259" s="2">
        <v>45182.8</v>
      </c>
      <c r="H2259" t="str">
        <f t="shared" si="36"/>
        <v>BCBS PAYABLE</v>
      </c>
    </row>
    <row r="2260" spans="5:8" x14ac:dyDescent="0.25">
      <c r="E2260" t="str">
        <f>""</f>
        <v/>
      </c>
      <c r="F2260" t="str">
        <f>""</f>
        <v/>
      </c>
      <c r="H2260" t="str">
        <f t="shared" si="36"/>
        <v>BCBS PAYABLE</v>
      </c>
    </row>
    <row r="2261" spans="5:8" x14ac:dyDescent="0.25">
      <c r="E2261" t="str">
        <f>""</f>
        <v/>
      </c>
      <c r="F2261" t="str">
        <f>""</f>
        <v/>
      </c>
      <c r="H2261" t="str">
        <f t="shared" si="36"/>
        <v>BCBS PAYABLE</v>
      </c>
    </row>
    <row r="2262" spans="5:8" x14ac:dyDescent="0.25">
      <c r="E2262" t="str">
        <f>""</f>
        <v/>
      </c>
      <c r="F2262" t="str">
        <f>""</f>
        <v/>
      </c>
      <c r="H2262" t="str">
        <f t="shared" si="36"/>
        <v>BCBS PAYABLE</v>
      </c>
    </row>
    <row r="2263" spans="5:8" x14ac:dyDescent="0.25">
      <c r="E2263" t="str">
        <f>""</f>
        <v/>
      </c>
      <c r="F2263" t="str">
        <f>""</f>
        <v/>
      </c>
      <c r="H2263" t="str">
        <f t="shared" si="36"/>
        <v>BCBS PAYABLE</v>
      </c>
    </row>
    <row r="2264" spans="5:8" x14ac:dyDescent="0.25">
      <c r="E2264" t="str">
        <f>""</f>
        <v/>
      </c>
      <c r="F2264" t="str">
        <f>""</f>
        <v/>
      </c>
      <c r="H2264" t="str">
        <f t="shared" si="36"/>
        <v>BCBS PAYABLE</v>
      </c>
    </row>
    <row r="2265" spans="5:8" x14ac:dyDescent="0.25">
      <c r="E2265" t="str">
        <f>""</f>
        <v/>
      </c>
      <c r="F2265" t="str">
        <f>""</f>
        <v/>
      </c>
      <c r="H2265" t="str">
        <f t="shared" si="36"/>
        <v>BCBS PAYABLE</v>
      </c>
    </row>
    <row r="2266" spans="5:8" x14ac:dyDescent="0.25">
      <c r="E2266" t="str">
        <f>""</f>
        <v/>
      </c>
      <c r="F2266" t="str">
        <f>""</f>
        <v/>
      </c>
      <c r="H2266" t="str">
        <f t="shared" si="36"/>
        <v>BCBS PAYABLE</v>
      </c>
    </row>
    <row r="2267" spans="5:8" x14ac:dyDescent="0.25">
      <c r="E2267" t="str">
        <f>""</f>
        <v/>
      </c>
      <c r="F2267" t="str">
        <f>""</f>
        <v/>
      </c>
      <c r="H2267" t="str">
        <f t="shared" si="36"/>
        <v>BCBS PAYABLE</v>
      </c>
    </row>
    <row r="2268" spans="5:8" x14ac:dyDescent="0.25">
      <c r="E2268" t="str">
        <f>""</f>
        <v/>
      </c>
      <c r="F2268" t="str">
        <f>""</f>
        <v/>
      </c>
      <c r="H2268" t="str">
        <f t="shared" si="36"/>
        <v>BCBS PAYABLE</v>
      </c>
    </row>
    <row r="2269" spans="5:8" x14ac:dyDescent="0.25">
      <c r="E2269" t="str">
        <f>""</f>
        <v/>
      </c>
      <c r="F2269" t="str">
        <f>""</f>
        <v/>
      </c>
      <c r="H2269" t="str">
        <f t="shared" si="36"/>
        <v>BCBS PAYABLE</v>
      </c>
    </row>
    <row r="2270" spans="5:8" x14ac:dyDescent="0.25">
      <c r="E2270" t="str">
        <f>""</f>
        <v/>
      </c>
      <c r="F2270" t="str">
        <f>""</f>
        <v/>
      </c>
      <c r="H2270" t="str">
        <f t="shared" si="36"/>
        <v>BCBS PAYABLE</v>
      </c>
    </row>
    <row r="2271" spans="5:8" x14ac:dyDescent="0.25">
      <c r="E2271" t="str">
        <f>""</f>
        <v/>
      </c>
      <c r="F2271" t="str">
        <f>""</f>
        <v/>
      </c>
      <c r="H2271" t="str">
        <f t="shared" si="36"/>
        <v>BCBS PAYABLE</v>
      </c>
    </row>
    <row r="2272" spans="5:8" x14ac:dyDescent="0.25">
      <c r="E2272" t="str">
        <f>""</f>
        <v/>
      </c>
      <c r="F2272" t="str">
        <f>""</f>
        <v/>
      </c>
      <c r="H2272" t="str">
        <f t="shared" si="36"/>
        <v>BCBS PAYABLE</v>
      </c>
    </row>
    <row r="2273" spans="5:8" x14ac:dyDescent="0.25">
      <c r="E2273" t="str">
        <f>""</f>
        <v/>
      </c>
      <c r="F2273" t="str">
        <f>""</f>
        <v/>
      </c>
      <c r="H2273" t="str">
        <f t="shared" si="36"/>
        <v>BCBS PAYABLE</v>
      </c>
    </row>
    <row r="2274" spans="5:8" x14ac:dyDescent="0.25">
      <c r="E2274" t="str">
        <f>""</f>
        <v/>
      </c>
      <c r="F2274" t="str">
        <f>""</f>
        <v/>
      </c>
      <c r="H2274" t="str">
        <f t="shared" si="36"/>
        <v>BCBS PAYABLE</v>
      </c>
    </row>
    <row r="2275" spans="5:8" x14ac:dyDescent="0.25">
      <c r="E2275" t="str">
        <f>""</f>
        <v/>
      </c>
      <c r="F2275" t="str">
        <f>""</f>
        <v/>
      </c>
      <c r="H2275" t="str">
        <f t="shared" si="36"/>
        <v>BCBS PAYABLE</v>
      </c>
    </row>
    <row r="2276" spans="5:8" x14ac:dyDescent="0.25">
      <c r="E2276" t="str">
        <f>""</f>
        <v/>
      </c>
      <c r="F2276" t="str">
        <f>""</f>
        <v/>
      </c>
      <c r="H2276" t="str">
        <f t="shared" si="36"/>
        <v>BCBS PAYABLE</v>
      </c>
    </row>
    <row r="2277" spans="5:8" x14ac:dyDescent="0.25">
      <c r="E2277" t="str">
        <f>""</f>
        <v/>
      </c>
      <c r="F2277" t="str">
        <f>""</f>
        <v/>
      </c>
      <c r="H2277" t="str">
        <f t="shared" si="36"/>
        <v>BCBS PAYABLE</v>
      </c>
    </row>
    <row r="2278" spans="5:8" x14ac:dyDescent="0.25">
      <c r="E2278" t="str">
        <f>""</f>
        <v/>
      </c>
      <c r="F2278" t="str">
        <f>""</f>
        <v/>
      </c>
      <c r="H2278" t="str">
        <f t="shared" si="36"/>
        <v>BCBS PAYABLE</v>
      </c>
    </row>
    <row r="2279" spans="5:8" x14ac:dyDescent="0.25">
      <c r="E2279" t="str">
        <f>""</f>
        <v/>
      </c>
      <c r="F2279" t="str">
        <f>""</f>
        <v/>
      </c>
      <c r="H2279" t="str">
        <f t="shared" si="36"/>
        <v>BCBS PAYABLE</v>
      </c>
    </row>
    <row r="2280" spans="5:8" x14ac:dyDescent="0.25">
      <c r="E2280" t="str">
        <f>""</f>
        <v/>
      </c>
      <c r="F2280" t="str">
        <f>""</f>
        <v/>
      </c>
      <c r="H2280" t="str">
        <f t="shared" si="36"/>
        <v>BCBS PAYABLE</v>
      </c>
    </row>
    <row r="2281" spans="5:8" x14ac:dyDescent="0.25">
      <c r="E2281" t="str">
        <f>""</f>
        <v/>
      </c>
      <c r="F2281" t="str">
        <f>""</f>
        <v/>
      </c>
      <c r="H2281" t="str">
        <f t="shared" si="36"/>
        <v>BCBS PAYABLE</v>
      </c>
    </row>
    <row r="2282" spans="5:8" x14ac:dyDescent="0.25">
      <c r="E2282" t="str">
        <f>""</f>
        <v/>
      </c>
      <c r="F2282" t="str">
        <f>""</f>
        <v/>
      </c>
      <c r="H2282" t="str">
        <f t="shared" si="36"/>
        <v>BCBS PAYABLE</v>
      </c>
    </row>
    <row r="2283" spans="5:8" x14ac:dyDescent="0.25">
      <c r="E2283" t="str">
        <f>""</f>
        <v/>
      </c>
      <c r="F2283" t="str">
        <f>""</f>
        <v/>
      </c>
      <c r="H2283" t="str">
        <f t="shared" si="36"/>
        <v>BCBS PAYABLE</v>
      </c>
    </row>
    <row r="2284" spans="5:8" x14ac:dyDescent="0.25">
      <c r="E2284" t="str">
        <f>""</f>
        <v/>
      </c>
      <c r="F2284" t="str">
        <f>""</f>
        <v/>
      </c>
      <c r="H2284" t="str">
        <f t="shared" si="36"/>
        <v>BCBS PAYABLE</v>
      </c>
    </row>
    <row r="2285" spans="5:8" x14ac:dyDescent="0.25">
      <c r="E2285" t="str">
        <f>""</f>
        <v/>
      </c>
      <c r="F2285" t="str">
        <f>""</f>
        <v/>
      </c>
      <c r="H2285" t="str">
        <f t="shared" si="36"/>
        <v>BCBS PAYABLE</v>
      </c>
    </row>
    <row r="2286" spans="5:8" x14ac:dyDescent="0.25">
      <c r="E2286" t="str">
        <f>""</f>
        <v/>
      </c>
      <c r="F2286" t="str">
        <f>""</f>
        <v/>
      </c>
      <c r="H2286" t="str">
        <f t="shared" si="36"/>
        <v>BCBS PAYABLE</v>
      </c>
    </row>
    <row r="2287" spans="5:8" x14ac:dyDescent="0.25">
      <c r="E2287" t="str">
        <f>""</f>
        <v/>
      </c>
      <c r="F2287" t="str">
        <f>""</f>
        <v/>
      </c>
      <c r="H2287" t="str">
        <f t="shared" si="36"/>
        <v>BCBS PAYABLE</v>
      </c>
    </row>
    <row r="2288" spans="5:8" x14ac:dyDescent="0.25">
      <c r="E2288" t="str">
        <f>""</f>
        <v/>
      </c>
      <c r="F2288" t="str">
        <f>""</f>
        <v/>
      </c>
      <c r="H2288" t="str">
        <f t="shared" si="36"/>
        <v>BCBS PAYABLE</v>
      </c>
    </row>
    <row r="2289" spans="5:8" x14ac:dyDescent="0.25">
      <c r="E2289" t="str">
        <f>""</f>
        <v/>
      </c>
      <c r="F2289" t="str">
        <f>""</f>
        <v/>
      </c>
      <c r="H2289" t="str">
        <f t="shared" si="36"/>
        <v>BCBS PAYABLE</v>
      </c>
    </row>
    <row r="2290" spans="5:8" x14ac:dyDescent="0.25">
      <c r="E2290" t="str">
        <f>"2EC201909181934"</f>
        <v>2EC201909181934</v>
      </c>
      <c r="F2290" t="str">
        <f>"BCBS PAYABLE"</f>
        <v>BCBS PAYABLE</v>
      </c>
      <c r="G2290" s="2">
        <v>1619.43</v>
      </c>
      <c r="H2290" t="str">
        <f t="shared" ref="H2290:H2321" si="37">"BCBS PAYABLE"</f>
        <v>BCBS PAYABLE</v>
      </c>
    </row>
    <row r="2291" spans="5:8" x14ac:dyDescent="0.25">
      <c r="E2291" t="str">
        <f>""</f>
        <v/>
      </c>
      <c r="F2291" t="str">
        <f>""</f>
        <v/>
      </c>
      <c r="H2291" t="str">
        <f t="shared" si="37"/>
        <v>BCBS PAYABLE</v>
      </c>
    </row>
    <row r="2292" spans="5:8" x14ac:dyDescent="0.25">
      <c r="E2292" t="str">
        <f>"2EF201909031425"</f>
        <v>2EF201909031425</v>
      </c>
      <c r="F2292" t="str">
        <f>"BCBS PAYABLE"</f>
        <v>BCBS PAYABLE</v>
      </c>
      <c r="G2292" s="2">
        <v>1726.66</v>
      </c>
      <c r="H2292" t="str">
        <f t="shared" si="37"/>
        <v>BCBS PAYABLE</v>
      </c>
    </row>
    <row r="2293" spans="5:8" x14ac:dyDescent="0.25">
      <c r="E2293" t="str">
        <f>""</f>
        <v/>
      </c>
      <c r="F2293" t="str">
        <f>""</f>
        <v/>
      </c>
      <c r="H2293" t="str">
        <f t="shared" si="37"/>
        <v>BCBS PAYABLE</v>
      </c>
    </row>
    <row r="2294" spans="5:8" x14ac:dyDescent="0.25">
      <c r="E2294" t="str">
        <f>""</f>
        <v/>
      </c>
      <c r="F2294" t="str">
        <f>""</f>
        <v/>
      </c>
      <c r="H2294" t="str">
        <f t="shared" si="37"/>
        <v>BCBS PAYABLE</v>
      </c>
    </row>
    <row r="2295" spans="5:8" x14ac:dyDescent="0.25">
      <c r="E2295" t="str">
        <f>"2EF201909181931"</f>
        <v>2EF201909181931</v>
      </c>
      <c r="F2295" t="str">
        <f>"BCBS PAYABLE"</f>
        <v>BCBS PAYABLE</v>
      </c>
      <c r="G2295" s="2">
        <v>1726.66</v>
      </c>
      <c r="H2295" t="str">
        <f t="shared" si="37"/>
        <v>BCBS PAYABLE</v>
      </c>
    </row>
    <row r="2296" spans="5:8" x14ac:dyDescent="0.25">
      <c r="E2296" t="str">
        <f>""</f>
        <v/>
      </c>
      <c r="F2296" t="str">
        <f>""</f>
        <v/>
      </c>
      <c r="H2296" t="str">
        <f t="shared" si="37"/>
        <v>BCBS PAYABLE</v>
      </c>
    </row>
    <row r="2297" spans="5:8" x14ac:dyDescent="0.25">
      <c r="E2297" t="str">
        <f>""</f>
        <v/>
      </c>
      <c r="F2297" t="str">
        <f>""</f>
        <v/>
      </c>
      <c r="H2297" t="str">
        <f t="shared" si="37"/>
        <v>BCBS PAYABLE</v>
      </c>
    </row>
    <row r="2298" spans="5:8" x14ac:dyDescent="0.25">
      <c r="E2298" t="str">
        <f>"2EO201909031425"</f>
        <v>2EO201909031425</v>
      </c>
      <c r="F2298" t="str">
        <f>"BCBS PAYABLE"</f>
        <v>BCBS PAYABLE</v>
      </c>
      <c r="G2298" s="2">
        <v>92927.52</v>
      </c>
      <c r="H2298" t="str">
        <f t="shared" si="37"/>
        <v>BCBS PAYABLE</v>
      </c>
    </row>
    <row r="2299" spans="5:8" x14ac:dyDescent="0.25">
      <c r="E2299" t="str">
        <f>""</f>
        <v/>
      </c>
      <c r="F2299" t="str">
        <f>""</f>
        <v/>
      </c>
      <c r="H2299" t="str">
        <f t="shared" si="37"/>
        <v>BCBS PAYABLE</v>
      </c>
    </row>
    <row r="2300" spans="5:8" x14ac:dyDescent="0.25">
      <c r="E2300" t="str">
        <f>""</f>
        <v/>
      </c>
      <c r="F2300" t="str">
        <f>""</f>
        <v/>
      </c>
      <c r="H2300" t="str">
        <f t="shared" si="37"/>
        <v>BCBS PAYABLE</v>
      </c>
    </row>
    <row r="2301" spans="5:8" x14ac:dyDescent="0.25">
      <c r="E2301" t="str">
        <f>""</f>
        <v/>
      </c>
      <c r="F2301" t="str">
        <f>""</f>
        <v/>
      </c>
      <c r="H2301" t="str">
        <f t="shared" si="37"/>
        <v>BCBS PAYABLE</v>
      </c>
    </row>
    <row r="2302" spans="5:8" x14ac:dyDescent="0.25">
      <c r="E2302" t="str">
        <f>""</f>
        <v/>
      </c>
      <c r="F2302" t="str">
        <f>""</f>
        <v/>
      </c>
      <c r="H2302" t="str">
        <f t="shared" si="37"/>
        <v>BCBS PAYABLE</v>
      </c>
    </row>
    <row r="2303" spans="5:8" x14ac:dyDescent="0.25">
      <c r="E2303" t="str">
        <f>""</f>
        <v/>
      </c>
      <c r="F2303" t="str">
        <f>""</f>
        <v/>
      </c>
      <c r="H2303" t="str">
        <f t="shared" si="37"/>
        <v>BCBS PAYABLE</v>
      </c>
    </row>
    <row r="2304" spans="5:8" x14ac:dyDescent="0.25">
      <c r="E2304" t="str">
        <f>""</f>
        <v/>
      </c>
      <c r="F2304" t="str">
        <f>""</f>
        <v/>
      </c>
      <c r="H2304" t="str">
        <f t="shared" si="37"/>
        <v>BCBS PAYABLE</v>
      </c>
    </row>
    <row r="2305" spans="5:8" x14ac:dyDescent="0.25">
      <c r="E2305" t="str">
        <f>""</f>
        <v/>
      </c>
      <c r="F2305" t="str">
        <f>""</f>
        <v/>
      </c>
      <c r="H2305" t="str">
        <f t="shared" si="37"/>
        <v>BCBS PAYABLE</v>
      </c>
    </row>
    <row r="2306" spans="5:8" x14ac:dyDescent="0.25">
      <c r="E2306" t="str">
        <f>""</f>
        <v/>
      </c>
      <c r="F2306" t="str">
        <f>""</f>
        <v/>
      </c>
      <c r="H2306" t="str">
        <f t="shared" si="37"/>
        <v>BCBS PAYABLE</v>
      </c>
    </row>
    <row r="2307" spans="5:8" x14ac:dyDescent="0.25">
      <c r="E2307" t="str">
        <f>""</f>
        <v/>
      </c>
      <c r="F2307" t="str">
        <f>""</f>
        <v/>
      </c>
      <c r="H2307" t="str">
        <f t="shared" si="37"/>
        <v>BCBS PAYABLE</v>
      </c>
    </row>
    <row r="2308" spans="5:8" x14ac:dyDescent="0.25">
      <c r="E2308" t="str">
        <f>""</f>
        <v/>
      </c>
      <c r="F2308" t="str">
        <f>""</f>
        <v/>
      </c>
      <c r="H2308" t="str">
        <f t="shared" si="37"/>
        <v>BCBS PAYABLE</v>
      </c>
    </row>
    <row r="2309" spans="5:8" x14ac:dyDescent="0.25">
      <c r="E2309" t="str">
        <f>""</f>
        <v/>
      </c>
      <c r="F2309" t="str">
        <f>""</f>
        <v/>
      </c>
      <c r="H2309" t="str">
        <f t="shared" si="37"/>
        <v>BCBS PAYABLE</v>
      </c>
    </row>
    <row r="2310" spans="5:8" x14ac:dyDescent="0.25">
      <c r="E2310" t="str">
        <f>""</f>
        <v/>
      </c>
      <c r="F2310" t="str">
        <f>""</f>
        <v/>
      </c>
      <c r="H2310" t="str">
        <f t="shared" si="37"/>
        <v>BCBS PAYABLE</v>
      </c>
    </row>
    <row r="2311" spans="5:8" x14ac:dyDescent="0.25">
      <c r="E2311" t="str">
        <f>""</f>
        <v/>
      </c>
      <c r="F2311" t="str">
        <f>""</f>
        <v/>
      </c>
      <c r="H2311" t="str">
        <f t="shared" si="37"/>
        <v>BCBS PAYABLE</v>
      </c>
    </row>
    <row r="2312" spans="5:8" x14ac:dyDescent="0.25">
      <c r="E2312" t="str">
        <f>""</f>
        <v/>
      </c>
      <c r="F2312" t="str">
        <f>""</f>
        <v/>
      </c>
      <c r="H2312" t="str">
        <f t="shared" si="37"/>
        <v>BCBS PAYABLE</v>
      </c>
    </row>
    <row r="2313" spans="5:8" x14ac:dyDescent="0.25">
      <c r="E2313" t="str">
        <f>""</f>
        <v/>
      </c>
      <c r="F2313" t="str">
        <f>""</f>
        <v/>
      </c>
      <c r="H2313" t="str">
        <f t="shared" si="37"/>
        <v>BCBS PAYABLE</v>
      </c>
    </row>
    <row r="2314" spans="5:8" x14ac:dyDescent="0.25">
      <c r="E2314" t="str">
        <f>""</f>
        <v/>
      </c>
      <c r="F2314" t="str">
        <f>""</f>
        <v/>
      </c>
      <c r="H2314" t="str">
        <f t="shared" si="37"/>
        <v>BCBS PAYABLE</v>
      </c>
    </row>
    <row r="2315" spans="5:8" x14ac:dyDescent="0.25">
      <c r="E2315" t="str">
        <f>""</f>
        <v/>
      </c>
      <c r="F2315" t="str">
        <f>""</f>
        <v/>
      </c>
      <c r="H2315" t="str">
        <f t="shared" si="37"/>
        <v>BCBS PAYABLE</v>
      </c>
    </row>
    <row r="2316" spans="5:8" x14ac:dyDescent="0.25">
      <c r="E2316" t="str">
        <f>""</f>
        <v/>
      </c>
      <c r="F2316" t="str">
        <f>""</f>
        <v/>
      </c>
      <c r="H2316" t="str">
        <f t="shared" si="37"/>
        <v>BCBS PAYABLE</v>
      </c>
    </row>
    <row r="2317" spans="5:8" x14ac:dyDescent="0.25">
      <c r="E2317" t="str">
        <f>""</f>
        <v/>
      </c>
      <c r="F2317" t="str">
        <f>""</f>
        <v/>
      </c>
      <c r="H2317" t="str">
        <f t="shared" si="37"/>
        <v>BCBS PAYABLE</v>
      </c>
    </row>
    <row r="2318" spans="5:8" x14ac:dyDescent="0.25">
      <c r="E2318" t="str">
        <f>""</f>
        <v/>
      </c>
      <c r="F2318" t="str">
        <f>""</f>
        <v/>
      </c>
      <c r="H2318" t="str">
        <f t="shared" si="37"/>
        <v>BCBS PAYABLE</v>
      </c>
    </row>
    <row r="2319" spans="5:8" x14ac:dyDescent="0.25">
      <c r="E2319" t="str">
        <f>""</f>
        <v/>
      </c>
      <c r="F2319" t="str">
        <f>""</f>
        <v/>
      </c>
      <c r="H2319" t="str">
        <f t="shared" si="37"/>
        <v>BCBS PAYABLE</v>
      </c>
    </row>
    <row r="2320" spans="5:8" x14ac:dyDescent="0.25">
      <c r="E2320" t="str">
        <f>""</f>
        <v/>
      </c>
      <c r="F2320" t="str">
        <f>""</f>
        <v/>
      </c>
      <c r="H2320" t="str">
        <f t="shared" si="37"/>
        <v>BCBS PAYABLE</v>
      </c>
    </row>
    <row r="2321" spans="5:8" x14ac:dyDescent="0.25">
      <c r="E2321" t="str">
        <f>""</f>
        <v/>
      </c>
      <c r="F2321" t="str">
        <f>""</f>
        <v/>
      </c>
      <c r="H2321" t="str">
        <f t="shared" si="37"/>
        <v>BCBS PAYABLE</v>
      </c>
    </row>
    <row r="2322" spans="5:8" x14ac:dyDescent="0.25">
      <c r="E2322" t="str">
        <f>""</f>
        <v/>
      </c>
      <c r="F2322" t="str">
        <f>""</f>
        <v/>
      </c>
      <c r="H2322" t="str">
        <f t="shared" ref="H2322:H2353" si="38">"BCBS PAYABLE"</f>
        <v>BCBS PAYABLE</v>
      </c>
    </row>
    <row r="2323" spans="5:8" x14ac:dyDescent="0.25">
      <c r="E2323" t="str">
        <f>""</f>
        <v/>
      </c>
      <c r="F2323" t="str">
        <f>""</f>
        <v/>
      </c>
      <c r="H2323" t="str">
        <f t="shared" si="38"/>
        <v>BCBS PAYABLE</v>
      </c>
    </row>
    <row r="2324" spans="5:8" x14ac:dyDescent="0.25">
      <c r="E2324" t="str">
        <f>""</f>
        <v/>
      </c>
      <c r="F2324" t="str">
        <f>""</f>
        <v/>
      </c>
      <c r="H2324" t="str">
        <f t="shared" si="38"/>
        <v>BCBS PAYABLE</v>
      </c>
    </row>
    <row r="2325" spans="5:8" x14ac:dyDescent="0.25">
      <c r="E2325" t="str">
        <f>""</f>
        <v/>
      </c>
      <c r="F2325" t="str">
        <f>""</f>
        <v/>
      </c>
      <c r="H2325" t="str">
        <f t="shared" si="38"/>
        <v>BCBS PAYABLE</v>
      </c>
    </row>
    <row r="2326" spans="5:8" x14ac:dyDescent="0.25">
      <c r="E2326" t="str">
        <f>""</f>
        <v/>
      </c>
      <c r="F2326" t="str">
        <f>""</f>
        <v/>
      </c>
      <c r="H2326" t="str">
        <f t="shared" si="38"/>
        <v>BCBS PAYABLE</v>
      </c>
    </row>
    <row r="2327" spans="5:8" x14ac:dyDescent="0.25">
      <c r="E2327" t="str">
        <f>""</f>
        <v/>
      </c>
      <c r="F2327" t="str">
        <f>""</f>
        <v/>
      </c>
      <c r="H2327" t="str">
        <f t="shared" si="38"/>
        <v>BCBS PAYABLE</v>
      </c>
    </row>
    <row r="2328" spans="5:8" x14ac:dyDescent="0.25">
      <c r="E2328" t="str">
        <f>""</f>
        <v/>
      </c>
      <c r="F2328" t="str">
        <f>""</f>
        <v/>
      </c>
      <c r="H2328" t="str">
        <f t="shared" si="38"/>
        <v>BCBS PAYABLE</v>
      </c>
    </row>
    <row r="2329" spans="5:8" x14ac:dyDescent="0.25">
      <c r="E2329" t="str">
        <f>""</f>
        <v/>
      </c>
      <c r="F2329" t="str">
        <f>""</f>
        <v/>
      </c>
      <c r="H2329" t="str">
        <f t="shared" si="38"/>
        <v>BCBS PAYABLE</v>
      </c>
    </row>
    <row r="2330" spans="5:8" x14ac:dyDescent="0.25">
      <c r="E2330" t="str">
        <f>""</f>
        <v/>
      </c>
      <c r="F2330" t="str">
        <f>""</f>
        <v/>
      </c>
      <c r="H2330" t="str">
        <f t="shared" si="38"/>
        <v>BCBS PAYABLE</v>
      </c>
    </row>
    <row r="2331" spans="5:8" x14ac:dyDescent="0.25">
      <c r="E2331" t="str">
        <f>""</f>
        <v/>
      </c>
      <c r="F2331" t="str">
        <f>""</f>
        <v/>
      </c>
      <c r="H2331" t="str">
        <f t="shared" si="38"/>
        <v>BCBS PAYABLE</v>
      </c>
    </row>
    <row r="2332" spans="5:8" x14ac:dyDescent="0.25">
      <c r="E2332" t="str">
        <f>""</f>
        <v/>
      </c>
      <c r="F2332" t="str">
        <f>""</f>
        <v/>
      </c>
      <c r="H2332" t="str">
        <f t="shared" si="38"/>
        <v>BCBS PAYABLE</v>
      </c>
    </row>
    <row r="2333" spans="5:8" x14ac:dyDescent="0.25">
      <c r="E2333" t="str">
        <f>""</f>
        <v/>
      </c>
      <c r="F2333" t="str">
        <f>""</f>
        <v/>
      </c>
      <c r="H2333" t="str">
        <f t="shared" si="38"/>
        <v>BCBS PAYABLE</v>
      </c>
    </row>
    <row r="2334" spans="5:8" x14ac:dyDescent="0.25">
      <c r="E2334" t="str">
        <f>""</f>
        <v/>
      </c>
      <c r="F2334" t="str">
        <f>""</f>
        <v/>
      </c>
      <c r="H2334" t="str">
        <f t="shared" si="38"/>
        <v>BCBS PAYABLE</v>
      </c>
    </row>
    <row r="2335" spans="5:8" x14ac:dyDescent="0.25">
      <c r="E2335" t="str">
        <f>""</f>
        <v/>
      </c>
      <c r="F2335" t="str">
        <f>""</f>
        <v/>
      </c>
      <c r="H2335" t="str">
        <f t="shared" si="38"/>
        <v>BCBS PAYABLE</v>
      </c>
    </row>
    <row r="2336" spans="5:8" x14ac:dyDescent="0.25">
      <c r="E2336" t="str">
        <f>""</f>
        <v/>
      </c>
      <c r="F2336" t="str">
        <f>""</f>
        <v/>
      </c>
      <c r="H2336" t="str">
        <f t="shared" si="38"/>
        <v>BCBS PAYABLE</v>
      </c>
    </row>
    <row r="2337" spans="5:8" x14ac:dyDescent="0.25">
      <c r="E2337" t="str">
        <f>""</f>
        <v/>
      </c>
      <c r="F2337" t="str">
        <f>""</f>
        <v/>
      </c>
      <c r="H2337" t="str">
        <f t="shared" si="38"/>
        <v>BCBS PAYABLE</v>
      </c>
    </row>
    <row r="2338" spans="5:8" x14ac:dyDescent="0.25">
      <c r="E2338" t="str">
        <f>""</f>
        <v/>
      </c>
      <c r="F2338" t="str">
        <f>""</f>
        <v/>
      </c>
      <c r="H2338" t="str">
        <f t="shared" si="38"/>
        <v>BCBS PAYABLE</v>
      </c>
    </row>
    <row r="2339" spans="5:8" x14ac:dyDescent="0.25">
      <c r="E2339" t="str">
        <f>""</f>
        <v/>
      </c>
      <c r="F2339" t="str">
        <f>""</f>
        <v/>
      </c>
      <c r="H2339" t="str">
        <f t="shared" si="38"/>
        <v>BCBS PAYABLE</v>
      </c>
    </row>
    <row r="2340" spans="5:8" x14ac:dyDescent="0.25">
      <c r="E2340" t="str">
        <f>""</f>
        <v/>
      </c>
      <c r="F2340" t="str">
        <f>""</f>
        <v/>
      </c>
      <c r="H2340" t="str">
        <f t="shared" si="38"/>
        <v>BCBS PAYABLE</v>
      </c>
    </row>
    <row r="2341" spans="5:8" x14ac:dyDescent="0.25">
      <c r="E2341" t="str">
        <f>""</f>
        <v/>
      </c>
      <c r="F2341" t="str">
        <f>""</f>
        <v/>
      </c>
      <c r="H2341" t="str">
        <f t="shared" si="38"/>
        <v>BCBS PAYABLE</v>
      </c>
    </row>
    <row r="2342" spans="5:8" x14ac:dyDescent="0.25">
      <c r="E2342" t="str">
        <f>""</f>
        <v/>
      </c>
      <c r="F2342" t="str">
        <f>""</f>
        <v/>
      </c>
      <c r="H2342" t="str">
        <f t="shared" si="38"/>
        <v>BCBS PAYABLE</v>
      </c>
    </row>
    <row r="2343" spans="5:8" x14ac:dyDescent="0.25">
      <c r="E2343" t="str">
        <f>"2EO201909031426"</f>
        <v>2EO201909031426</v>
      </c>
      <c r="F2343" t="str">
        <f>"BCBS PAYABLE"</f>
        <v>BCBS PAYABLE</v>
      </c>
      <c r="G2343" s="2">
        <v>3792.96</v>
      </c>
      <c r="H2343" t="str">
        <f t="shared" si="38"/>
        <v>BCBS PAYABLE</v>
      </c>
    </row>
    <row r="2344" spans="5:8" x14ac:dyDescent="0.25">
      <c r="E2344" t="str">
        <f>"2EO201909181931"</f>
        <v>2EO201909181931</v>
      </c>
      <c r="F2344" t="str">
        <f>"BCBS PAYABLE"</f>
        <v>BCBS PAYABLE</v>
      </c>
      <c r="G2344" s="2">
        <v>91979.28</v>
      </c>
      <c r="H2344" t="str">
        <f t="shared" si="38"/>
        <v>BCBS PAYABLE</v>
      </c>
    </row>
    <row r="2345" spans="5:8" x14ac:dyDescent="0.25">
      <c r="E2345" t="str">
        <f>""</f>
        <v/>
      </c>
      <c r="F2345" t="str">
        <f>""</f>
        <v/>
      </c>
      <c r="H2345" t="str">
        <f t="shared" si="38"/>
        <v>BCBS PAYABLE</v>
      </c>
    </row>
    <row r="2346" spans="5:8" x14ac:dyDescent="0.25">
      <c r="E2346" t="str">
        <f>""</f>
        <v/>
      </c>
      <c r="F2346" t="str">
        <f>""</f>
        <v/>
      </c>
      <c r="H2346" t="str">
        <f t="shared" si="38"/>
        <v>BCBS PAYABLE</v>
      </c>
    </row>
    <row r="2347" spans="5:8" x14ac:dyDescent="0.25">
      <c r="E2347" t="str">
        <f>""</f>
        <v/>
      </c>
      <c r="F2347" t="str">
        <f>""</f>
        <v/>
      </c>
      <c r="H2347" t="str">
        <f t="shared" si="38"/>
        <v>BCBS PAYABLE</v>
      </c>
    </row>
    <row r="2348" spans="5:8" x14ac:dyDescent="0.25">
      <c r="E2348" t="str">
        <f>""</f>
        <v/>
      </c>
      <c r="F2348" t="str">
        <f>""</f>
        <v/>
      </c>
      <c r="H2348" t="str">
        <f t="shared" si="38"/>
        <v>BCBS PAYABLE</v>
      </c>
    </row>
    <row r="2349" spans="5:8" x14ac:dyDescent="0.25">
      <c r="E2349" t="str">
        <f>""</f>
        <v/>
      </c>
      <c r="F2349" t="str">
        <f>""</f>
        <v/>
      </c>
      <c r="H2349" t="str">
        <f t="shared" si="38"/>
        <v>BCBS PAYABLE</v>
      </c>
    </row>
    <row r="2350" spans="5:8" x14ac:dyDescent="0.25">
      <c r="E2350" t="str">
        <f>""</f>
        <v/>
      </c>
      <c r="F2350" t="str">
        <f>""</f>
        <v/>
      </c>
      <c r="H2350" t="str">
        <f t="shared" si="38"/>
        <v>BCBS PAYABLE</v>
      </c>
    </row>
    <row r="2351" spans="5:8" x14ac:dyDescent="0.25">
      <c r="E2351" t="str">
        <f>""</f>
        <v/>
      </c>
      <c r="F2351" t="str">
        <f>""</f>
        <v/>
      </c>
      <c r="H2351" t="str">
        <f t="shared" si="38"/>
        <v>BCBS PAYABLE</v>
      </c>
    </row>
    <row r="2352" spans="5:8" x14ac:dyDescent="0.25">
      <c r="E2352" t="str">
        <f>""</f>
        <v/>
      </c>
      <c r="F2352" t="str">
        <f>""</f>
        <v/>
      </c>
      <c r="H2352" t="str">
        <f t="shared" si="38"/>
        <v>BCBS PAYABLE</v>
      </c>
    </row>
    <row r="2353" spans="5:8" x14ac:dyDescent="0.25">
      <c r="E2353" t="str">
        <f>""</f>
        <v/>
      </c>
      <c r="F2353" t="str">
        <f>""</f>
        <v/>
      </c>
      <c r="H2353" t="str">
        <f t="shared" si="38"/>
        <v>BCBS PAYABLE</v>
      </c>
    </row>
    <row r="2354" spans="5:8" x14ac:dyDescent="0.25">
      <c r="E2354" t="str">
        <f>""</f>
        <v/>
      </c>
      <c r="F2354" t="str">
        <f>""</f>
        <v/>
      </c>
      <c r="H2354" t="str">
        <f t="shared" ref="H2354:H2385" si="39">"BCBS PAYABLE"</f>
        <v>BCBS PAYABLE</v>
      </c>
    </row>
    <row r="2355" spans="5:8" x14ac:dyDescent="0.25">
      <c r="E2355" t="str">
        <f>""</f>
        <v/>
      </c>
      <c r="F2355" t="str">
        <f>""</f>
        <v/>
      </c>
      <c r="H2355" t="str">
        <f t="shared" si="39"/>
        <v>BCBS PAYABLE</v>
      </c>
    </row>
    <row r="2356" spans="5:8" x14ac:dyDescent="0.25">
      <c r="E2356" t="str">
        <f>""</f>
        <v/>
      </c>
      <c r="F2356" t="str">
        <f>""</f>
        <v/>
      </c>
      <c r="H2356" t="str">
        <f t="shared" si="39"/>
        <v>BCBS PAYABLE</v>
      </c>
    </row>
    <row r="2357" spans="5:8" x14ac:dyDescent="0.25">
      <c r="E2357" t="str">
        <f>""</f>
        <v/>
      </c>
      <c r="F2357" t="str">
        <f>""</f>
        <v/>
      </c>
      <c r="H2357" t="str">
        <f t="shared" si="39"/>
        <v>BCBS PAYABLE</v>
      </c>
    </row>
    <row r="2358" spans="5:8" x14ac:dyDescent="0.25">
      <c r="E2358" t="str">
        <f>""</f>
        <v/>
      </c>
      <c r="F2358" t="str">
        <f>""</f>
        <v/>
      </c>
      <c r="H2358" t="str">
        <f t="shared" si="39"/>
        <v>BCBS PAYABLE</v>
      </c>
    </row>
    <row r="2359" spans="5:8" x14ac:dyDescent="0.25">
      <c r="E2359" t="str">
        <f>""</f>
        <v/>
      </c>
      <c r="F2359" t="str">
        <f>""</f>
        <v/>
      </c>
      <c r="H2359" t="str">
        <f t="shared" si="39"/>
        <v>BCBS PAYABLE</v>
      </c>
    </row>
    <row r="2360" spans="5:8" x14ac:dyDescent="0.25">
      <c r="E2360" t="str">
        <f>""</f>
        <v/>
      </c>
      <c r="F2360" t="str">
        <f>""</f>
        <v/>
      </c>
      <c r="H2360" t="str">
        <f t="shared" si="39"/>
        <v>BCBS PAYABLE</v>
      </c>
    </row>
    <row r="2361" spans="5:8" x14ac:dyDescent="0.25">
      <c r="E2361" t="str">
        <f>""</f>
        <v/>
      </c>
      <c r="F2361" t="str">
        <f>""</f>
        <v/>
      </c>
      <c r="H2361" t="str">
        <f t="shared" si="39"/>
        <v>BCBS PAYABLE</v>
      </c>
    </row>
    <row r="2362" spans="5:8" x14ac:dyDescent="0.25">
      <c r="E2362" t="str">
        <f>""</f>
        <v/>
      </c>
      <c r="F2362" t="str">
        <f>""</f>
        <v/>
      </c>
      <c r="H2362" t="str">
        <f t="shared" si="39"/>
        <v>BCBS PAYABLE</v>
      </c>
    </row>
    <row r="2363" spans="5:8" x14ac:dyDescent="0.25">
      <c r="E2363" t="str">
        <f>""</f>
        <v/>
      </c>
      <c r="F2363" t="str">
        <f>""</f>
        <v/>
      </c>
      <c r="H2363" t="str">
        <f t="shared" si="39"/>
        <v>BCBS PAYABLE</v>
      </c>
    </row>
    <row r="2364" spans="5:8" x14ac:dyDescent="0.25">
      <c r="E2364" t="str">
        <f>""</f>
        <v/>
      </c>
      <c r="F2364" t="str">
        <f>""</f>
        <v/>
      </c>
      <c r="H2364" t="str">
        <f t="shared" si="39"/>
        <v>BCBS PAYABLE</v>
      </c>
    </row>
    <row r="2365" spans="5:8" x14ac:dyDescent="0.25">
      <c r="E2365" t="str">
        <f>""</f>
        <v/>
      </c>
      <c r="F2365" t="str">
        <f>""</f>
        <v/>
      </c>
      <c r="H2365" t="str">
        <f t="shared" si="39"/>
        <v>BCBS PAYABLE</v>
      </c>
    </row>
    <row r="2366" spans="5:8" x14ac:dyDescent="0.25">
      <c r="E2366" t="str">
        <f>""</f>
        <v/>
      </c>
      <c r="F2366" t="str">
        <f>""</f>
        <v/>
      </c>
      <c r="H2366" t="str">
        <f t="shared" si="39"/>
        <v>BCBS PAYABLE</v>
      </c>
    </row>
    <row r="2367" spans="5:8" x14ac:dyDescent="0.25">
      <c r="E2367" t="str">
        <f>""</f>
        <v/>
      </c>
      <c r="F2367" t="str">
        <f>""</f>
        <v/>
      </c>
      <c r="H2367" t="str">
        <f t="shared" si="39"/>
        <v>BCBS PAYABLE</v>
      </c>
    </row>
    <row r="2368" spans="5:8" x14ac:dyDescent="0.25">
      <c r="E2368" t="str">
        <f>""</f>
        <v/>
      </c>
      <c r="F2368" t="str">
        <f>""</f>
        <v/>
      </c>
      <c r="H2368" t="str">
        <f t="shared" si="39"/>
        <v>BCBS PAYABLE</v>
      </c>
    </row>
    <row r="2369" spans="5:8" x14ac:dyDescent="0.25">
      <c r="E2369" t="str">
        <f>""</f>
        <v/>
      </c>
      <c r="F2369" t="str">
        <f>""</f>
        <v/>
      </c>
      <c r="H2369" t="str">
        <f t="shared" si="39"/>
        <v>BCBS PAYABLE</v>
      </c>
    </row>
    <row r="2370" spans="5:8" x14ac:dyDescent="0.25">
      <c r="E2370" t="str">
        <f>""</f>
        <v/>
      </c>
      <c r="F2370" t="str">
        <f>""</f>
        <v/>
      </c>
      <c r="H2370" t="str">
        <f t="shared" si="39"/>
        <v>BCBS PAYABLE</v>
      </c>
    </row>
    <row r="2371" spans="5:8" x14ac:dyDescent="0.25">
      <c r="E2371" t="str">
        <f>""</f>
        <v/>
      </c>
      <c r="F2371" t="str">
        <f>""</f>
        <v/>
      </c>
      <c r="H2371" t="str">
        <f t="shared" si="39"/>
        <v>BCBS PAYABLE</v>
      </c>
    </row>
    <row r="2372" spans="5:8" x14ac:dyDescent="0.25">
      <c r="E2372" t="str">
        <f>""</f>
        <v/>
      </c>
      <c r="F2372" t="str">
        <f>""</f>
        <v/>
      </c>
      <c r="H2372" t="str">
        <f t="shared" si="39"/>
        <v>BCBS PAYABLE</v>
      </c>
    </row>
    <row r="2373" spans="5:8" x14ac:dyDescent="0.25">
      <c r="E2373" t="str">
        <f>""</f>
        <v/>
      </c>
      <c r="F2373" t="str">
        <f>""</f>
        <v/>
      </c>
      <c r="H2373" t="str">
        <f t="shared" si="39"/>
        <v>BCBS PAYABLE</v>
      </c>
    </row>
    <row r="2374" spans="5:8" x14ac:dyDescent="0.25">
      <c r="E2374" t="str">
        <f>""</f>
        <v/>
      </c>
      <c r="F2374" t="str">
        <f>""</f>
        <v/>
      </c>
      <c r="H2374" t="str">
        <f t="shared" si="39"/>
        <v>BCBS PAYABLE</v>
      </c>
    </row>
    <row r="2375" spans="5:8" x14ac:dyDescent="0.25">
      <c r="E2375" t="str">
        <f>""</f>
        <v/>
      </c>
      <c r="F2375" t="str">
        <f>""</f>
        <v/>
      </c>
      <c r="H2375" t="str">
        <f t="shared" si="39"/>
        <v>BCBS PAYABLE</v>
      </c>
    </row>
    <row r="2376" spans="5:8" x14ac:dyDescent="0.25">
      <c r="E2376" t="str">
        <f>""</f>
        <v/>
      </c>
      <c r="F2376" t="str">
        <f>""</f>
        <v/>
      </c>
      <c r="H2376" t="str">
        <f t="shared" si="39"/>
        <v>BCBS PAYABLE</v>
      </c>
    </row>
    <row r="2377" spans="5:8" x14ac:dyDescent="0.25">
      <c r="E2377" t="str">
        <f>""</f>
        <v/>
      </c>
      <c r="F2377" t="str">
        <f>""</f>
        <v/>
      </c>
      <c r="H2377" t="str">
        <f t="shared" si="39"/>
        <v>BCBS PAYABLE</v>
      </c>
    </row>
    <row r="2378" spans="5:8" x14ac:dyDescent="0.25">
      <c r="E2378" t="str">
        <f>""</f>
        <v/>
      </c>
      <c r="F2378" t="str">
        <f>""</f>
        <v/>
      </c>
      <c r="H2378" t="str">
        <f t="shared" si="39"/>
        <v>BCBS PAYABLE</v>
      </c>
    </row>
    <row r="2379" spans="5:8" x14ac:dyDescent="0.25">
      <c r="E2379" t="str">
        <f>""</f>
        <v/>
      </c>
      <c r="F2379" t="str">
        <f>""</f>
        <v/>
      </c>
      <c r="H2379" t="str">
        <f t="shared" si="39"/>
        <v>BCBS PAYABLE</v>
      </c>
    </row>
    <row r="2380" spans="5:8" x14ac:dyDescent="0.25">
      <c r="E2380" t="str">
        <f>""</f>
        <v/>
      </c>
      <c r="F2380" t="str">
        <f>""</f>
        <v/>
      </c>
      <c r="H2380" t="str">
        <f t="shared" si="39"/>
        <v>BCBS PAYABLE</v>
      </c>
    </row>
    <row r="2381" spans="5:8" x14ac:dyDescent="0.25">
      <c r="E2381" t="str">
        <f>""</f>
        <v/>
      </c>
      <c r="F2381" t="str">
        <f>""</f>
        <v/>
      </c>
      <c r="H2381" t="str">
        <f t="shared" si="39"/>
        <v>BCBS PAYABLE</v>
      </c>
    </row>
    <row r="2382" spans="5:8" x14ac:dyDescent="0.25">
      <c r="E2382" t="str">
        <f>""</f>
        <v/>
      </c>
      <c r="F2382" t="str">
        <f>""</f>
        <v/>
      </c>
      <c r="H2382" t="str">
        <f t="shared" si="39"/>
        <v>BCBS PAYABLE</v>
      </c>
    </row>
    <row r="2383" spans="5:8" x14ac:dyDescent="0.25">
      <c r="E2383" t="str">
        <f>""</f>
        <v/>
      </c>
      <c r="F2383" t="str">
        <f>""</f>
        <v/>
      </c>
      <c r="H2383" t="str">
        <f t="shared" si="39"/>
        <v>BCBS PAYABLE</v>
      </c>
    </row>
    <row r="2384" spans="5:8" x14ac:dyDescent="0.25">
      <c r="E2384" t="str">
        <f>""</f>
        <v/>
      </c>
      <c r="F2384" t="str">
        <f>""</f>
        <v/>
      </c>
      <c r="H2384" t="str">
        <f t="shared" si="39"/>
        <v>BCBS PAYABLE</v>
      </c>
    </row>
    <row r="2385" spans="5:8" x14ac:dyDescent="0.25">
      <c r="E2385" t="str">
        <f>""</f>
        <v/>
      </c>
      <c r="F2385" t="str">
        <f>""</f>
        <v/>
      </c>
      <c r="H2385" t="str">
        <f t="shared" si="39"/>
        <v>BCBS PAYABLE</v>
      </c>
    </row>
    <row r="2386" spans="5:8" x14ac:dyDescent="0.25">
      <c r="E2386" t="str">
        <f>""</f>
        <v/>
      </c>
      <c r="F2386" t="str">
        <f>""</f>
        <v/>
      </c>
      <c r="H2386" t="str">
        <f t="shared" ref="H2386:H2421" si="40">"BCBS PAYABLE"</f>
        <v>BCBS PAYABLE</v>
      </c>
    </row>
    <row r="2387" spans="5:8" x14ac:dyDescent="0.25">
      <c r="E2387" t="str">
        <f>""</f>
        <v/>
      </c>
      <c r="F2387" t="str">
        <f>""</f>
        <v/>
      </c>
      <c r="H2387" t="str">
        <f t="shared" si="40"/>
        <v>BCBS PAYABLE</v>
      </c>
    </row>
    <row r="2388" spans="5:8" x14ac:dyDescent="0.25">
      <c r="E2388" t="str">
        <f>"2EO201909181934"</f>
        <v>2EO201909181934</v>
      </c>
      <c r="F2388" t="str">
        <f>"BCBS PAYABLE"</f>
        <v>BCBS PAYABLE</v>
      </c>
      <c r="G2388" s="2">
        <v>3792.96</v>
      </c>
      <c r="H2388" t="str">
        <f t="shared" si="40"/>
        <v>BCBS PAYABLE</v>
      </c>
    </row>
    <row r="2389" spans="5:8" x14ac:dyDescent="0.25">
      <c r="E2389" t="str">
        <f>"2ES201909031425"</f>
        <v>2ES201909031425</v>
      </c>
      <c r="F2389" t="str">
        <f>"BCBS PAYABLE"</f>
        <v>BCBS PAYABLE</v>
      </c>
      <c r="G2389" s="2">
        <v>15084</v>
      </c>
      <c r="H2389" t="str">
        <f t="shared" si="40"/>
        <v>BCBS PAYABLE</v>
      </c>
    </row>
    <row r="2390" spans="5:8" x14ac:dyDescent="0.25">
      <c r="E2390" t="str">
        <f>""</f>
        <v/>
      </c>
      <c r="F2390" t="str">
        <f>""</f>
        <v/>
      </c>
      <c r="H2390" t="str">
        <f t="shared" si="40"/>
        <v>BCBS PAYABLE</v>
      </c>
    </row>
    <row r="2391" spans="5:8" x14ac:dyDescent="0.25">
      <c r="E2391" t="str">
        <f>""</f>
        <v/>
      </c>
      <c r="F2391" t="str">
        <f>""</f>
        <v/>
      </c>
      <c r="H2391" t="str">
        <f t="shared" si="40"/>
        <v>BCBS PAYABLE</v>
      </c>
    </row>
    <row r="2392" spans="5:8" x14ac:dyDescent="0.25">
      <c r="E2392" t="str">
        <f>""</f>
        <v/>
      </c>
      <c r="F2392" t="str">
        <f>""</f>
        <v/>
      </c>
      <c r="H2392" t="str">
        <f t="shared" si="40"/>
        <v>BCBS PAYABLE</v>
      </c>
    </row>
    <row r="2393" spans="5:8" x14ac:dyDescent="0.25">
      <c r="E2393" t="str">
        <f>""</f>
        <v/>
      </c>
      <c r="F2393" t="str">
        <f>""</f>
        <v/>
      </c>
      <c r="H2393" t="str">
        <f t="shared" si="40"/>
        <v>BCBS PAYABLE</v>
      </c>
    </row>
    <row r="2394" spans="5:8" x14ac:dyDescent="0.25">
      <c r="E2394" t="str">
        <f>""</f>
        <v/>
      </c>
      <c r="F2394" t="str">
        <f>""</f>
        <v/>
      </c>
      <c r="H2394" t="str">
        <f t="shared" si="40"/>
        <v>BCBS PAYABLE</v>
      </c>
    </row>
    <row r="2395" spans="5:8" x14ac:dyDescent="0.25">
      <c r="E2395" t="str">
        <f>""</f>
        <v/>
      </c>
      <c r="F2395" t="str">
        <f>""</f>
        <v/>
      </c>
      <c r="H2395" t="str">
        <f t="shared" si="40"/>
        <v>BCBS PAYABLE</v>
      </c>
    </row>
    <row r="2396" spans="5:8" x14ac:dyDescent="0.25">
      <c r="E2396" t="str">
        <f>""</f>
        <v/>
      </c>
      <c r="F2396" t="str">
        <f>""</f>
        <v/>
      </c>
      <c r="H2396" t="str">
        <f t="shared" si="40"/>
        <v>BCBS PAYABLE</v>
      </c>
    </row>
    <row r="2397" spans="5:8" x14ac:dyDescent="0.25">
      <c r="E2397" t="str">
        <f>""</f>
        <v/>
      </c>
      <c r="F2397" t="str">
        <f>""</f>
        <v/>
      </c>
      <c r="H2397" t="str">
        <f t="shared" si="40"/>
        <v>BCBS PAYABLE</v>
      </c>
    </row>
    <row r="2398" spans="5:8" x14ac:dyDescent="0.25">
      <c r="E2398" t="str">
        <f>""</f>
        <v/>
      </c>
      <c r="F2398" t="str">
        <f>""</f>
        <v/>
      </c>
      <c r="H2398" t="str">
        <f t="shared" si="40"/>
        <v>BCBS PAYABLE</v>
      </c>
    </row>
    <row r="2399" spans="5:8" x14ac:dyDescent="0.25">
      <c r="E2399" t="str">
        <f>""</f>
        <v/>
      </c>
      <c r="F2399" t="str">
        <f>""</f>
        <v/>
      </c>
      <c r="H2399" t="str">
        <f t="shared" si="40"/>
        <v>BCBS PAYABLE</v>
      </c>
    </row>
    <row r="2400" spans="5:8" x14ac:dyDescent="0.25">
      <c r="E2400" t="str">
        <f>""</f>
        <v/>
      </c>
      <c r="F2400" t="str">
        <f>""</f>
        <v/>
      </c>
      <c r="H2400" t="str">
        <f t="shared" si="40"/>
        <v>BCBS PAYABLE</v>
      </c>
    </row>
    <row r="2401" spans="5:8" x14ac:dyDescent="0.25">
      <c r="E2401" t="str">
        <f>""</f>
        <v/>
      </c>
      <c r="F2401" t="str">
        <f>""</f>
        <v/>
      </c>
      <c r="H2401" t="str">
        <f t="shared" si="40"/>
        <v>BCBS PAYABLE</v>
      </c>
    </row>
    <row r="2402" spans="5:8" x14ac:dyDescent="0.25">
      <c r="E2402" t="str">
        <f>""</f>
        <v/>
      </c>
      <c r="F2402" t="str">
        <f>""</f>
        <v/>
      </c>
      <c r="H2402" t="str">
        <f t="shared" si="40"/>
        <v>BCBS PAYABLE</v>
      </c>
    </row>
    <row r="2403" spans="5:8" x14ac:dyDescent="0.25">
      <c r="E2403" t="str">
        <f>""</f>
        <v/>
      </c>
      <c r="F2403" t="str">
        <f>""</f>
        <v/>
      </c>
      <c r="H2403" t="str">
        <f t="shared" si="40"/>
        <v>BCBS PAYABLE</v>
      </c>
    </row>
    <row r="2404" spans="5:8" x14ac:dyDescent="0.25">
      <c r="E2404" t="str">
        <f>""</f>
        <v/>
      </c>
      <c r="F2404" t="str">
        <f>""</f>
        <v/>
      </c>
      <c r="H2404" t="str">
        <f t="shared" si="40"/>
        <v>BCBS PAYABLE</v>
      </c>
    </row>
    <row r="2405" spans="5:8" x14ac:dyDescent="0.25">
      <c r="E2405" t="str">
        <f>"2ES201909181931"</f>
        <v>2ES201909181931</v>
      </c>
      <c r="F2405" t="str">
        <f>"BCBS PAYABLE"</f>
        <v>BCBS PAYABLE</v>
      </c>
      <c r="G2405" s="2">
        <v>15773.52</v>
      </c>
      <c r="H2405" t="str">
        <f t="shared" si="40"/>
        <v>BCBS PAYABLE</v>
      </c>
    </row>
    <row r="2406" spans="5:8" x14ac:dyDescent="0.25">
      <c r="E2406" t="str">
        <f>""</f>
        <v/>
      </c>
      <c r="F2406" t="str">
        <f>""</f>
        <v/>
      </c>
      <c r="H2406" t="str">
        <f t="shared" si="40"/>
        <v>BCBS PAYABLE</v>
      </c>
    </row>
    <row r="2407" spans="5:8" x14ac:dyDescent="0.25">
      <c r="E2407" t="str">
        <f>""</f>
        <v/>
      </c>
      <c r="F2407" t="str">
        <f>""</f>
        <v/>
      </c>
      <c r="H2407" t="str">
        <f t="shared" si="40"/>
        <v>BCBS PAYABLE</v>
      </c>
    </row>
    <row r="2408" spans="5:8" x14ac:dyDescent="0.25">
      <c r="E2408" t="str">
        <f>""</f>
        <v/>
      </c>
      <c r="F2408" t="str">
        <f>""</f>
        <v/>
      </c>
      <c r="H2408" t="str">
        <f t="shared" si="40"/>
        <v>BCBS PAYABLE</v>
      </c>
    </row>
    <row r="2409" spans="5:8" x14ac:dyDescent="0.25">
      <c r="E2409" t="str">
        <f>""</f>
        <v/>
      </c>
      <c r="F2409" t="str">
        <f>""</f>
        <v/>
      </c>
      <c r="H2409" t="str">
        <f t="shared" si="40"/>
        <v>BCBS PAYABLE</v>
      </c>
    </row>
    <row r="2410" spans="5:8" x14ac:dyDescent="0.25">
      <c r="E2410" t="str">
        <f>""</f>
        <v/>
      </c>
      <c r="F2410" t="str">
        <f>""</f>
        <v/>
      </c>
      <c r="H2410" t="str">
        <f t="shared" si="40"/>
        <v>BCBS PAYABLE</v>
      </c>
    </row>
    <row r="2411" spans="5:8" x14ac:dyDescent="0.25">
      <c r="E2411" t="str">
        <f>""</f>
        <v/>
      </c>
      <c r="F2411" t="str">
        <f>""</f>
        <v/>
      </c>
      <c r="H2411" t="str">
        <f t="shared" si="40"/>
        <v>BCBS PAYABLE</v>
      </c>
    </row>
    <row r="2412" spans="5:8" x14ac:dyDescent="0.25">
      <c r="E2412" t="str">
        <f>""</f>
        <v/>
      </c>
      <c r="F2412" t="str">
        <f>""</f>
        <v/>
      </c>
      <c r="H2412" t="str">
        <f t="shared" si="40"/>
        <v>BCBS PAYABLE</v>
      </c>
    </row>
    <row r="2413" spans="5:8" x14ac:dyDescent="0.25">
      <c r="E2413" t="str">
        <f>""</f>
        <v/>
      </c>
      <c r="F2413" t="str">
        <f>""</f>
        <v/>
      </c>
      <c r="H2413" t="str">
        <f t="shared" si="40"/>
        <v>BCBS PAYABLE</v>
      </c>
    </row>
    <row r="2414" spans="5:8" x14ac:dyDescent="0.25">
      <c r="E2414" t="str">
        <f>""</f>
        <v/>
      </c>
      <c r="F2414" t="str">
        <f>""</f>
        <v/>
      </c>
      <c r="H2414" t="str">
        <f t="shared" si="40"/>
        <v>BCBS PAYABLE</v>
      </c>
    </row>
    <row r="2415" spans="5:8" x14ac:dyDescent="0.25">
      <c r="E2415" t="str">
        <f>""</f>
        <v/>
      </c>
      <c r="F2415" t="str">
        <f>""</f>
        <v/>
      </c>
      <c r="H2415" t="str">
        <f t="shared" si="40"/>
        <v>BCBS PAYABLE</v>
      </c>
    </row>
    <row r="2416" spans="5:8" x14ac:dyDescent="0.25">
      <c r="E2416" t="str">
        <f>""</f>
        <v/>
      </c>
      <c r="F2416" t="str">
        <f>""</f>
        <v/>
      </c>
      <c r="H2416" t="str">
        <f t="shared" si="40"/>
        <v>BCBS PAYABLE</v>
      </c>
    </row>
    <row r="2417" spans="1:8" x14ac:dyDescent="0.25">
      <c r="E2417" t="str">
        <f>""</f>
        <v/>
      </c>
      <c r="F2417" t="str">
        <f>""</f>
        <v/>
      </c>
      <c r="H2417" t="str">
        <f t="shared" si="40"/>
        <v>BCBS PAYABLE</v>
      </c>
    </row>
    <row r="2418" spans="1:8" x14ac:dyDescent="0.25">
      <c r="E2418" t="str">
        <f>""</f>
        <v/>
      </c>
      <c r="F2418" t="str">
        <f>""</f>
        <v/>
      </c>
      <c r="H2418" t="str">
        <f t="shared" si="40"/>
        <v>BCBS PAYABLE</v>
      </c>
    </row>
    <row r="2419" spans="1:8" x14ac:dyDescent="0.25">
      <c r="E2419" t="str">
        <f>""</f>
        <v/>
      </c>
      <c r="F2419" t="str">
        <f>""</f>
        <v/>
      </c>
      <c r="H2419" t="str">
        <f t="shared" si="40"/>
        <v>BCBS PAYABLE</v>
      </c>
    </row>
    <row r="2420" spans="1:8" x14ac:dyDescent="0.25">
      <c r="E2420" t="str">
        <f>""</f>
        <v/>
      </c>
      <c r="F2420" t="str">
        <f>""</f>
        <v/>
      </c>
      <c r="H2420" t="str">
        <f t="shared" si="40"/>
        <v>BCBS PAYABLE</v>
      </c>
    </row>
    <row r="2421" spans="1:8" x14ac:dyDescent="0.25">
      <c r="E2421" t="str">
        <f>""</f>
        <v/>
      </c>
      <c r="F2421" t="str">
        <f>""</f>
        <v/>
      </c>
      <c r="H2421" t="str">
        <f t="shared" si="40"/>
        <v>BCBS PAYABLE</v>
      </c>
    </row>
    <row r="2422" spans="1:8" x14ac:dyDescent="0.25">
      <c r="A2422" t="s">
        <v>466</v>
      </c>
      <c r="B2422">
        <v>215</v>
      </c>
      <c r="C2422" s="2">
        <v>9626.09</v>
      </c>
      <c r="D2422" s="1">
        <v>43714</v>
      </c>
      <c r="E2422" t="str">
        <f>"FSA201909031425"</f>
        <v>FSA201909031425</v>
      </c>
      <c r="F2422" t="str">
        <f>"TASC FSA"</f>
        <v>TASC FSA</v>
      </c>
      <c r="G2422" s="2">
        <v>7299.43</v>
      </c>
      <c r="H2422" t="str">
        <f>"TASC FSA"</f>
        <v>TASC FSA</v>
      </c>
    </row>
    <row r="2423" spans="1:8" x14ac:dyDescent="0.25">
      <c r="E2423" t="str">
        <f>"FSA201909031426"</f>
        <v>FSA201909031426</v>
      </c>
      <c r="F2423" t="str">
        <f>"TASC FSA"</f>
        <v>TASC FSA</v>
      </c>
      <c r="G2423" s="2">
        <v>441.73</v>
      </c>
      <c r="H2423" t="str">
        <f>"TASC FSA"</f>
        <v>TASC FSA</v>
      </c>
    </row>
    <row r="2424" spans="1:8" x14ac:dyDescent="0.25">
      <c r="E2424" t="str">
        <f>"FSC201909031425"</f>
        <v>FSC201909031425</v>
      </c>
      <c r="F2424" t="str">
        <f>"TASC DEPENDENT CARE"</f>
        <v>TASC DEPENDENT CARE</v>
      </c>
      <c r="G2424" s="2">
        <v>513.96</v>
      </c>
      <c r="H2424" t="str">
        <f>"TASC DEPENDENT CARE"</f>
        <v>TASC DEPENDENT CARE</v>
      </c>
    </row>
    <row r="2425" spans="1:8" x14ac:dyDescent="0.25">
      <c r="E2425" t="str">
        <f>"FSF201909031425"</f>
        <v>FSF201909031425</v>
      </c>
      <c r="F2425" t="str">
        <f>"TASC - FSA  FEES"</f>
        <v>TASC - FSA  FEES</v>
      </c>
      <c r="G2425" s="2">
        <v>255.6</v>
      </c>
      <c r="H2425" t="str">
        <f t="shared" ref="H2425:H2463" si="41">"TASC - FSA  FEES"</f>
        <v>TASC - FSA  FEES</v>
      </c>
    </row>
    <row r="2426" spans="1:8" x14ac:dyDescent="0.25">
      <c r="E2426" t="str">
        <f>""</f>
        <v/>
      </c>
      <c r="F2426" t="str">
        <f>""</f>
        <v/>
      </c>
      <c r="H2426" t="str">
        <f t="shared" si="41"/>
        <v>TASC - FSA  FEES</v>
      </c>
    </row>
    <row r="2427" spans="1:8" x14ac:dyDescent="0.25">
      <c r="E2427" t="str">
        <f>""</f>
        <v/>
      </c>
      <c r="F2427" t="str">
        <f>""</f>
        <v/>
      </c>
      <c r="H2427" t="str">
        <f t="shared" si="41"/>
        <v>TASC - FSA  FEES</v>
      </c>
    </row>
    <row r="2428" spans="1:8" x14ac:dyDescent="0.25">
      <c r="E2428" t="str">
        <f>""</f>
        <v/>
      </c>
      <c r="F2428" t="str">
        <f>""</f>
        <v/>
      </c>
      <c r="H2428" t="str">
        <f t="shared" si="41"/>
        <v>TASC - FSA  FEES</v>
      </c>
    </row>
    <row r="2429" spans="1:8" x14ac:dyDescent="0.25">
      <c r="E2429" t="str">
        <f>""</f>
        <v/>
      </c>
      <c r="F2429" t="str">
        <f>""</f>
        <v/>
      </c>
      <c r="H2429" t="str">
        <f t="shared" si="41"/>
        <v>TASC - FSA  FEES</v>
      </c>
    </row>
    <row r="2430" spans="1:8" x14ac:dyDescent="0.25">
      <c r="E2430" t="str">
        <f>""</f>
        <v/>
      </c>
      <c r="F2430" t="str">
        <f>""</f>
        <v/>
      </c>
      <c r="H2430" t="str">
        <f t="shared" si="41"/>
        <v>TASC - FSA  FEES</v>
      </c>
    </row>
    <row r="2431" spans="1:8" x14ac:dyDescent="0.25">
      <c r="E2431" t="str">
        <f>""</f>
        <v/>
      </c>
      <c r="F2431" t="str">
        <f>""</f>
        <v/>
      </c>
      <c r="H2431" t="str">
        <f t="shared" si="41"/>
        <v>TASC - FSA  FEES</v>
      </c>
    </row>
    <row r="2432" spans="1:8" x14ac:dyDescent="0.25">
      <c r="E2432" t="str">
        <f>""</f>
        <v/>
      </c>
      <c r="F2432" t="str">
        <f>""</f>
        <v/>
      </c>
      <c r="H2432" t="str">
        <f t="shared" si="41"/>
        <v>TASC - FSA  FEES</v>
      </c>
    </row>
    <row r="2433" spans="5:8" x14ac:dyDescent="0.25">
      <c r="E2433" t="str">
        <f>""</f>
        <v/>
      </c>
      <c r="F2433" t="str">
        <f>""</f>
        <v/>
      </c>
      <c r="H2433" t="str">
        <f t="shared" si="41"/>
        <v>TASC - FSA  FEES</v>
      </c>
    </row>
    <row r="2434" spans="5:8" x14ac:dyDescent="0.25">
      <c r="E2434" t="str">
        <f>""</f>
        <v/>
      </c>
      <c r="F2434" t="str">
        <f>""</f>
        <v/>
      </c>
      <c r="H2434" t="str">
        <f t="shared" si="41"/>
        <v>TASC - FSA  FEES</v>
      </c>
    </row>
    <row r="2435" spans="5:8" x14ac:dyDescent="0.25">
      <c r="E2435" t="str">
        <f>""</f>
        <v/>
      </c>
      <c r="F2435" t="str">
        <f>""</f>
        <v/>
      </c>
      <c r="H2435" t="str">
        <f t="shared" si="41"/>
        <v>TASC - FSA  FEES</v>
      </c>
    </row>
    <row r="2436" spans="5:8" x14ac:dyDescent="0.25">
      <c r="E2436" t="str">
        <f>""</f>
        <v/>
      </c>
      <c r="F2436" t="str">
        <f>""</f>
        <v/>
      </c>
      <c r="H2436" t="str">
        <f t="shared" si="41"/>
        <v>TASC - FSA  FEES</v>
      </c>
    </row>
    <row r="2437" spans="5:8" x14ac:dyDescent="0.25">
      <c r="E2437" t="str">
        <f>""</f>
        <v/>
      </c>
      <c r="F2437" t="str">
        <f>""</f>
        <v/>
      </c>
      <c r="H2437" t="str">
        <f t="shared" si="41"/>
        <v>TASC - FSA  FEES</v>
      </c>
    </row>
    <row r="2438" spans="5:8" x14ac:dyDescent="0.25">
      <c r="E2438" t="str">
        <f>""</f>
        <v/>
      </c>
      <c r="F2438" t="str">
        <f>""</f>
        <v/>
      </c>
      <c r="H2438" t="str">
        <f t="shared" si="41"/>
        <v>TASC - FSA  FEES</v>
      </c>
    </row>
    <row r="2439" spans="5:8" x14ac:dyDescent="0.25">
      <c r="E2439" t="str">
        <f>""</f>
        <v/>
      </c>
      <c r="F2439" t="str">
        <f>""</f>
        <v/>
      </c>
      <c r="H2439" t="str">
        <f t="shared" si="41"/>
        <v>TASC - FSA  FEES</v>
      </c>
    </row>
    <row r="2440" spans="5:8" x14ac:dyDescent="0.25">
      <c r="E2440" t="str">
        <f>""</f>
        <v/>
      </c>
      <c r="F2440" t="str">
        <f>""</f>
        <v/>
      </c>
      <c r="H2440" t="str">
        <f t="shared" si="41"/>
        <v>TASC - FSA  FEES</v>
      </c>
    </row>
    <row r="2441" spans="5:8" x14ac:dyDescent="0.25">
      <c r="E2441" t="str">
        <f>""</f>
        <v/>
      </c>
      <c r="F2441" t="str">
        <f>""</f>
        <v/>
      </c>
      <c r="H2441" t="str">
        <f t="shared" si="41"/>
        <v>TASC - FSA  FEES</v>
      </c>
    </row>
    <row r="2442" spans="5:8" x14ac:dyDescent="0.25">
      <c r="E2442" t="str">
        <f>""</f>
        <v/>
      </c>
      <c r="F2442" t="str">
        <f>""</f>
        <v/>
      </c>
      <c r="H2442" t="str">
        <f t="shared" si="41"/>
        <v>TASC - FSA  FEES</v>
      </c>
    </row>
    <row r="2443" spans="5:8" x14ac:dyDescent="0.25">
      <c r="E2443" t="str">
        <f>""</f>
        <v/>
      </c>
      <c r="F2443" t="str">
        <f>""</f>
        <v/>
      </c>
      <c r="H2443" t="str">
        <f t="shared" si="41"/>
        <v>TASC - FSA  FEES</v>
      </c>
    </row>
    <row r="2444" spans="5:8" x14ac:dyDescent="0.25">
      <c r="E2444" t="str">
        <f>""</f>
        <v/>
      </c>
      <c r="F2444" t="str">
        <f>""</f>
        <v/>
      </c>
      <c r="H2444" t="str">
        <f t="shared" si="41"/>
        <v>TASC - FSA  FEES</v>
      </c>
    </row>
    <row r="2445" spans="5:8" x14ac:dyDescent="0.25">
      <c r="E2445" t="str">
        <f>""</f>
        <v/>
      </c>
      <c r="F2445" t="str">
        <f>""</f>
        <v/>
      </c>
      <c r="H2445" t="str">
        <f t="shared" si="41"/>
        <v>TASC - FSA  FEES</v>
      </c>
    </row>
    <row r="2446" spans="5:8" x14ac:dyDescent="0.25">
      <c r="E2446" t="str">
        <f>""</f>
        <v/>
      </c>
      <c r="F2446" t="str">
        <f>""</f>
        <v/>
      </c>
      <c r="H2446" t="str">
        <f t="shared" si="41"/>
        <v>TASC - FSA  FEES</v>
      </c>
    </row>
    <row r="2447" spans="5:8" x14ac:dyDescent="0.25">
      <c r="E2447" t="str">
        <f>""</f>
        <v/>
      </c>
      <c r="F2447" t="str">
        <f>""</f>
        <v/>
      </c>
      <c r="H2447" t="str">
        <f t="shared" si="41"/>
        <v>TASC - FSA  FEES</v>
      </c>
    </row>
    <row r="2448" spans="5:8" x14ac:dyDescent="0.25">
      <c r="E2448" t="str">
        <f>""</f>
        <v/>
      </c>
      <c r="F2448" t="str">
        <f>""</f>
        <v/>
      </c>
      <c r="H2448" t="str">
        <f t="shared" si="41"/>
        <v>TASC - FSA  FEES</v>
      </c>
    </row>
    <row r="2449" spans="5:8" x14ac:dyDescent="0.25">
      <c r="E2449" t="str">
        <f>""</f>
        <v/>
      </c>
      <c r="F2449" t="str">
        <f>""</f>
        <v/>
      </c>
      <c r="H2449" t="str">
        <f t="shared" si="41"/>
        <v>TASC - FSA  FEES</v>
      </c>
    </row>
    <row r="2450" spans="5:8" x14ac:dyDescent="0.25">
      <c r="E2450" t="str">
        <f>""</f>
        <v/>
      </c>
      <c r="F2450" t="str">
        <f>""</f>
        <v/>
      </c>
      <c r="H2450" t="str">
        <f t="shared" si="41"/>
        <v>TASC - FSA  FEES</v>
      </c>
    </row>
    <row r="2451" spans="5:8" x14ac:dyDescent="0.25">
      <c r="E2451" t="str">
        <f>""</f>
        <v/>
      </c>
      <c r="F2451" t="str">
        <f>""</f>
        <v/>
      </c>
      <c r="H2451" t="str">
        <f t="shared" si="41"/>
        <v>TASC - FSA  FEES</v>
      </c>
    </row>
    <row r="2452" spans="5:8" x14ac:dyDescent="0.25">
      <c r="E2452" t="str">
        <f>""</f>
        <v/>
      </c>
      <c r="F2452" t="str">
        <f>""</f>
        <v/>
      </c>
      <c r="H2452" t="str">
        <f t="shared" si="41"/>
        <v>TASC - FSA  FEES</v>
      </c>
    </row>
    <row r="2453" spans="5:8" x14ac:dyDescent="0.25">
      <c r="E2453" t="str">
        <f>""</f>
        <v/>
      </c>
      <c r="F2453" t="str">
        <f>""</f>
        <v/>
      </c>
      <c r="H2453" t="str">
        <f t="shared" si="41"/>
        <v>TASC - FSA  FEES</v>
      </c>
    </row>
    <row r="2454" spans="5:8" x14ac:dyDescent="0.25">
      <c r="E2454" t="str">
        <f>""</f>
        <v/>
      </c>
      <c r="F2454" t="str">
        <f>""</f>
        <v/>
      </c>
      <c r="H2454" t="str">
        <f t="shared" si="41"/>
        <v>TASC - FSA  FEES</v>
      </c>
    </row>
    <row r="2455" spans="5:8" x14ac:dyDescent="0.25">
      <c r="E2455" t="str">
        <f>""</f>
        <v/>
      </c>
      <c r="F2455" t="str">
        <f>""</f>
        <v/>
      </c>
      <c r="H2455" t="str">
        <f t="shared" si="41"/>
        <v>TASC - FSA  FEES</v>
      </c>
    </row>
    <row r="2456" spans="5:8" x14ac:dyDescent="0.25">
      <c r="E2456" t="str">
        <f>""</f>
        <v/>
      </c>
      <c r="F2456" t="str">
        <f>""</f>
        <v/>
      </c>
      <c r="H2456" t="str">
        <f t="shared" si="41"/>
        <v>TASC - FSA  FEES</v>
      </c>
    </row>
    <row r="2457" spans="5:8" x14ac:dyDescent="0.25">
      <c r="E2457" t="str">
        <f>""</f>
        <v/>
      </c>
      <c r="F2457" t="str">
        <f>""</f>
        <v/>
      </c>
      <c r="H2457" t="str">
        <f t="shared" si="41"/>
        <v>TASC - FSA  FEES</v>
      </c>
    </row>
    <row r="2458" spans="5:8" x14ac:dyDescent="0.25">
      <c r="E2458" t="str">
        <f>""</f>
        <v/>
      </c>
      <c r="F2458" t="str">
        <f>""</f>
        <v/>
      </c>
      <c r="H2458" t="str">
        <f t="shared" si="41"/>
        <v>TASC - FSA  FEES</v>
      </c>
    </row>
    <row r="2459" spans="5:8" x14ac:dyDescent="0.25">
      <c r="E2459" t="str">
        <f>""</f>
        <v/>
      </c>
      <c r="F2459" t="str">
        <f>""</f>
        <v/>
      </c>
      <c r="H2459" t="str">
        <f t="shared" si="41"/>
        <v>TASC - FSA  FEES</v>
      </c>
    </row>
    <row r="2460" spans="5:8" x14ac:dyDescent="0.25">
      <c r="E2460" t="str">
        <f>""</f>
        <v/>
      </c>
      <c r="F2460" t="str">
        <f>""</f>
        <v/>
      </c>
      <c r="H2460" t="str">
        <f t="shared" si="41"/>
        <v>TASC - FSA  FEES</v>
      </c>
    </row>
    <row r="2461" spans="5:8" x14ac:dyDescent="0.25">
      <c r="E2461" t="str">
        <f>""</f>
        <v/>
      </c>
      <c r="F2461" t="str">
        <f>""</f>
        <v/>
      </c>
      <c r="H2461" t="str">
        <f t="shared" si="41"/>
        <v>TASC - FSA  FEES</v>
      </c>
    </row>
    <row r="2462" spans="5:8" x14ac:dyDescent="0.25">
      <c r="E2462" t="str">
        <f>""</f>
        <v/>
      </c>
      <c r="F2462" t="str">
        <f>""</f>
        <v/>
      </c>
      <c r="H2462" t="str">
        <f t="shared" si="41"/>
        <v>TASC - FSA  FEES</v>
      </c>
    </row>
    <row r="2463" spans="5:8" x14ac:dyDescent="0.25">
      <c r="E2463" t="str">
        <f>"FSF201909031426"</f>
        <v>FSF201909031426</v>
      </c>
      <c r="F2463" t="str">
        <f>"TASC - FSA  FEES"</f>
        <v>TASC - FSA  FEES</v>
      </c>
      <c r="G2463" s="2">
        <v>12.6</v>
      </c>
      <c r="H2463" t="str">
        <f t="shared" si="41"/>
        <v>TASC - FSA  FEES</v>
      </c>
    </row>
    <row r="2464" spans="5:8" x14ac:dyDescent="0.25">
      <c r="E2464" t="str">
        <f>"HRA201909031425"</f>
        <v>HRA201909031425</v>
      </c>
      <c r="F2464" t="str">
        <f>"TASC HRA"</f>
        <v>TASC HRA</v>
      </c>
      <c r="G2464" s="2">
        <v>299.97000000000003</v>
      </c>
      <c r="H2464" t="str">
        <f t="shared" ref="H2464:H2469" si="42">"TASC HRA"</f>
        <v>TASC HRA</v>
      </c>
    </row>
    <row r="2465" spans="5:8" x14ac:dyDescent="0.25">
      <c r="E2465" t="str">
        <f>""</f>
        <v/>
      </c>
      <c r="F2465" t="str">
        <f>""</f>
        <v/>
      </c>
      <c r="H2465" t="str">
        <f t="shared" si="42"/>
        <v>TASC HRA</v>
      </c>
    </row>
    <row r="2466" spans="5:8" x14ac:dyDescent="0.25">
      <c r="E2466" t="str">
        <f>""</f>
        <v/>
      </c>
      <c r="F2466" t="str">
        <f>""</f>
        <v/>
      </c>
      <c r="H2466" t="str">
        <f t="shared" si="42"/>
        <v>TASC HRA</v>
      </c>
    </row>
    <row r="2467" spans="5:8" x14ac:dyDescent="0.25">
      <c r="E2467" t="str">
        <f>""</f>
        <v/>
      </c>
      <c r="F2467" t="str">
        <f>""</f>
        <v/>
      </c>
      <c r="H2467" t="str">
        <f t="shared" si="42"/>
        <v>TASC HRA</v>
      </c>
    </row>
    <row r="2468" spans="5:8" x14ac:dyDescent="0.25">
      <c r="E2468" t="str">
        <f>""</f>
        <v/>
      </c>
      <c r="F2468" t="str">
        <f>""</f>
        <v/>
      </c>
      <c r="H2468" t="str">
        <f t="shared" si="42"/>
        <v>TASC HRA</v>
      </c>
    </row>
    <row r="2469" spans="5:8" x14ac:dyDescent="0.25">
      <c r="E2469" t="str">
        <f>""</f>
        <v/>
      </c>
      <c r="F2469" t="str">
        <f>""</f>
        <v/>
      </c>
      <c r="H2469" t="str">
        <f t="shared" si="42"/>
        <v>TASC HRA</v>
      </c>
    </row>
    <row r="2470" spans="5:8" x14ac:dyDescent="0.25">
      <c r="E2470" t="str">
        <f>"HRF201909031425"</f>
        <v>HRF201909031425</v>
      </c>
      <c r="F2470" t="str">
        <f>"TASC - HRA FEES"</f>
        <v>TASC - HRA FEES</v>
      </c>
      <c r="G2470" s="2">
        <v>774</v>
      </c>
      <c r="H2470" t="str">
        <f t="shared" ref="H2470:H2501" si="43">"TASC - HRA FEES"</f>
        <v>TASC - HRA FEES</v>
      </c>
    </row>
    <row r="2471" spans="5:8" x14ac:dyDescent="0.25">
      <c r="E2471" t="str">
        <f>""</f>
        <v/>
      </c>
      <c r="F2471" t="str">
        <f>""</f>
        <v/>
      </c>
      <c r="H2471" t="str">
        <f t="shared" si="43"/>
        <v>TASC - HRA FEES</v>
      </c>
    </row>
    <row r="2472" spans="5:8" x14ac:dyDescent="0.25">
      <c r="E2472" t="str">
        <f>""</f>
        <v/>
      </c>
      <c r="F2472" t="str">
        <f>""</f>
        <v/>
      </c>
      <c r="H2472" t="str">
        <f t="shared" si="43"/>
        <v>TASC - HRA FEES</v>
      </c>
    </row>
    <row r="2473" spans="5:8" x14ac:dyDescent="0.25">
      <c r="E2473" t="str">
        <f>""</f>
        <v/>
      </c>
      <c r="F2473" t="str">
        <f>""</f>
        <v/>
      </c>
      <c r="H2473" t="str">
        <f t="shared" si="43"/>
        <v>TASC - HRA FEES</v>
      </c>
    </row>
    <row r="2474" spans="5:8" x14ac:dyDescent="0.25">
      <c r="E2474" t="str">
        <f>""</f>
        <v/>
      </c>
      <c r="F2474" t="str">
        <f>""</f>
        <v/>
      </c>
      <c r="H2474" t="str">
        <f t="shared" si="43"/>
        <v>TASC - HRA FEES</v>
      </c>
    </row>
    <row r="2475" spans="5:8" x14ac:dyDescent="0.25">
      <c r="E2475" t="str">
        <f>""</f>
        <v/>
      </c>
      <c r="F2475" t="str">
        <f>""</f>
        <v/>
      </c>
      <c r="H2475" t="str">
        <f t="shared" si="43"/>
        <v>TASC - HRA FEES</v>
      </c>
    </row>
    <row r="2476" spans="5:8" x14ac:dyDescent="0.25">
      <c r="E2476" t="str">
        <f>""</f>
        <v/>
      </c>
      <c r="F2476" t="str">
        <f>""</f>
        <v/>
      </c>
      <c r="H2476" t="str">
        <f t="shared" si="43"/>
        <v>TASC - HRA FEES</v>
      </c>
    </row>
    <row r="2477" spans="5:8" x14ac:dyDescent="0.25">
      <c r="E2477" t="str">
        <f>""</f>
        <v/>
      </c>
      <c r="F2477" t="str">
        <f>""</f>
        <v/>
      </c>
      <c r="H2477" t="str">
        <f t="shared" si="43"/>
        <v>TASC - HRA FEES</v>
      </c>
    </row>
    <row r="2478" spans="5:8" x14ac:dyDescent="0.25">
      <c r="E2478" t="str">
        <f>""</f>
        <v/>
      </c>
      <c r="F2478" t="str">
        <f>""</f>
        <v/>
      </c>
      <c r="H2478" t="str">
        <f t="shared" si="43"/>
        <v>TASC - HRA FEES</v>
      </c>
    </row>
    <row r="2479" spans="5:8" x14ac:dyDescent="0.25">
      <c r="E2479" t="str">
        <f>""</f>
        <v/>
      </c>
      <c r="F2479" t="str">
        <f>""</f>
        <v/>
      </c>
      <c r="H2479" t="str">
        <f t="shared" si="43"/>
        <v>TASC - HRA FEES</v>
      </c>
    </row>
    <row r="2480" spans="5:8" x14ac:dyDescent="0.25">
      <c r="E2480" t="str">
        <f>""</f>
        <v/>
      </c>
      <c r="F2480" t="str">
        <f>""</f>
        <v/>
      </c>
      <c r="H2480" t="str">
        <f t="shared" si="43"/>
        <v>TASC - HRA FEES</v>
      </c>
    </row>
    <row r="2481" spans="5:8" x14ac:dyDescent="0.25">
      <c r="E2481" t="str">
        <f>""</f>
        <v/>
      </c>
      <c r="F2481" t="str">
        <f>""</f>
        <v/>
      </c>
      <c r="H2481" t="str">
        <f t="shared" si="43"/>
        <v>TASC - HRA FEES</v>
      </c>
    </row>
    <row r="2482" spans="5:8" x14ac:dyDescent="0.25">
      <c r="E2482" t="str">
        <f>""</f>
        <v/>
      </c>
      <c r="F2482" t="str">
        <f>""</f>
        <v/>
      </c>
      <c r="H2482" t="str">
        <f t="shared" si="43"/>
        <v>TASC - HRA FEES</v>
      </c>
    </row>
    <row r="2483" spans="5:8" x14ac:dyDescent="0.25">
      <c r="E2483" t="str">
        <f>""</f>
        <v/>
      </c>
      <c r="F2483" t="str">
        <f>""</f>
        <v/>
      </c>
      <c r="H2483" t="str">
        <f t="shared" si="43"/>
        <v>TASC - HRA FEES</v>
      </c>
    </row>
    <row r="2484" spans="5:8" x14ac:dyDescent="0.25">
      <c r="E2484" t="str">
        <f>""</f>
        <v/>
      </c>
      <c r="F2484" t="str">
        <f>""</f>
        <v/>
      </c>
      <c r="H2484" t="str">
        <f t="shared" si="43"/>
        <v>TASC - HRA FEES</v>
      </c>
    </row>
    <row r="2485" spans="5:8" x14ac:dyDescent="0.25">
      <c r="E2485" t="str">
        <f>""</f>
        <v/>
      </c>
      <c r="F2485" t="str">
        <f>""</f>
        <v/>
      </c>
      <c r="H2485" t="str">
        <f t="shared" si="43"/>
        <v>TASC - HRA FEES</v>
      </c>
    </row>
    <row r="2486" spans="5:8" x14ac:dyDescent="0.25">
      <c r="E2486" t="str">
        <f>""</f>
        <v/>
      </c>
      <c r="F2486" t="str">
        <f>""</f>
        <v/>
      </c>
      <c r="H2486" t="str">
        <f t="shared" si="43"/>
        <v>TASC - HRA FEES</v>
      </c>
    </row>
    <row r="2487" spans="5:8" x14ac:dyDescent="0.25">
      <c r="E2487" t="str">
        <f>""</f>
        <v/>
      </c>
      <c r="F2487" t="str">
        <f>""</f>
        <v/>
      </c>
      <c r="H2487" t="str">
        <f t="shared" si="43"/>
        <v>TASC - HRA FEES</v>
      </c>
    </row>
    <row r="2488" spans="5:8" x14ac:dyDescent="0.25">
      <c r="E2488" t="str">
        <f>""</f>
        <v/>
      </c>
      <c r="F2488" t="str">
        <f>""</f>
        <v/>
      </c>
      <c r="H2488" t="str">
        <f t="shared" si="43"/>
        <v>TASC - HRA FEES</v>
      </c>
    </row>
    <row r="2489" spans="5:8" x14ac:dyDescent="0.25">
      <c r="E2489" t="str">
        <f>""</f>
        <v/>
      </c>
      <c r="F2489" t="str">
        <f>""</f>
        <v/>
      </c>
      <c r="H2489" t="str">
        <f t="shared" si="43"/>
        <v>TASC - HRA FEES</v>
      </c>
    </row>
    <row r="2490" spans="5:8" x14ac:dyDescent="0.25">
      <c r="E2490" t="str">
        <f>""</f>
        <v/>
      </c>
      <c r="F2490" t="str">
        <f>""</f>
        <v/>
      </c>
      <c r="H2490" t="str">
        <f t="shared" si="43"/>
        <v>TASC - HRA FEES</v>
      </c>
    </row>
    <row r="2491" spans="5:8" x14ac:dyDescent="0.25">
      <c r="E2491" t="str">
        <f>""</f>
        <v/>
      </c>
      <c r="F2491" t="str">
        <f>""</f>
        <v/>
      </c>
      <c r="H2491" t="str">
        <f t="shared" si="43"/>
        <v>TASC - HRA FEES</v>
      </c>
    </row>
    <row r="2492" spans="5:8" x14ac:dyDescent="0.25">
      <c r="E2492" t="str">
        <f>""</f>
        <v/>
      </c>
      <c r="F2492" t="str">
        <f>""</f>
        <v/>
      </c>
      <c r="H2492" t="str">
        <f t="shared" si="43"/>
        <v>TASC - HRA FEES</v>
      </c>
    </row>
    <row r="2493" spans="5:8" x14ac:dyDescent="0.25">
      <c r="E2493" t="str">
        <f>""</f>
        <v/>
      </c>
      <c r="F2493" t="str">
        <f>""</f>
        <v/>
      </c>
      <c r="H2493" t="str">
        <f t="shared" si="43"/>
        <v>TASC - HRA FEES</v>
      </c>
    </row>
    <row r="2494" spans="5:8" x14ac:dyDescent="0.25">
      <c r="E2494" t="str">
        <f>""</f>
        <v/>
      </c>
      <c r="F2494" t="str">
        <f>""</f>
        <v/>
      </c>
      <c r="H2494" t="str">
        <f t="shared" si="43"/>
        <v>TASC - HRA FEES</v>
      </c>
    </row>
    <row r="2495" spans="5:8" x14ac:dyDescent="0.25">
      <c r="E2495" t="str">
        <f>""</f>
        <v/>
      </c>
      <c r="F2495" t="str">
        <f>""</f>
        <v/>
      </c>
      <c r="H2495" t="str">
        <f t="shared" si="43"/>
        <v>TASC - HRA FEES</v>
      </c>
    </row>
    <row r="2496" spans="5:8" x14ac:dyDescent="0.25">
      <c r="E2496" t="str">
        <f>""</f>
        <v/>
      </c>
      <c r="F2496" t="str">
        <f>""</f>
        <v/>
      </c>
      <c r="H2496" t="str">
        <f t="shared" si="43"/>
        <v>TASC - HRA FEES</v>
      </c>
    </row>
    <row r="2497" spans="5:8" x14ac:dyDescent="0.25">
      <c r="E2497" t="str">
        <f>""</f>
        <v/>
      </c>
      <c r="F2497" t="str">
        <f>""</f>
        <v/>
      </c>
      <c r="H2497" t="str">
        <f t="shared" si="43"/>
        <v>TASC - HRA FEES</v>
      </c>
    </row>
    <row r="2498" spans="5:8" x14ac:dyDescent="0.25">
      <c r="E2498" t="str">
        <f>""</f>
        <v/>
      </c>
      <c r="F2498" t="str">
        <f>""</f>
        <v/>
      </c>
      <c r="H2498" t="str">
        <f t="shared" si="43"/>
        <v>TASC - HRA FEES</v>
      </c>
    </row>
    <row r="2499" spans="5:8" x14ac:dyDescent="0.25">
      <c r="E2499" t="str">
        <f>""</f>
        <v/>
      </c>
      <c r="F2499" t="str">
        <f>""</f>
        <v/>
      </c>
      <c r="H2499" t="str">
        <f t="shared" si="43"/>
        <v>TASC - HRA FEES</v>
      </c>
    </row>
    <row r="2500" spans="5:8" x14ac:dyDescent="0.25">
      <c r="E2500" t="str">
        <f>""</f>
        <v/>
      </c>
      <c r="F2500" t="str">
        <f>""</f>
        <v/>
      </c>
      <c r="H2500" t="str">
        <f t="shared" si="43"/>
        <v>TASC - HRA FEES</v>
      </c>
    </row>
    <row r="2501" spans="5:8" x14ac:dyDescent="0.25">
      <c r="E2501" t="str">
        <f>""</f>
        <v/>
      </c>
      <c r="F2501" t="str">
        <f>""</f>
        <v/>
      </c>
      <c r="H2501" t="str">
        <f t="shared" si="43"/>
        <v>TASC - HRA FEES</v>
      </c>
    </row>
    <row r="2502" spans="5:8" x14ac:dyDescent="0.25">
      <c r="E2502" t="str">
        <f>""</f>
        <v/>
      </c>
      <c r="F2502" t="str">
        <f>""</f>
        <v/>
      </c>
      <c r="H2502" t="str">
        <f t="shared" ref="H2502:H2519" si="44">"TASC - HRA FEES"</f>
        <v>TASC - HRA FEES</v>
      </c>
    </row>
    <row r="2503" spans="5:8" x14ac:dyDescent="0.25">
      <c r="E2503" t="str">
        <f>""</f>
        <v/>
      </c>
      <c r="F2503" t="str">
        <f>""</f>
        <v/>
      </c>
      <c r="H2503" t="str">
        <f t="shared" si="44"/>
        <v>TASC - HRA FEES</v>
      </c>
    </row>
    <row r="2504" spans="5:8" x14ac:dyDescent="0.25">
      <c r="E2504" t="str">
        <f>""</f>
        <v/>
      </c>
      <c r="F2504" t="str">
        <f>""</f>
        <v/>
      </c>
      <c r="H2504" t="str">
        <f t="shared" si="44"/>
        <v>TASC - HRA FEES</v>
      </c>
    </row>
    <row r="2505" spans="5:8" x14ac:dyDescent="0.25">
      <c r="E2505" t="str">
        <f>""</f>
        <v/>
      </c>
      <c r="F2505" t="str">
        <f>""</f>
        <v/>
      </c>
      <c r="H2505" t="str">
        <f t="shared" si="44"/>
        <v>TASC - HRA FEES</v>
      </c>
    </row>
    <row r="2506" spans="5:8" x14ac:dyDescent="0.25">
      <c r="E2506" t="str">
        <f>""</f>
        <v/>
      </c>
      <c r="F2506" t="str">
        <f>""</f>
        <v/>
      </c>
      <c r="H2506" t="str">
        <f t="shared" si="44"/>
        <v>TASC - HRA FEES</v>
      </c>
    </row>
    <row r="2507" spans="5:8" x14ac:dyDescent="0.25">
      <c r="E2507" t="str">
        <f>""</f>
        <v/>
      </c>
      <c r="F2507" t="str">
        <f>""</f>
        <v/>
      </c>
      <c r="H2507" t="str">
        <f t="shared" si="44"/>
        <v>TASC - HRA FEES</v>
      </c>
    </row>
    <row r="2508" spans="5:8" x14ac:dyDescent="0.25">
      <c r="E2508" t="str">
        <f>""</f>
        <v/>
      </c>
      <c r="F2508" t="str">
        <f>""</f>
        <v/>
      </c>
      <c r="H2508" t="str">
        <f t="shared" si="44"/>
        <v>TASC - HRA FEES</v>
      </c>
    </row>
    <row r="2509" spans="5:8" x14ac:dyDescent="0.25">
      <c r="E2509" t="str">
        <f>""</f>
        <v/>
      </c>
      <c r="F2509" t="str">
        <f>""</f>
        <v/>
      </c>
      <c r="H2509" t="str">
        <f t="shared" si="44"/>
        <v>TASC - HRA FEES</v>
      </c>
    </row>
    <row r="2510" spans="5:8" x14ac:dyDescent="0.25">
      <c r="E2510" t="str">
        <f>""</f>
        <v/>
      </c>
      <c r="F2510" t="str">
        <f>""</f>
        <v/>
      </c>
      <c r="H2510" t="str">
        <f t="shared" si="44"/>
        <v>TASC - HRA FEES</v>
      </c>
    </row>
    <row r="2511" spans="5:8" x14ac:dyDescent="0.25">
      <c r="E2511" t="str">
        <f>""</f>
        <v/>
      </c>
      <c r="F2511" t="str">
        <f>""</f>
        <v/>
      </c>
      <c r="H2511" t="str">
        <f t="shared" si="44"/>
        <v>TASC - HRA FEES</v>
      </c>
    </row>
    <row r="2512" spans="5:8" x14ac:dyDescent="0.25">
      <c r="E2512" t="str">
        <f>""</f>
        <v/>
      </c>
      <c r="F2512" t="str">
        <f>""</f>
        <v/>
      </c>
      <c r="H2512" t="str">
        <f t="shared" si="44"/>
        <v>TASC - HRA FEES</v>
      </c>
    </row>
    <row r="2513" spans="1:8" x14ac:dyDescent="0.25">
      <c r="E2513" t="str">
        <f>""</f>
        <v/>
      </c>
      <c r="F2513" t="str">
        <f>""</f>
        <v/>
      </c>
      <c r="H2513" t="str">
        <f t="shared" si="44"/>
        <v>TASC - HRA FEES</v>
      </c>
    </row>
    <row r="2514" spans="1:8" x14ac:dyDescent="0.25">
      <c r="E2514" t="str">
        <f>""</f>
        <v/>
      </c>
      <c r="F2514" t="str">
        <f>""</f>
        <v/>
      </c>
      <c r="H2514" t="str">
        <f t="shared" si="44"/>
        <v>TASC - HRA FEES</v>
      </c>
    </row>
    <row r="2515" spans="1:8" x14ac:dyDescent="0.25">
      <c r="E2515" t="str">
        <f>""</f>
        <v/>
      </c>
      <c r="F2515" t="str">
        <f>""</f>
        <v/>
      </c>
      <c r="H2515" t="str">
        <f t="shared" si="44"/>
        <v>TASC - HRA FEES</v>
      </c>
    </row>
    <row r="2516" spans="1:8" x14ac:dyDescent="0.25">
      <c r="E2516" t="str">
        <f>""</f>
        <v/>
      </c>
      <c r="F2516" t="str">
        <f>""</f>
        <v/>
      </c>
      <c r="H2516" t="str">
        <f t="shared" si="44"/>
        <v>TASC - HRA FEES</v>
      </c>
    </row>
    <row r="2517" spans="1:8" x14ac:dyDescent="0.25">
      <c r="E2517" t="str">
        <f>""</f>
        <v/>
      </c>
      <c r="F2517" t="str">
        <f>""</f>
        <v/>
      </c>
      <c r="H2517" t="str">
        <f t="shared" si="44"/>
        <v>TASC - HRA FEES</v>
      </c>
    </row>
    <row r="2518" spans="1:8" x14ac:dyDescent="0.25">
      <c r="E2518" t="str">
        <f>""</f>
        <v/>
      </c>
      <c r="F2518" t="str">
        <f>""</f>
        <v/>
      </c>
      <c r="H2518" t="str">
        <f t="shared" si="44"/>
        <v>TASC - HRA FEES</v>
      </c>
    </row>
    <row r="2519" spans="1:8" x14ac:dyDescent="0.25">
      <c r="E2519" t="str">
        <f>"HRF201909031426"</f>
        <v>HRF201909031426</v>
      </c>
      <c r="F2519" t="str">
        <f>"TASC - HRA FEES"</f>
        <v>TASC - HRA FEES</v>
      </c>
      <c r="G2519" s="2">
        <v>28.8</v>
      </c>
      <c r="H2519" t="str">
        <f t="shared" si="44"/>
        <v>TASC - HRA FEES</v>
      </c>
    </row>
    <row r="2520" spans="1:8" x14ac:dyDescent="0.25">
      <c r="A2520" t="s">
        <v>466</v>
      </c>
      <c r="B2520">
        <v>223</v>
      </c>
      <c r="C2520" s="2">
        <v>9322.52</v>
      </c>
      <c r="D2520" s="1">
        <v>43728</v>
      </c>
      <c r="E2520" t="str">
        <f>"FSA201909181931"</f>
        <v>FSA201909181931</v>
      </c>
      <c r="F2520" t="str">
        <f>"TASC FSA"</f>
        <v>TASC FSA</v>
      </c>
      <c r="G2520" s="2">
        <v>7299.43</v>
      </c>
      <c r="H2520" t="str">
        <f>"TASC FSA"</f>
        <v>TASC FSA</v>
      </c>
    </row>
    <row r="2521" spans="1:8" x14ac:dyDescent="0.25">
      <c r="E2521" t="str">
        <f>"FSA201909181934"</f>
        <v>FSA201909181934</v>
      </c>
      <c r="F2521" t="str">
        <f>"TASC FSA"</f>
        <v>TASC FSA</v>
      </c>
      <c r="G2521" s="2">
        <v>441.73</v>
      </c>
      <c r="H2521" t="str">
        <f>"TASC FSA"</f>
        <v>TASC FSA</v>
      </c>
    </row>
    <row r="2522" spans="1:8" x14ac:dyDescent="0.25">
      <c r="E2522" t="str">
        <f>"FSC201909181931"</f>
        <v>FSC201909181931</v>
      </c>
      <c r="F2522" t="str">
        <f>"TASC DEPENDENT CARE"</f>
        <v>TASC DEPENDENT CARE</v>
      </c>
      <c r="G2522" s="2">
        <v>513.96</v>
      </c>
      <c r="H2522" t="str">
        <f>"TASC DEPENDENT CARE"</f>
        <v>TASC DEPENDENT CARE</v>
      </c>
    </row>
    <row r="2523" spans="1:8" x14ac:dyDescent="0.25">
      <c r="E2523" t="str">
        <f>"FSF201909181931"</f>
        <v>FSF201909181931</v>
      </c>
      <c r="F2523" t="str">
        <f>"TASC - FSA  FEES"</f>
        <v>TASC - FSA  FEES</v>
      </c>
      <c r="G2523" s="2">
        <v>255.6</v>
      </c>
      <c r="H2523" t="str">
        <f t="shared" ref="H2523:H2561" si="45">"TASC - FSA  FEES"</f>
        <v>TASC - FSA  FEES</v>
      </c>
    </row>
    <row r="2524" spans="1:8" x14ac:dyDescent="0.25">
      <c r="E2524" t="str">
        <f>""</f>
        <v/>
      </c>
      <c r="F2524" t="str">
        <f>""</f>
        <v/>
      </c>
      <c r="H2524" t="str">
        <f t="shared" si="45"/>
        <v>TASC - FSA  FEES</v>
      </c>
    </row>
    <row r="2525" spans="1:8" x14ac:dyDescent="0.25">
      <c r="E2525" t="str">
        <f>""</f>
        <v/>
      </c>
      <c r="F2525" t="str">
        <f>""</f>
        <v/>
      </c>
      <c r="H2525" t="str">
        <f t="shared" si="45"/>
        <v>TASC - FSA  FEES</v>
      </c>
    </row>
    <row r="2526" spans="1:8" x14ac:dyDescent="0.25">
      <c r="E2526" t="str">
        <f>""</f>
        <v/>
      </c>
      <c r="F2526" t="str">
        <f>""</f>
        <v/>
      </c>
      <c r="H2526" t="str">
        <f t="shared" si="45"/>
        <v>TASC - FSA  FEES</v>
      </c>
    </row>
    <row r="2527" spans="1:8" x14ac:dyDescent="0.25">
      <c r="E2527" t="str">
        <f>""</f>
        <v/>
      </c>
      <c r="F2527" t="str">
        <f>""</f>
        <v/>
      </c>
      <c r="H2527" t="str">
        <f t="shared" si="45"/>
        <v>TASC - FSA  FEES</v>
      </c>
    </row>
    <row r="2528" spans="1:8" x14ac:dyDescent="0.25">
      <c r="E2528" t="str">
        <f>""</f>
        <v/>
      </c>
      <c r="F2528" t="str">
        <f>""</f>
        <v/>
      </c>
      <c r="H2528" t="str">
        <f t="shared" si="45"/>
        <v>TASC - FSA  FEES</v>
      </c>
    </row>
    <row r="2529" spans="5:8" x14ac:dyDescent="0.25">
      <c r="E2529" t="str">
        <f>""</f>
        <v/>
      </c>
      <c r="F2529" t="str">
        <f>""</f>
        <v/>
      </c>
      <c r="H2529" t="str">
        <f t="shared" si="45"/>
        <v>TASC - FSA  FEES</v>
      </c>
    </row>
    <row r="2530" spans="5:8" x14ac:dyDescent="0.25">
      <c r="E2530" t="str">
        <f>""</f>
        <v/>
      </c>
      <c r="F2530" t="str">
        <f>""</f>
        <v/>
      </c>
      <c r="H2530" t="str">
        <f t="shared" si="45"/>
        <v>TASC - FSA  FEES</v>
      </c>
    </row>
    <row r="2531" spans="5:8" x14ac:dyDescent="0.25">
      <c r="E2531" t="str">
        <f>""</f>
        <v/>
      </c>
      <c r="F2531" t="str">
        <f>""</f>
        <v/>
      </c>
      <c r="H2531" t="str">
        <f t="shared" si="45"/>
        <v>TASC - FSA  FEES</v>
      </c>
    </row>
    <row r="2532" spans="5:8" x14ac:dyDescent="0.25">
      <c r="E2532" t="str">
        <f>""</f>
        <v/>
      </c>
      <c r="F2532" t="str">
        <f>""</f>
        <v/>
      </c>
      <c r="H2532" t="str">
        <f t="shared" si="45"/>
        <v>TASC - FSA  FEES</v>
      </c>
    </row>
    <row r="2533" spans="5:8" x14ac:dyDescent="0.25">
      <c r="E2533" t="str">
        <f>""</f>
        <v/>
      </c>
      <c r="F2533" t="str">
        <f>""</f>
        <v/>
      </c>
      <c r="H2533" t="str">
        <f t="shared" si="45"/>
        <v>TASC - FSA  FEES</v>
      </c>
    </row>
    <row r="2534" spans="5:8" x14ac:dyDescent="0.25">
      <c r="E2534" t="str">
        <f>""</f>
        <v/>
      </c>
      <c r="F2534" t="str">
        <f>""</f>
        <v/>
      </c>
      <c r="H2534" t="str">
        <f t="shared" si="45"/>
        <v>TASC - FSA  FEES</v>
      </c>
    </row>
    <row r="2535" spans="5:8" x14ac:dyDescent="0.25">
      <c r="E2535" t="str">
        <f>""</f>
        <v/>
      </c>
      <c r="F2535" t="str">
        <f>""</f>
        <v/>
      </c>
      <c r="H2535" t="str">
        <f t="shared" si="45"/>
        <v>TASC - FSA  FEES</v>
      </c>
    </row>
    <row r="2536" spans="5:8" x14ac:dyDescent="0.25">
      <c r="E2536" t="str">
        <f>""</f>
        <v/>
      </c>
      <c r="F2536" t="str">
        <f>""</f>
        <v/>
      </c>
      <c r="H2536" t="str">
        <f t="shared" si="45"/>
        <v>TASC - FSA  FEES</v>
      </c>
    </row>
    <row r="2537" spans="5:8" x14ac:dyDescent="0.25">
      <c r="E2537" t="str">
        <f>""</f>
        <v/>
      </c>
      <c r="F2537" t="str">
        <f>""</f>
        <v/>
      </c>
      <c r="H2537" t="str">
        <f t="shared" si="45"/>
        <v>TASC - FSA  FEES</v>
      </c>
    </row>
    <row r="2538" spans="5:8" x14ac:dyDescent="0.25">
      <c r="E2538" t="str">
        <f>""</f>
        <v/>
      </c>
      <c r="F2538" t="str">
        <f>""</f>
        <v/>
      </c>
      <c r="H2538" t="str">
        <f t="shared" si="45"/>
        <v>TASC - FSA  FEES</v>
      </c>
    </row>
    <row r="2539" spans="5:8" x14ac:dyDescent="0.25">
      <c r="E2539" t="str">
        <f>""</f>
        <v/>
      </c>
      <c r="F2539" t="str">
        <f>""</f>
        <v/>
      </c>
      <c r="H2539" t="str">
        <f t="shared" si="45"/>
        <v>TASC - FSA  FEES</v>
      </c>
    </row>
    <row r="2540" spans="5:8" x14ac:dyDescent="0.25">
      <c r="E2540" t="str">
        <f>""</f>
        <v/>
      </c>
      <c r="F2540" t="str">
        <f>""</f>
        <v/>
      </c>
      <c r="H2540" t="str">
        <f t="shared" si="45"/>
        <v>TASC - FSA  FEES</v>
      </c>
    </row>
    <row r="2541" spans="5:8" x14ac:dyDescent="0.25">
      <c r="E2541" t="str">
        <f>""</f>
        <v/>
      </c>
      <c r="F2541" t="str">
        <f>""</f>
        <v/>
      </c>
      <c r="H2541" t="str">
        <f t="shared" si="45"/>
        <v>TASC - FSA  FEES</v>
      </c>
    </row>
    <row r="2542" spans="5:8" x14ac:dyDescent="0.25">
      <c r="E2542" t="str">
        <f>""</f>
        <v/>
      </c>
      <c r="F2542" t="str">
        <f>""</f>
        <v/>
      </c>
      <c r="H2542" t="str">
        <f t="shared" si="45"/>
        <v>TASC - FSA  FEES</v>
      </c>
    </row>
    <row r="2543" spans="5:8" x14ac:dyDescent="0.25">
      <c r="E2543" t="str">
        <f>""</f>
        <v/>
      </c>
      <c r="F2543" t="str">
        <f>""</f>
        <v/>
      </c>
      <c r="H2543" t="str">
        <f t="shared" si="45"/>
        <v>TASC - FSA  FEES</v>
      </c>
    </row>
    <row r="2544" spans="5:8" x14ac:dyDescent="0.25">
      <c r="E2544" t="str">
        <f>""</f>
        <v/>
      </c>
      <c r="F2544" t="str">
        <f>""</f>
        <v/>
      </c>
      <c r="H2544" t="str">
        <f t="shared" si="45"/>
        <v>TASC - FSA  FEES</v>
      </c>
    </row>
    <row r="2545" spans="5:8" x14ac:dyDescent="0.25">
      <c r="E2545" t="str">
        <f>""</f>
        <v/>
      </c>
      <c r="F2545" t="str">
        <f>""</f>
        <v/>
      </c>
      <c r="H2545" t="str">
        <f t="shared" si="45"/>
        <v>TASC - FSA  FEES</v>
      </c>
    </row>
    <row r="2546" spans="5:8" x14ac:dyDescent="0.25">
      <c r="E2546" t="str">
        <f>""</f>
        <v/>
      </c>
      <c r="F2546" t="str">
        <f>""</f>
        <v/>
      </c>
      <c r="H2546" t="str">
        <f t="shared" si="45"/>
        <v>TASC - FSA  FEES</v>
      </c>
    </row>
    <row r="2547" spans="5:8" x14ac:dyDescent="0.25">
      <c r="E2547" t="str">
        <f>""</f>
        <v/>
      </c>
      <c r="F2547" t="str">
        <f>""</f>
        <v/>
      </c>
      <c r="H2547" t="str">
        <f t="shared" si="45"/>
        <v>TASC - FSA  FEES</v>
      </c>
    </row>
    <row r="2548" spans="5:8" x14ac:dyDescent="0.25">
      <c r="E2548" t="str">
        <f>""</f>
        <v/>
      </c>
      <c r="F2548" t="str">
        <f>""</f>
        <v/>
      </c>
      <c r="H2548" t="str">
        <f t="shared" si="45"/>
        <v>TASC - FSA  FEES</v>
      </c>
    </row>
    <row r="2549" spans="5:8" x14ac:dyDescent="0.25">
      <c r="E2549" t="str">
        <f>""</f>
        <v/>
      </c>
      <c r="F2549" t="str">
        <f>""</f>
        <v/>
      </c>
      <c r="H2549" t="str">
        <f t="shared" si="45"/>
        <v>TASC - FSA  FEES</v>
      </c>
    </row>
    <row r="2550" spans="5:8" x14ac:dyDescent="0.25">
      <c r="E2550" t="str">
        <f>""</f>
        <v/>
      </c>
      <c r="F2550" t="str">
        <f>""</f>
        <v/>
      </c>
      <c r="H2550" t="str">
        <f t="shared" si="45"/>
        <v>TASC - FSA  FEES</v>
      </c>
    </row>
    <row r="2551" spans="5:8" x14ac:dyDescent="0.25">
      <c r="E2551" t="str">
        <f>""</f>
        <v/>
      </c>
      <c r="F2551" t="str">
        <f>""</f>
        <v/>
      </c>
      <c r="H2551" t="str">
        <f t="shared" si="45"/>
        <v>TASC - FSA  FEES</v>
      </c>
    </row>
    <row r="2552" spans="5:8" x14ac:dyDescent="0.25">
      <c r="E2552" t="str">
        <f>""</f>
        <v/>
      </c>
      <c r="F2552" t="str">
        <f>""</f>
        <v/>
      </c>
      <c r="H2552" t="str">
        <f t="shared" si="45"/>
        <v>TASC - FSA  FEES</v>
      </c>
    </row>
    <row r="2553" spans="5:8" x14ac:dyDescent="0.25">
      <c r="E2553" t="str">
        <f>""</f>
        <v/>
      </c>
      <c r="F2553" t="str">
        <f>""</f>
        <v/>
      </c>
      <c r="H2553" t="str">
        <f t="shared" si="45"/>
        <v>TASC - FSA  FEES</v>
      </c>
    </row>
    <row r="2554" spans="5:8" x14ac:dyDescent="0.25">
      <c r="E2554" t="str">
        <f>""</f>
        <v/>
      </c>
      <c r="F2554" t="str">
        <f>""</f>
        <v/>
      </c>
      <c r="H2554" t="str">
        <f t="shared" si="45"/>
        <v>TASC - FSA  FEES</v>
      </c>
    </row>
    <row r="2555" spans="5:8" x14ac:dyDescent="0.25">
      <c r="E2555" t="str">
        <f>""</f>
        <v/>
      </c>
      <c r="F2555" t="str">
        <f>""</f>
        <v/>
      </c>
      <c r="H2555" t="str">
        <f t="shared" si="45"/>
        <v>TASC - FSA  FEES</v>
      </c>
    </row>
    <row r="2556" spans="5:8" x14ac:dyDescent="0.25">
      <c r="E2556" t="str">
        <f>""</f>
        <v/>
      </c>
      <c r="F2556" t="str">
        <f>""</f>
        <v/>
      </c>
      <c r="H2556" t="str">
        <f t="shared" si="45"/>
        <v>TASC - FSA  FEES</v>
      </c>
    </row>
    <row r="2557" spans="5:8" x14ac:dyDescent="0.25">
      <c r="E2557" t="str">
        <f>""</f>
        <v/>
      </c>
      <c r="F2557" t="str">
        <f>""</f>
        <v/>
      </c>
      <c r="H2557" t="str">
        <f t="shared" si="45"/>
        <v>TASC - FSA  FEES</v>
      </c>
    </row>
    <row r="2558" spans="5:8" x14ac:dyDescent="0.25">
      <c r="E2558" t="str">
        <f>""</f>
        <v/>
      </c>
      <c r="F2558" t="str">
        <f>""</f>
        <v/>
      </c>
      <c r="H2558" t="str">
        <f t="shared" si="45"/>
        <v>TASC - FSA  FEES</v>
      </c>
    </row>
    <row r="2559" spans="5:8" x14ac:dyDescent="0.25">
      <c r="E2559" t="str">
        <f>""</f>
        <v/>
      </c>
      <c r="F2559" t="str">
        <f>""</f>
        <v/>
      </c>
      <c r="H2559" t="str">
        <f t="shared" si="45"/>
        <v>TASC - FSA  FEES</v>
      </c>
    </row>
    <row r="2560" spans="5:8" x14ac:dyDescent="0.25">
      <c r="E2560" t="str">
        <f>""</f>
        <v/>
      </c>
      <c r="F2560" t="str">
        <f>""</f>
        <v/>
      </c>
      <c r="H2560" t="str">
        <f t="shared" si="45"/>
        <v>TASC - FSA  FEES</v>
      </c>
    </row>
    <row r="2561" spans="5:8" x14ac:dyDescent="0.25">
      <c r="E2561" t="str">
        <f>"FSF201909181934"</f>
        <v>FSF201909181934</v>
      </c>
      <c r="F2561" t="str">
        <f>"TASC - FSA  FEES"</f>
        <v>TASC - FSA  FEES</v>
      </c>
      <c r="G2561" s="2">
        <v>12.6</v>
      </c>
      <c r="H2561" t="str">
        <f t="shared" si="45"/>
        <v>TASC - FSA  FEES</v>
      </c>
    </row>
    <row r="2562" spans="5:8" x14ac:dyDescent="0.25">
      <c r="E2562" t="str">
        <f>"HRF201909181931"</f>
        <v>HRF201909181931</v>
      </c>
      <c r="F2562" t="str">
        <f>"TASC - HRA FEES"</f>
        <v>TASC - HRA FEES</v>
      </c>
      <c r="G2562" s="2">
        <v>770.4</v>
      </c>
      <c r="H2562" t="str">
        <f t="shared" ref="H2562:H2593" si="46">"TASC - HRA FEES"</f>
        <v>TASC - HRA FEES</v>
      </c>
    </row>
    <row r="2563" spans="5:8" x14ac:dyDescent="0.25">
      <c r="E2563" t="str">
        <f>""</f>
        <v/>
      </c>
      <c r="F2563" t="str">
        <f>""</f>
        <v/>
      </c>
      <c r="H2563" t="str">
        <f t="shared" si="46"/>
        <v>TASC - HRA FEES</v>
      </c>
    </row>
    <row r="2564" spans="5:8" x14ac:dyDescent="0.25">
      <c r="E2564" t="str">
        <f>""</f>
        <v/>
      </c>
      <c r="F2564" t="str">
        <f>""</f>
        <v/>
      </c>
      <c r="H2564" t="str">
        <f t="shared" si="46"/>
        <v>TASC - HRA FEES</v>
      </c>
    </row>
    <row r="2565" spans="5:8" x14ac:dyDescent="0.25">
      <c r="E2565" t="str">
        <f>""</f>
        <v/>
      </c>
      <c r="F2565" t="str">
        <f>""</f>
        <v/>
      </c>
      <c r="H2565" t="str">
        <f t="shared" si="46"/>
        <v>TASC - HRA FEES</v>
      </c>
    </row>
    <row r="2566" spans="5:8" x14ac:dyDescent="0.25">
      <c r="E2566" t="str">
        <f>""</f>
        <v/>
      </c>
      <c r="F2566" t="str">
        <f>""</f>
        <v/>
      </c>
      <c r="H2566" t="str">
        <f t="shared" si="46"/>
        <v>TASC - HRA FEES</v>
      </c>
    </row>
    <row r="2567" spans="5:8" x14ac:dyDescent="0.25">
      <c r="E2567" t="str">
        <f>""</f>
        <v/>
      </c>
      <c r="F2567" t="str">
        <f>""</f>
        <v/>
      </c>
      <c r="H2567" t="str">
        <f t="shared" si="46"/>
        <v>TASC - HRA FEES</v>
      </c>
    </row>
    <row r="2568" spans="5:8" x14ac:dyDescent="0.25">
      <c r="E2568" t="str">
        <f>""</f>
        <v/>
      </c>
      <c r="F2568" t="str">
        <f>""</f>
        <v/>
      </c>
      <c r="H2568" t="str">
        <f t="shared" si="46"/>
        <v>TASC - HRA FEES</v>
      </c>
    </row>
    <row r="2569" spans="5:8" x14ac:dyDescent="0.25">
      <c r="E2569" t="str">
        <f>""</f>
        <v/>
      </c>
      <c r="F2569" t="str">
        <f>""</f>
        <v/>
      </c>
      <c r="H2569" t="str">
        <f t="shared" si="46"/>
        <v>TASC - HRA FEES</v>
      </c>
    </row>
    <row r="2570" spans="5:8" x14ac:dyDescent="0.25">
      <c r="E2570" t="str">
        <f>""</f>
        <v/>
      </c>
      <c r="F2570" t="str">
        <f>""</f>
        <v/>
      </c>
      <c r="H2570" t="str">
        <f t="shared" si="46"/>
        <v>TASC - HRA FEES</v>
      </c>
    </row>
    <row r="2571" spans="5:8" x14ac:dyDescent="0.25">
      <c r="E2571" t="str">
        <f>""</f>
        <v/>
      </c>
      <c r="F2571" t="str">
        <f>""</f>
        <v/>
      </c>
      <c r="H2571" t="str">
        <f t="shared" si="46"/>
        <v>TASC - HRA FEES</v>
      </c>
    </row>
    <row r="2572" spans="5:8" x14ac:dyDescent="0.25">
      <c r="E2572" t="str">
        <f>""</f>
        <v/>
      </c>
      <c r="F2572" t="str">
        <f>""</f>
        <v/>
      </c>
      <c r="H2572" t="str">
        <f t="shared" si="46"/>
        <v>TASC - HRA FEES</v>
      </c>
    </row>
    <row r="2573" spans="5:8" x14ac:dyDescent="0.25">
      <c r="E2573" t="str">
        <f>""</f>
        <v/>
      </c>
      <c r="F2573" t="str">
        <f>""</f>
        <v/>
      </c>
      <c r="H2573" t="str">
        <f t="shared" si="46"/>
        <v>TASC - HRA FEES</v>
      </c>
    </row>
    <row r="2574" spans="5:8" x14ac:dyDescent="0.25">
      <c r="E2574" t="str">
        <f>""</f>
        <v/>
      </c>
      <c r="F2574" t="str">
        <f>""</f>
        <v/>
      </c>
      <c r="H2574" t="str">
        <f t="shared" si="46"/>
        <v>TASC - HRA FEES</v>
      </c>
    </row>
    <row r="2575" spans="5:8" x14ac:dyDescent="0.25">
      <c r="E2575" t="str">
        <f>""</f>
        <v/>
      </c>
      <c r="F2575" t="str">
        <f>""</f>
        <v/>
      </c>
      <c r="H2575" t="str">
        <f t="shared" si="46"/>
        <v>TASC - HRA FEES</v>
      </c>
    </row>
    <row r="2576" spans="5:8" x14ac:dyDescent="0.25">
      <c r="E2576" t="str">
        <f>""</f>
        <v/>
      </c>
      <c r="F2576" t="str">
        <f>""</f>
        <v/>
      </c>
      <c r="H2576" t="str">
        <f t="shared" si="46"/>
        <v>TASC - HRA FEES</v>
      </c>
    </row>
    <row r="2577" spans="5:8" x14ac:dyDescent="0.25">
      <c r="E2577" t="str">
        <f>""</f>
        <v/>
      </c>
      <c r="F2577" t="str">
        <f>""</f>
        <v/>
      </c>
      <c r="H2577" t="str">
        <f t="shared" si="46"/>
        <v>TASC - HRA FEES</v>
      </c>
    </row>
    <row r="2578" spans="5:8" x14ac:dyDescent="0.25">
      <c r="E2578" t="str">
        <f>""</f>
        <v/>
      </c>
      <c r="F2578" t="str">
        <f>""</f>
        <v/>
      </c>
      <c r="H2578" t="str">
        <f t="shared" si="46"/>
        <v>TASC - HRA FEES</v>
      </c>
    </row>
    <row r="2579" spans="5:8" x14ac:dyDescent="0.25">
      <c r="E2579" t="str">
        <f>""</f>
        <v/>
      </c>
      <c r="F2579" t="str">
        <f>""</f>
        <v/>
      </c>
      <c r="H2579" t="str">
        <f t="shared" si="46"/>
        <v>TASC - HRA FEES</v>
      </c>
    </row>
    <row r="2580" spans="5:8" x14ac:dyDescent="0.25">
      <c r="E2580" t="str">
        <f>""</f>
        <v/>
      </c>
      <c r="F2580" t="str">
        <f>""</f>
        <v/>
      </c>
      <c r="H2580" t="str">
        <f t="shared" si="46"/>
        <v>TASC - HRA FEES</v>
      </c>
    </row>
    <row r="2581" spans="5:8" x14ac:dyDescent="0.25">
      <c r="E2581" t="str">
        <f>""</f>
        <v/>
      </c>
      <c r="F2581" t="str">
        <f>""</f>
        <v/>
      </c>
      <c r="H2581" t="str">
        <f t="shared" si="46"/>
        <v>TASC - HRA FEES</v>
      </c>
    </row>
    <row r="2582" spans="5:8" x14ac:dyDescent="0.25">
      <c r="E2582" t="str">
        <f>""</f>
        <v/>
      </c>
      <c r="F2582" t="str">
        <f>""</f>
        <v/>
      </c>
      <c r="H2582" t="str">
        <f t="shared" si="46"/>
        <v>TASC - HRA FEES</v>
      </c>
    </row>
    <row r="2583" spans="5:8" x14ac:dyDescent="0.25">
      <c r="E2583" t="str">
        <f>""</f>
        <v/>
      </c>
      <c r="F2583" t="str">
        <f>""</f>
        <v/>
      </c>
      <c r="H2583" t="str">
        <f t="shared" si="46"/>
        <v>TASC - HRA FEES</v>
      </c>
    </row>
    <row r="2584" spans="5:8" x14ac:dyDescent="0.25">
      <c r="E2584" t="str">
        <f>""</f>
        <v/>
      </c>
      <c r="F2584" t="str">
        <f>""</f>
        <v/>
      </c>
      <c r="H2584" t="str">
        <f t="shared" si="46"/>
        <v>TASC - HRA FEES</v>
      </c>
    </row>
    <row r="2585" spans="5:8" x14ac:dyDescent="0.25">
      <c r="E2585" t="str">
        <f>""</f>
        <v/>
      </c>
      <c r="F2585" t="str">
        <f>""</f>
        <v/>
      </c>
      <c r="H2585" t="str">
        <f t="shared" si="46"/>
        <v>TASC - HRA FEES</v>
      </c>
    </row>
    <row r="2586" spans="5:8" x14ac:dyDescent="0.25">
      <c r="E2586" t="str">
        <f>""</f>
        <v/>
      </c>
      <c r="F2586" t="str">
        <f>""</f>
        <v/>
      </c>
      <c r="H2586" t="str">
        <f t="shared" si="46"/>
        <v>TASC - HRA FEES</v>
      </c>
    </row>
    <row r="2587" spans="5:8" x14ac:dyDescent="0.25">
      <c r="E2587" t="str">
        <f>""</f>
        <v/>
      </c>
      <c r="F2587" t="str">
        <f>""</f>
        <v/>
      </c>
      <c r="H2587" t="str">
        <f t="shared" si="46"/>
        <v>TASC - HRA FEES</v>
      </c>
    </row>
    <row r="2588" spans="5:8" x14ac:dyDescent="0.25">
      <c r="E2588" t="str">
        <f>""</f>
        <v/>
      </c>
      <c r="F2588" t="str">
        <f>""</f>
        <v/>
      </c>
      <c r="H2588" t="str">
        <f t="shared" si="46"/>
        <v>TASC - HRA FEES</v>
      </c>
    </row>
    <row r="2589" spans="5:8" x14ac:dyDescent="0.25">
      <c r="E2589" t="str">
        <f>""</f>
        <v/>
      </c>
      <c r="F2589" t="str">
        <f>""</f>
        <v/>
      </c>
      <c r="H2589" t="str">
        <f t="shared" si="46"/>
        <v>TASC - HRA FEES</v>
      </c>
    </row>
    <row r="2590" spans="5:8" x14ac:dyDescent="0.25">
      <c r="E2590" t="str">
        <f>""</f>
        <v/>
      </c>
      <c r="F2590" t="str">
        <f>""</f>
        <v/>
      </c>
      <c r="H2590" t="str">
        <f t="shared" si="46"/>
        <v>TASC - HRA FEES</v>
      </c>
    </row>
    <row r="2591" spans="5:8" x14ac:dyDescent="0.25">
      <c r="E2591" t="str">
        <f>""</f>
        <v/>
      </c>
      <c r="F2591" t="str">
        <f>""</f>
        <v/>
      </c>
      <c r="H2591" t="str">
        <f t="shared" si="46"/>
        <v>TASC - HRA FEES</v>
      </c>
    </row>
    <row r="2592" spans="5:8" x14ac:dyDescent="0.25">
      <c r="E2592" t="str">
        <f>""</f>
        <v/>
      </c>
      <c r="F2592" t="str">
        <f>""</f>
        <v/>
      </c>
      <c r="H2592" t="str">
        <f t="shared" si="46"/>
        <v>TASC - HRA FEES</v>
      </c>
    </row>
    <row r="2593" spans="5:8" x14ac:dyDescent="0.25">
      <c r="E2593" t="str">
        <f>""</f>
        <v/>
      </c>
      <c r="F2593" t="str">
        <f>""</f>
        <v/>
      </c>
      <c r="H2593" t="str">
        <f t="shared" si="46"/>
        <v>TASC - HRA FEES</v>
      </c>
    </row>
    <row r="2594" spans="5:8" x14ac:dyDescent="0.25">
      <c r="E2594" t="str">
        <f>""</f>
        <v/>
      </c>
      <c r="F2594" t="str">
        <f>""</f>
        <v/>
      </c>
      <c r="H2594" t="str">
        <f t="shared" ref="H2594:H2611" si="47">"TASC - HRA FEES"</f>
        <v>TASC - HRA FEES</v>
      </c>
    </row>
    <row r="2595" spans="5:8" x14ac:dyDescent="0.25">
      <c r="E2595" t="str">
        <f>""</f>
        <v/>
      </c>
      <c r="F2595" t="str">
        <f>""</f>
        <v/>
      </c>
      <c r="H2595" t="str">
        <f t="shared" si="47"/>
        <v>TASC - HRA FEES</v>
      </c>
    </row>
    <row r="2596" spans="5:8" x14ac:dyDescent="0.25">
      <c r="E2596" t="str">
        <f>""</f>
        <v/>
      </c>
      <c r="F2596" t="str">
        <f>""</f>
        <v/>
      </c>
      <c r="H2596" t="str">
        <f t="shared" si="47"/>
        <v>TASC - HRA FEES</v>
      </c>
    </row>
    <row r="2597" spans="5:8" x14ac:dyDescent="0.25">
      <c r="E2597" t="str">
        <f>""</f>
        <v/>
      </c>
      <c r="F2597" t="str">
        <f>""</f>
        <v/>
      </c>
      <c r="H2597" t="str">
        <f t="shared" si="47"/>
        <v>TASC - HRA FEES</v>
      </c>
    </row>
    <row r="2598" spans="5:8" x14ac:dyDescent="0.25">
      <c r="E2598" t="str">
        <f>""</f>
        <v/>
      </c>
      <c r="F2598" t="str">
        <f>""</f>
        <v/>
      </c>
      <c r="H2598" t="str">
        <f t="shared" si="47"/>
        <v>TASC - HRA FEES</v>
      </c>
    </row>
    <row r="2599" spans="5:8" x14ac:dyDescent="0.25">
      <c r="E2599" t="str">
        <f>""</f>
        <v/>
      </c>
      <c r="F2599" t="str">
        <f>""</f>
        <v/>
      </c>
      <c r="H2599" t="str">
        <f t="shared" si="47"/>
        <v>TASC - HRA FEES</v>
      </c>
    </row>
    <row r="2600" spans="5:8" x14ac:dyDescent="0.25">
      <c r="E2600" t="str">
        <f>""</f>
        <v/>
      </c>
      <c r="F2600" t="str">
        <f>""</f>
        <v/>
      </c>
      <c r="H2600" t="str">
        <f t="shared" si="47"/>
        <v>TASC - HRA FEES</v>
      </c>
    </row>
    <row r="2601" spans="5:8" x14ac:dyDescent="0.25">
      <c r="E2601" t="str">
        <f>""</f>
        <v/>
      </c>
      <c r="F2601" t="str">
        <f>""</f>
        <v/>
      </c>
      <c r="H2601" t="str">
        <f t="shared" si="47"/>
        <v>TASC - HRA FEES</v>
      </c>
    </row>
    <row r="2602" spans="5:8" x14ac:dyDescent="0.25">
      <c r="E2602" t="str">
        <f>""</f>
        <v/>
      </c>
      <c r="F2602" t="str">
        <f>""</f>
        <v/>
      </c>
      <c r="H2602" t="str">
        <f t="shared" si="47"/>
        <v>TASC - HRA FEES</v>
      </c>
    </row>
    <row r="2603" spans="5:8" x14ac:dyDescent="0.25">
      <c r="E2603" t="str">
        <f>""</f>
        <v/>
      </c>
      <c r="F2603" t="str">
        <f>""</f>
        <v/>
      </c>
      <c r="H2603" t="str">
        <f t="shared" si="47"/>
        <v>TASC - HRA FEES</v>
      </c>
    </row>
    <row r="2604" spans="5:8" x14ac:dyDescent="0.25">
      <c r="E2604" t="str">
        <f>""</f>
        <v/>
      </c>
      <c r="F2604" t="str">
        <f>""</f>
        <v/>
      </c>
      <c r="H2604" t="str">
        <f t="shared" si="47"/>
        <v>TASC - HRA FEES</v>
      </c>
    </row>
    <row r="2605" spans="5:8" x14ac:dyDescent="0.25">
      <c r="E2605" t="str">
        <f>""</f>
        <v/>
      </c>
      <c r="F2605" t="str">
        <f>""</f>
        <v/>
      </c>
      <c r="H2605" t="str">
        <f t="shared" si="47"/>
        <v>TASC - HRA FEES</v>
      </c>
    </row>
    <row r="2606" spans="5:8" x14ac:dyDescent="0.25">
      <c r="E2606" t="str">
        <f>""</f>
        <v/>
      </c>
      <c r="F2606" t="str">
        <f>""</f>
        <v/>
      </c>
      <c r="H2606" t="str">
        <f t="shared" si="47"/>
        <v>TASC - HRA FEES</v>
      </c>
    </row>
    <row r="2607" spans="5:8" x14ac:dyDescent="0.25">
      <c r="E2607" t="str">
        <f>""</f>
        <v/>
      </c>
      <c r="F2607" t="str">
        <f>""</f>
        <v/>
      </c>
      <c r="H2607" t="str">
        <f t="shared" si="47"/>
        <v>TASC - HRA FEES</v>
      </c>
    </row>
    <row r="2608" spans="5:8" x14ac:dyDescent="0.25">
      <c r="E2608" t="str">
        <f>""</f>
        <v/>
      </c>
      <c r="F2608" t="str">
        <f>""</f>
        <v/>
      </c>
      <c r="H2608" t="str">
        <f t="shared" si="47"/>
        <v>TASC - HRA FEES</v>
      </c>
    </row>
    <row r="2609" spans="1:8" x14ac:dyDescent="0.25">
      <c r="E2609" t="str">
        <f>""</f>
        <v/>
      </c>
      <c r="F2609" t="str">
        <f>""</f>
        <v/>
      </c>
      <c r="H2609" t="str">
        <f t="shared" si="47"/>
        <v>TASC - HRA FEES</v>
      </c>
    </row>
    <row r="2610" spans="1:8" x14ac:dyDescent="0.25">
      <c r="E2610" t="str">
        <f>""</f>
        <v/>
      </c>
      <c r="F2610" t="str">
        <f>""</f>
        <v/>
      </c>
      <c r="H2610" t="str">
        <f t="shared" si="47"/>
        <v>TASC - HRA FEES</v>
      </c>
    </row>
    <row r="2611" spans="1:8" x14ac:dyDescent="0.25">
      <c r="E2611" t="str">
        <f>"HRF201909181934"</f>
        <v>HRF201909181934</v>
      </c>
      <c r="F2611" t="str">
        <f>"TASC - HRA FEES"</f>
        <v>TASC - HRA FEES</v>
      </c>
      <c r="G2611" s="2">
        <v>28.8</v>
      </c>
      <c r="H2611" t="str">
        <f t="shared" si="47"/>
        <v>TASC - HRA FEES</v>
      </c>
    </row>
    <row r="2612" spans="1:8" x14ac:dyDescent="0.25">
      <c r="A2612" t="s">
        <v>467</v>
      </c>
      <c r="B2612">
        <v>214</v>
      </c>
      <c r="C2612" s="2">
        <v>4278.24</v>
      </c>
      <c r="D2612" s="1">
        <v>43714</v>
      </c>
      <c r="E2612" t="str">
        <f>"C18201909031426"</f>
        <v>C18201909031426</v>
      </c>
      <c r="F2612" t="str">
        <f>"CAUSE# 0011635329"</f>
        <v>CAUSE# 0011635329</v>
      </c>
      <c r="G2612" s="2">
        <v>603.23</v>
      </c>
      <c r="H2612" t="str">
        <f>"CAUSE# 0011635329"</f>
        <v>CAUSE# 0011635329</v>
      </c>
    </row>
    <row r="2613" spans="1:8" x14ac:dyDescent="0.25">
      <c r="E2613" t="str">
        <f>"C2 201909031426"</f>
        <v>C2 201909031426</v>
      </c>
      <c r="F2613" t="str">
        <f>"0012982132CCL7445"</f>
        <v>0012982132CCL7445</v>
      </c>
      <c r="G2613" s="2">
        <v>692.31</v>
      </c>
      <c r="H2613" t="str">
        <f>"0012982132CCL7445"</f>
        <v>0012982132CCL7445</v>
      </c>
    </row>
    <row r="2614" spans="1:8" x14ac:dyDescent="0.25">
      <c r="E2614" t="str">
        <f>"C20201909031425"</f>
        <v>C20201909031425</v>
      </c>
      <c r="F2614" t="str">
        <f>"001003981107-12252"</f>
        <v>001003981107-12252</v>
      </c>
      <c r="G2614" s="2">
        <v>115.39</v>
      </c>
      <c r="H2614" t="str">
        <f>"001003981107-12252"</f>
        <v>001003981107-12252</v>
      </c>
    </row>
    <row r="2615" spans="1:8" x14ac:dyDescent="0.25">
      <c r="E2615" t="str">
        <f>"C42201909031425"</f>
        <v>C42201909031425</v>
      </c>
      <c r="F2615" t="str">
        <f>"001236769211-14410"</f>
        <v>001236769211-14410</v>
      </c>
      <c r="G2615" s="2">
        <v>230.31</v>
      </c>
      <c r="H2615" t="str">
        <f>"001236769211-14410"</f>
        <v>001236769211-14410</v>
      </c>
    </row>
    <row r="2616" spans="1:8" x14ac:dyDescent="0.25">
      <c r="E2616" t="str">
        <f>"C46201909031425"</f>
        <v>C46201909031425</v>
      </c>
      <c r="F2616" t="str">
        <f>"CAUSE# 11-14911"</f>
        <v>CAUSE# 11-14911</v>
      </c>
      <c r="G2616" s="2">
        <v>238.62</v>
      </c>
      <c r="H2616" t="str">
        <f>"CAUSE# 11-14911"</f>
        <v>CAUSE# 11-14911</v>
      </c>
    </row>
    <row r="2617" spans="1:8" x14ac:dyDescent="0.25">
      <c r="E2617" t="str">
        <f>"C53201909031425"</f>
        <v>C53201909031425</v>
      </c>
      <c r="F2617" t="str">
        <f>"0012453366"</f>
        <v>0012453366</v>
      </c>
      <c r="G2617" s="2">
        <v>138.46</v>
      </c>
      <c r="H2617" t="str">
        <f>"0012453366"</f>
        <v>0012453366</v>
      </c>
    </row>
    <row r="2618" spans="1:8" x14ac:dyDescent="0.25">
      <c r="E2618" t="str">
        <f>"C60201909031425"</f>
        <v>C60201909031425</v>
      </c>
      <c r="F2618" t="str">
        <f>"00130730762012V300"</f>
        <v>00130730762012V300</v>
      </c>
      <c r="G2618" s="2">
        <v>399.32</v>
      </c>
      <c r="H2618" t="str">
        <f>"00130730762012V300"</f>
        <v>00130730762012V300</v>
      </c>
    </row>
    <row r="2619" spans="1:8" x14ac:dyDescent="0.25">
      <c r="E2619" t="str">
        <f>"C62201909031425"</f>
        <v>C62201909031425</v>
      </c>
      <c r="F2619" t="str">
        <f>"# 0012128865"</f>
        <v># 0012128865</v>
      </c>
      <c r="G2619" s="2">
        <v>243.23</v>
      </c>
      <c r="H2619" t="str">
        <f>"# 0012128865"</f>
        <v># 0012128865</v>
      </c>
    </row>
    <row r="2620" spans="1:8" x14ac:dyDescent="0.25">
      <c r="E2620" t="str">
        <f>"C66201909031425"</f>
        <v>C66201909031425</v>
      </c>
      <c r="F2620" t="str">
        <f>"# 0012871801"</f>
        <v># 0012871801</v>
      </c>
      <c r="G2620" s="2">
        <v>90</v>
      </c>
      <c r="H2620" t="str">
        <f>"# 0012871801"</f>
        <v># 0012871801</v>
      </c>
    </row>
    <row r="2621" spans="1:8" x14ac:dyDescent="0.25">
      <c r="E2621" t="str">
        <f>"C67201909031425"</f>
        <v>C67201909031425</v>
      </c>
      <c r="F2621" t="str">
        <f>"13154657"</f>
        <v>13154657</v>
      </c>
      <c r="G2621" s="2">
        <v>101.99</v>
      </c>
      <c r="H2621" t="str">
        <f>"13154657"</f>
        <v>13154657</v>
      </c>
    </row>
    <row r="2622" spans="1:8" x14ac:dyDescent="0.25">
      <c r="E2622" t="str">
        <f>"C69201909031425"</f>
        <v>C69201909031425</v>
      </c>
      <c r="F2622" t="str">
        <f>"0012046911423672"</f>
        <v>0012046911423672</v>
      </c>
      <c r="G2622" s="2">
        <v>187.38</v>
      </c>
      <c r="H2622" t="str">
        <f>"0012046911423672"</f>
        <v>0012046911423672</v>
      </c>
    </row>
    <row r="2623" spans="1:8" x14ac:dyDescent="0.25">
      <c r="E2623" t="str">
        <f>"C70201909031425"</f>
        <v>C70201909031425</v>
      </c>
      <c r="F2623" t="str">
        <f>"00136881334235026"</f>
        <v>00136881334235026</v>
      </c>
      <c r="G2623" s="2">
        <v>257.45999999999998</v>
      </c>
      <c r="H2623" t="str">
        <f>"00136881334235026"</f>
        <v>00136881334235026</v>
      </c>
    </row>
    <row r="2624" spans="1:8" x14ac:dyDescent="0.25">
      <c r="E2624" t="str">
        <f>"C71201909031425"</f>
        <v>C71201909031425</v>
      </c>
      <c r="F2624" t="str">
        <f>"00137390532018V215"</f>
        <v>00137390532018V215</v>
      </c>
      <c r="G2624" s="2">
        <v>264</v>
      </c>
      <c r="H2624" t="str">
        <f>"00137390532018V215"</f>
        <v>00137390532018V215</v>
      </c>
    </row>
    <row r="2625" spans="1:8" x14ac:dyDescent="0.25">
      <c r="E2625" t="str">
        <f>"C72201909031425"</f>
        <v>C72201909031425</v>
      </c>
      <c r="F2625" t="str">
        <f>"0012797601C20130529B"</f>
        <v>0012797601C20130529B</v>
      </c>
      <c r="G2625" s="2">
        <v>241.85</v>
      </c>
      <c r="H2625" t="str">
        <f>"0012797601C20130529B"</f>
        <v>0012797601C20130529B</v>
      </c>
    </row>
    <row r="2626" spans="1:8" x14ac:dyDescent="0.25">
      <c r="E2626" t="str">
        <f>"C78201909031425"</f>
        <v>C78201909031425</v>
      </c>
      <c r="F2626" t="str">
        <f>"00105115972005106221"</f>
        <v>00105115972005106221</v>
      </c>
      <c r="G2626" s="2">
        <v>144.68</v>
      </c>
      <c r="H2626" t="str">
        <f>"00105115972005106221"</f>
        <v>00105115972005106221</v>
      </c>
    </row>
    <row r="2627" spans="1:8" x14ac:dyDescent="0.25">
      <c r="E2627" t="str">
        <f>"C79201909031425"</f>
        <v>C79201909031425</v>
      </c>
      <c r="F2627" t="str">
        <f>"0013045733S146091FLB"</f>
        <v>0013045733S146091FLB</v>
      </c>
      <c r="G2627" s="2">
        <v>197.08</v>
      </c>
      <c r="H2627" t="str">
        <f>"0013045733S146091FLB"</f>
        <v>0013045733S146091FLB</v>
      </c>
    </row>
    <row r="2628" spans="1:8" x14ac:dyDescent="0.25">
      <c r="E2628" t="str">
        <f>"C81201909031425"</f>
        <v>C81201909031425</v>
      </c>
      <c r="F2628" t="str">
        <f>"00123916889200232472"</f>
        <v>00123916889200232472</v>
      </c>
      <c r="G2628" s="2">
        <v>109.85</v>
      </c>
      <c r="H2628" t="str">
        <f>"00123916889200232472"</f>
        <v>00123916889200232472</v>
      </c>
    </row>
    <row r="2629" spans="1:8" x14ac:dyDescent="0.25">
      <c r="E2629" t="str">
        <f>"C82201909031425"</f>
        <v>C82201909031425</v>
      </c>
      <c r="F2629" t="str">
        <f>"0009476377203172B"</f>
        <v>0009476377203172B</v>
      </c>
      <c r="G2629" s="2">
        <v>23.08</v>
      </c>
      <c r="H2629" t="str">
        <f>"0009476377203172B"</f>
        <v>0009476377203172B</v>
      </c>
    </row>
    <row r="2630" spans="1:8" x14ac:dyDescent="0.25">
      <c r="A2630" t="s">
        <v>467</v>
      </c>
      <c r="B2630">
        <v>222</v>
      </c>
      <c r="C2630" s="2">
        <v>4716.6899999999996</v>
      </c>
      <c r="D2630" s="1">
        <v>43728</v>
      </c>
      <c r="E2630" t="str">
        <f>"C18201909181934"</f>
        <v>C18201909181934</v>
      </c>
      <c r="F2630" t="str">
        <f>"CAUSE# 0011635329"</f>
        <v>CAUSE# 0011635329</v>
      </c>
      <c r="G2630" s="2">
        <v>603.23</v>
      </c>
      <c r="H2630" t="str">
        <f>"CAUSE# 0011635329"</f>
        <v>CAUSE# 0011635329</v>
      </c>
    </row>
    <row r="2631" spans="1:8" x14ac:dyDescent="0.25">
      <c r="E2631" t="str">
        <f>"C2 201909181934"</f>
        <v>C2 201909181934</v>
      </c>
      <c r="F2631" t="str">
        <f>"0012982132CCL7445"</f>
        <v>0012982132CCL7445</v>
      </c>
      <c r="G2631" s="2">
        <v>692.31</v>
      </c>
      <c r="H2631" t="str">
        <f>"0012982132CCL7445"</f>
        <v>0012982132CCL7445</v>
      </c>
    </row>
    <row r="2632" spans="1:8" x14ac:dyDescent="0.25">
      <c r="E2632" t="str">
        <f>"C20201909181931"</f>
        <v>C20201909181931</v>
      </c>
      <c r="F2632" t="str">
        <f>"001003981107-12252"</f>
        <v>001003981107-12252</v>
      </c>
      <c r="G2632" s="2">
        <v>115.39</v>
      </c>
      <c r="H2632" t="str">
        <f>"001003981107-12252"</f>
        <v>001003981107-12252</v>
      </c>
    </row>
    <row r="2633" spans="1:8" x14ac:dyDescent="0.25">
      <c r="E2633" t="str">
        <f>"C42201909181931"</f>
        <v>C42201909181931</v>
      </c>
      <c r="F2633" t="str">
        <f>"001236769211-14410"</f>
        <v>001236769211-14410</v>
      </c>
      <c r="G2633" s="2">
        <v>230.31</v>
      </c>
      <c r="H2633" t="str">
        <f>"001236769211-14410"</f>
        <v>001236769211-14410</v>
      </c>
    </row>
    <row r="2634" spans="1:8" x14ac:dyDescent="0.25">
      <c r="E2634" t="str">
        <f>"C46201909181931"</f>
        <v>C46201909181931</v>
      </c>
      <c r="F2634" t="str">
        <f>"CAUSE# 11-14911"</f>
        <v>CAUSE# 11-14911</v>
      </c>
      <c r="G2634" s="2">
        <v>238.62</v>
      </c>
      <c r="H2634" t="str">
        <f>"CAUSE# 11-14911"</f>
        <v>CAUSE# 11-14911</v>
      </c>
    </row>
    <row r="2635" spans="1:8" x14ac:dyDescent="0.25">
      <c r="E2635" t="str">
        <f>"C53201909181931"</f>
        <v>C53201909181931</v>
      </c>
      <c r="F2635" t="str">
        <f>"0012453366"</f>
        <v>0012453366</v>
      </c>
      <c r="G2635" s="2">
        <v>138.46</v>
      </c>
      <c r="H2635" t="str">
        <f>"0012453366"</f>
        <v>0012453366</v>
      </c>
    </row>
    <row r="2636" spans="1:8" x14ac:dyDescent="0.25">
      <c r="E2636" t="str">
        <f>"C60201909181931"</f>
        <v>C60201909181931</v>
      </c>
      <c r="F2636" t="str">
        <f>"00130730762012V300"</f>
        <v>00130730762012V300</v>
      </c>
      <c r="G2636" s="2">
        <v>399.32</v>
      </c>
      <c r="H2636" t="str">
        <f>"00130730762012V300"</f>
        <v>00130730762012V300</v>
      </c>
    </row>
    <row r="2637" spans="1:8" x14ac:dyDescent="0.25">
      <c r="E2637" t="str">
        <f>"C62201909181931"</f>
        <v>C62201909181931</v>
      </c>
      <c r="F2637" t="str">
        <f>"# 0012128865"</f>
        <v># 0012128865</v>
      </c>
      <c r="G2637" s="2">
        <v>243.23</v>
      </c>
      <c r="H2637" t="str">
        <f>"# 0012128865"</f>
        <v># 0012128865</v>
      </c>
    </row>
    <row r="2638" spans="1:8" x14ac:dyDescent="0.25">
      <c r="E2638" t="str">
        <f>"C66201909181931"</f>
        <v>C66201909181931</v>
      </c>
      <c r="F2638" t="str">
        <f>"# 0012871801"</f>
        <v># 0012871801</v>
      </c>
      <c r="G2638" s="2">
        <v>90</v>
      </c>
      <c r="H2638" t="str">
        <f>"# 0012871801"</f>
        <v># 0012871801</v>
      </c>
    </row>
    <row r="2639" spans="1:8" x14ac:dyDescent="0.25">
      <c r="E2639" t="str">
        <f>"C67201909181931"</f>
        <v>C67201909181931</v>
      </c>
      <c r="F2639" t="str">
        <f>"13154657"</f>
        <v>13154657</v>
      </c>
      <c r="G2639" s="2">
        <v>101.99</v>
      </c>
      <c r="H2639" t="str">
        <f>"13154657"</f>
        <v>13154657</v>
      </c>
    </row>
    <row r="2640" spans="1:8" x14ac:dyDescent="0.25">
      <c r="E2640" t="str">
        <f>"C69201909181931"</f>
        <v>C69201909181931</v>
      </c>
      <c r="F2640" t="str">
        <f>"0012046911423672"</f>
        <v>0012046911423672</v>
      </c>
      <c r="G2640" s="2">
        <v>187.38</v>
      </c>
      <c r="H2640" t="str">
        <f>"0012046911423672"</f>
        <v>0012046911423672</v>
      </c>
    </row>
    <row r="2641" spans="1:8" x14ac:dyDescent="0.25">
      <c r="E2641" t="str">
        <f>"C70201909181931"</f>
        <v>C70201909181931</v>
      </c>
      <c r="F2641" t="str">
        <f>"00136881334235026"</f>
        <v>00136881334235026</v>
      </c>
      <c r="G2641" s="2">
        <v>257.45999999999998</v>
      </c>
      <c r="H2641" t="str">
        <f>"00136881334235026"</f>
        <v>00136881334235026</v>
      </c>
    </row>
    <row r="2642" spans="1:8" x14ac:dyDescent="0.25">
      <c r="E2642" t="str">
        <f>"C71201909181931"</f>
        <v>C71201909181931</v>
      </c>
      <c r="F2642" t="str">
        <f>"00137390532018V215"</f>
        <v>00137390532018V215</v>
      </c>
      <c r="G2642" s="2">
        <v>264</v>
      </c>
      <c r="H2642" t="str">
        <f>"00137390532018V215"</f>
        <v>00137390532018V215</v>
      </c>
    </row>
    <row r="2643" spans="1:8" x14ac:dyDescent="0.25">
      <c r="E2643" t="str">
        <f>"C72201909181931"</f>
        <v>C72201909181931</v>
      </c>
      <c r="F2643" t="str">
        <f>"0012797601C20130529B"</f>
        <v>0012797601C20130529B</v>
      </c>
      <c r="G2643" s="2">
        <v>241.85</v>
      </c>
      <c r="H2643" t="str">
        <f>"0012797601C20130529B"</f>
        <v>0012797601C20130529B</v>
      </c>
    </row>
    <row r="2644" spans="1:8" x14ac:dyDescent="0.25">
      <c r="E2644" t="str">
        <f>"C78201909181931"</f>
        <v>C78201909181931</v>
      </c>
      <c r="F2644" t="str">
        <f>"00105115972005106221"</f>
        <v>00105115972005106221</v>
      </c>
      <c r="G2644" s="2">
        <v>144.68</v>
      </c>
      <c r="H2644" t="str">
        <f>"00105115972005106221"</f>
        <v>00105115972005106221</v>
      </c>
    </row>
    <row r="2645" spans="1:8" x14ac:dyDescent="0.25">
      <c r="E2645" t="str">
        <f>"C79201909181931"</f>
        <v>C79201909181931</v>
      </c>
      <c r="F2645" t="str">
        <f>"0013045733S146091FLB"</f>
        <v>0013045733S146091FLB</v>
      </c>
      <c r="G2645" s="2">
        <v>197.08</v>
      </c>
      <c r="H2645" t="str">
        <f>"0013045733S146091FLB"</f>
        <v>0013045733S146091FLB</v>
      </c>
    </row>
    <row r="2646" spans="1:8" x14ac:dyDescent="0.25">
      <c r="E2646" t="str">
        <f>"C81201909181931"</f>
        <v>C81201909181931</v>
      </c>
      <c r="F2646" t="str">
        <f>"00123916889200232472"</f>
        <v>00123916889200232472</v>
      </c>
      <c r="G2646" s="2">
        <v>109.85</v>
      </c>
      <c r="H2646" t="str">
        <f>"00123916889200232472"</f>
        <v>00123916889200232472</v>
      </c>
    </row>
    <row r="2647" spans="1:8" x14ac:dyDescent="0.25">
      <c r="E2647" t="str">
        <f>"C82201909181931"</f>
        <v>C82201909181931</v>
      </c>
      <c r="F2647" t="str">
        <f>"0009476377203172B"</f>
        <v>0009476377203172B</v>
      </c>
      <c r="G2647" s="2">
        <v>115.38</v>
      </c>
      <c r="H2647" t="str">
        <f>"0009476377203172B"</f>
        <v>0009476377203172B</v>
      </c>
    </row>
    <row r="2648" spans="1:8" x14ac:dyDescent="0.25">
      <c r="E2648" t="str">
        <f>"C83201909181931"</f>
        <v>C83201909181931</v>
      </c>
      <c r="F2648" t="str">
        <f>"0013096953150533"</f>
        <v>0013096953150533</v>
      </c>
      <c r="G2648" s="2">
        <v>346.15</v>
      </c>
      <c r="H2648" t="str">
        <f>"0013096953150533"</f>
        <v>0013096953150533</v>
      </c>
    </row>
    <row r="2649" spans="1:8" x14ac:dyDescent="0.25">
      <c r="A2649" t="s">
        <v>468</v>
      </c>
      <c r="B2649">
        <v>224</v>
      </c>
      <c r="C2649" s="2">
        <v>342135.82</v>
      </c>
      <c r="D2649" s="1">
        <v>43728</v>
      </c>
      <c r="E2649" t="str">
        <f>"RET201909031425"</f>
        <v>RET201909031425</v>
      </c>
      <c r="F2649" t="str">
        <f>"TEXAS COUNTY &amp; DISTRICT RET"</f>
        <v>TEXAS COUNTY &amp; DISTRICT RET</v>
      </c>
      <c r="G2649" s="2">
        <v>159296.56</v>
      </c>
      <c r="H2649" t="str">
        <f t="shared" ref="H2649:H2680" si="48">"TEXAS COUNTY &amp; DISTRICT RET"</f>
        <v>TEXAS COUNTY &amp; DISTRICT RET</v>
      </c>
    </row>
    <row r="2650" spans="1:8" x14ac:dyDescent="0.25">
      <c r="E2650" t="str">
        <f>""</f>
        <v/>
      </c>
      <c r="F2650" t="str">
        <f>""</f>
        <v/>
      </c>
      <c r="H2650" t="str">
        <f t="shared" si="48"/>
        <v>TEXAS COUNTY &amp; DISTRICT RET</v>
      </c>
    </row>
    <row r="2651" spans="1:8" x14ac:dyDescent="0.25">
      <c r="E2651" t="str">
        <f>""</f>
        <v/>
      </c>
      <c r="F2651" t="str">
        <f>""</f>
        <v/>
      </c>
      <c r="H2651" t="str">
        <f t="shared" si="48"/>
        <v>TEXAS COUNTY &amp; DISTRICT RET</v>
      </c>
    </row>
    <row r="2652" spans="1:8" x14ac:dyDescent="0.25">
      <c r="E2652" t="str">
        <f>""</f>
        <v/>
      </c>
      <c r="F2652" t="str">
        <f>""</f>
        <v/>
      </c>
      <c r="H2652" t="str">
        <f t="shared" si="48"/>
        <v>TEXAS COUNTY &amp; DISTRICT RET</v>
      </c>
    </row>
    <row r="2653" spans="1:8" x14ac:dyDescent="0.25">
      <c r="E2653" t="str">
        <f>""</f>
        <v/>
      </c>
      <c r="F2653" t="str">
        <f>""</f>
        <v/>
      </c>
      <c r="H2653" t="str">
        <f t="shared" si="48"/>
        <v>TEXAS COUNTY &amp; DISTRICT RET</v>
      </c>
    </row>
    <row r="2654" spans="1:8" x14ac:dyDescent="0.25">
      <c r="E2654" t="str">
        <f>""</f>
        <v/>
      </c>
      <c r="F2654" t="str">
        <f>""</f>
        <v/>
      </c>
      <c r="H2654" t="str">
        <f t="shared" si="48"/>
        <v>TEXAS COUNTY &amp; DISTRICT RET</v>
      </c>
    </row>
    <row r="2655" spans="1:8" x14ac:dyDescent="0.25">
      <c r="E2655" t="str">
        <f>""</f>
        <v/>
      </c>
      <c r="F2655" t="str">
        <f>""</f>
        <v/>
      </c>
      <c r="H2655" t="str">
        <f t="shared" si="48"/>
        <v>TEXAS COUNTY &amp; DISTRICT RET</v>
      </c>
    </row>
    <row r="2656" spans="1:8" x14ac:dyDescent="0.25">
      <c r="E2656" t="str">
        <f>""</f>
        <v/>
      </c>
      <c r="F2656" t="str">
        <f>""</f>
        <v/>
      </c>
      <c r="H2656" t="str">
        <f t="shared" si="48"/>
        <v>TEXAS COUNTY &amp; DISTRICT RET</v>
      </c>
    </row>
    <row r="2657" spans="5:8" x14ac:dyDescent="0.25">
      <c r="E2657" t="str">
        <f>""</f>
        <v/>
      </c>
      <c r="F2657" t="str">
        <f>""</f>
        <v/>
      </c>
      <c r="H2657" t="str">
        <f t="shared" si="48"/>
        <v>TEXAS COUNTY &amp; DISTRICT RET</v>
      </c>
    </row>
    <row r="2658" spans="5:8" x14ac:dyDescent="0.25">
      <c r="E2658" t="str">
        <f>""</f>
        <v/>
      </c>
      <c r="F2658" t="str">
        <f>""</f>
        <v/>
      </c>
      <c r="H2658" t="str">
        <f t="shared" si="48"/>
        <v>TEXAS COUNTY &amp; DISTRICT RET</v>
      </c>
    </row>
    <row r="2659" spans="5:8" x14ac:dyDescent="0.25">
      <c r="E2659" t="str">
        <f>""</f>
        <v/>
      </c>
      <c r="F2659" t="str">
        <f>""</f>
        <v/>
      </c>
      <c r="H2659" t="str">
        <f t="shared" si="48"/>
        <v>TEXAS COUNTY &amp; DISTRICT RET</v>
      </c>
    </row>
    <row r="2660" spans="5:8" x14ac:dyDescent="0.25">
      <c r="E2660" t="str">
        <f>""</f>
        <v/>
      </c>
      <c r="F2660" t="str">
        <f>""</f>
        <v/>
      </c>
      <c r="H2660" t="str">
        <f t="shared" si="48"/>
        <v>TEXAS COUNTY &amp; DISTRICT RET</v>
      </c>
    </row>
    <row r="2661" spans="5:8" x14ac:dyDescent="0.25">
      <c r="E2661" t="str">
        <f>""</f>
        <v/>
      </c>
      <c r="F2661" t="str">
        <f>""</f>
        <v/>
      </c>
      <c r="H2661" t="str">
        <f t="shared" si="48"/>
        <v>TEXAS COUNTY &amp; DISTRICT RET</v>
      </c>
    </row>
    <row r="2662" spans="5:8" x14ac:dyDescent="0.25">
      <c r="E2662" t="str">
        <f>""</f>
        <v/>
      </c>
      <c r="F2662" t="str">
        <f>""</f>
        <v/>
      </c>
      <c r="H2662" t="str">
        <f t="shared" si="48"/>
        <v>TEXAS COUNTY &amp; DISTRICT RET</v>
      </c>
    </row>
    <row r="2663" spans="5:8" x14ac:dyDescent="0.25">
      <c r="E2663" t="str">
        <f>""</f>
        <v/>
      </c>
      <c r="F2663" t="str">
        <f>""</f>
        <v/>
      </c>
      <c r="H2663" t="str">
        <f t="shared" si="48"/>
        <v>TEXAS COUNTY &amp; DISTRICT RET</v>
      </c>
    </row>
    <row r="2664" spans="5:8" x14ac:dyDescent="0.25">
      <c r="E2664" t="str">
        <f>""</f>
        <v/>
      </c>
      <c r="F2664" t="str">
        <f>""</f>
        <v/>
      </c>
      <c r="H2664" t="str">
        <f t="shared" si="48"/>
        <v>TEXAS COUNTY &amp; DISTRICT RET</v>
      </c>
    </row>
    <row r="2665" spans="5:8" x14ac:dyDescent="0.25">
      <c r="E2665" t="str">
        <f>""</f>
        <v/>
      </c>
      <c r="F2665" t="str">
        <f>""</f>
        <v/>
      </c>
      <c r="H2665" t="str">
        <f t="shared" si="48"/>
        <v>TEXAS COUNTY &amp; DISTRICT RET</v>
      </c>
    </row>
    <row r="2666" spans="5:8" x14ac:dyDescent="0.25">
      <c r="E2666" t="str">
        <f>""</f>
        <v/>
      </c>
      <c r="F2666" t="str">
        <f>""</f>
        <v/>
      </c>
      <c r="H2666" t="str">
        <f t="shared" si="48"/>
        <v>TEXAS COUNTY &amp; DISTRICT RET</v>
      </c>
    </row>
    <row r="2667" spans="5:8" x14ac:dyDescent="0.25">
      <c r="E2667" t="str">
        <f>""</f>
        <v/>
      </c>
      <c r="F2667" t="str">
        <f>""</f>
        <v/>
      </c>
      <c r="H2667" t="str">
        <f t="shared" si="48"/>
        <v>TEXAS COUNTY &amp; DISTRICT RET</v>
      </c>
    </row>
    <row r="2668" spans="5:8" x14ac:dyDescent="0.25">
      <c r="E2668" t="str">
        <f>""</f>
        <v/>
      </c>
      <c r="F2668" t="str">
        <f>""</f>
        <v/>
      </c>
      <c r="H2668" t="str">
        <f t="shared" si="48"/>
        <v>TEXAS COUNTY &amp; DISTRICT RET</v>
      </c>
    </row>
    <row r="2669" spans="5:8" x14ac:dyDescent="0.25">
      <c r="E2669" t="str">
        <f>""</f>
        <v/>
      </c>
      <c r="F2669" t="str">
        <f>""</f>
        <v/>
      </c>
      <c r="H2669" t="str">
        <f t="shared" si="48"/>
        <v>TEXAS COUNTY &amp; DISTRICT RET</v>
      </c>
    </row>
    <row r="2670" spans="5:8" x14ac:dyDescent="0.25">
      <c r="E2670" t="str">
        <f>""</f>
        <v/>
      </c>
      <c r="F2670" t="str">
        <f>""</f>
        <v/>
      </c>
      <c r="H2670" t="str">
        <f t="shared" si="48"/>
        <v>TEXAS COUNTY &amp; DISTRICT RET</v>
      </c>
    </row>
    <row r="2671" spans="5:8" x14ac:dyDescent="0.25">
      <c r="E2671" t="str">
        <f>""</f>
        <v/>
      </c>
      <c r="F2671" t="str">
        <f>""</f>
        <v/>
      </c>
      <c r="H2671" t="str">
        <f t="shared" si="48"/>
        <v>TEXAS COUNTY &amp; DISTRICT RET</v>
      </c>
    </row>
    <row r="2672" spans="5:8" x14ac:dyDescent="0.25">
      <c r="E2672" t="str">
        <f>""</f>
        <v/>
      </c>
      <c r="F2672" t="str">
        <f>""</f>
        <v/>
      </c>
      <c r="H2672" t="str">
        <f t="shared" si="48"/>
        <v>TEXAS COUNTY &amp; DISTRICT RET</v>
      </c>
    </row>
    <row r="2673" spans="5:8" x14ac:dyDescent="0.25">
      <c r="E2673" t="str">
        <f>""</f>
        <v/>
      </c>
      <c r="F2673" t="str">
        <f>""</f>
        <v/>
      </c>
      <c r="H2673" t="str">
        <f t="shared" si="48"/>
        <v>TEXAS COUNTY &amp; DISTRICT RET</v>
      </c>
    </row>
    <row r="2674" spans="5:8" x14ac:dyDescent="0.25">
      <c r="E2674" t="str">
        <f>""</f>
        <v/>
      </c>
      <c r="F2674" t="str">
        <f>""</f>
        <v/>
      </c>
      <c r="H2674" t="str">
        <f t="shared" si="48"/>
        <v>TEXAS COUNTY &amp; DISTRICT RET</v>
      </c>
    </row>
    <row r="2675" spans="5:8" x14ac:dyDescent="0.25">
      <c r="E2675" t="str">
        <f>""</f>
        <v/>
      </c>
      <c r="F2675" t="str">
        <f>""</f>
        <v/>
      </c>
      <c r="H2675" t="str">
        <f t="shared" si="48"/>
        <v>TEXAS COUNTY &amp; DISTRICT RET</v>
      </c>
    </row>
    <row r="2676" spans="5:8" x14ac:dyDescent="0.25">
      <c r="E2676" t="str">
        <f>""</f>
        <v/>
      </c>
      <c r="F2676" t="str">
        <f>""</f>
        <v/>
      </c>
      <c r="H2676" t="str">
        <f t="shared" si="48"/>
        <v>TEXAS COUNTY &amp; DISTRICT RET</v>
      </c>
    </row>
    <row r="2677" spans="5:8" x14ac:dyDescent="0.25">
      <c r="E2677" t="str">
        <f>""</f>
        <v/>
      </c>
      <c r="F2677" t="str">
        <f>""</f>
        <v/>
      </c>
      <c r="H2677" t="str">
        <f t="shared" si="48"/>
        <v>TEXAS COUNTY &amp; DISTRICT RET</v>
      </c>
    </row>
    <row r="2678" spans="5:8" x14ac:dyDescent="0.25">
      <c r="E2678" t="str">
        <f>""</f>
        <v/>
      </c>
      <c r="F2678" t="str">
        <f>""</f>
        <v/>
      </c>
      <c r="H2678" t="str">
        <f t="shared" si="48"/>
        <v>TEXAS COUNTY &amp; DISTRICT RET</v>
      </c>
    </row>
    <row r="2679" spans="5:8" x14ac:dyDescent="0.25">
      <c r="E2679" t="str">
        <f>""</f>
        <v/>
      </c>
      <c r="F2679" t="str">
        <f>""</f>
        <v/>
      </c>
      <c r="H2679" t="str">
        <f t="shared" si="48"/>
        <v>TEXAS COUNTY &amp; DISTRICT RET</v>
      </c>
    </row>
    <row r="2680" spans="5:8" x14ac:dyDescent="0.25">
      <c r="E2680" t="str">
        <f>""</f>
        <v/>
      </c>
      <c r="F2680" t="str">
        <f>""</f>
        <v/>
      </c>
      <c r="H2680" t="str">
        <f t="shared" si="48"/>
        <v>TEXAS COUNTY &amp; DISTRICT RET</v>
      </c>
    </row>
    <row r="2681" spans="5:8" x14ac:dyDescent="0.25">
      <c r="E2681" t="str">
        <f>""</f>
        <v/>
      </c>
      <c r="F2681" t="str">
        <f>""</f>
        <v/>
      </c>
      <c r="H2681" t="str">
        <f t="shared" ref="H2681:H2699" si="49">"TEXAS COUNTY &amp; DISTRICT RET"</f>
        <v>TEXAS COUNTY &amp; DISTRICT RET</v>
      </c>
    </row>
    <row r="2682" spans="5:8" x14ac:dyDescent="0.25">
      <c r="E2682" t="str">
        <f>""</f>
        <v/>
      </c>
      <c r="F2682" t="str">
        <f>""</f>
        <v/>
      </c>
      <c r="H2682" t="str">
        <f t="shared" si="49"/>
        <v>TEXAS COUNTY &amp; DISTRICT RET</v>
      </c>
    </row>
    <row r="2683" spans="5:8" x14ac:dyDescent="0.25">
      <c r="E2683" t="str">
        <f>""</f>
        <v/>
      </c>
      <c r="F2683" t="str">
        <f>""</f>
        <v/>
      </c>
      <c r="H2683" t="str">
        <f t="shared" si="49"/>
        <v>TEXAS COUNTY &amp; DISTRICT RET</v>
      </c>
    </row>
    <row r="2684" spans="5:8" x14ac:dyDescent="0.25">
      <c r="E2684" t="str">
        <f>""</f>
        <v/>
      </c>
      <c r="F2684" t="str">
        <f>""</f>
        <v/>
      </c>
      <c r="H2684" t="str">
        <f t="shared" si="49"/>
        <v>TEXAS COUNTY &amp; DISTRICT RET</v>
      </c>
    </row>
    <row r="2685" spans="5:8" x14ac:dyDescent="0.25">
      <c r="E2685" t="str">
        <f>""</f>
        <v/>
      </c>
      <c r="F2685" t="str">
        <f>""</f>
        <v/>
      </c>
      <c r="H2685" t="str">
        <f t="shared" si="49"/>
        <v>TEXAS COUNTY &amp; DISTRICT RET</v>
      </c>
    </row>
    <row r="2686" spans="5:8" x14ac:dyDescent="0.25">
      <c r="E2686" t="str">
        <f>""</f>
        <v/>
      </c>
      <c r="F2686" t="str">
        <f>""</f>
        <v/>
      </c>
      <c r="H2686" t="str">
        <f t="shared" si="49"/>
        <v>TEXAS COUNTY &amp; DISTRICT RET</v>
      </c>
    </row>
    <row r="2687" spans="5:8" x14ac:dyDescent="0.25">
      <c r="E2687" t="str">
        <f>""</f>
        <v/>
      </c>
      <c r="F2687" t="str">
        <f>""</f>
        <v/>
      </c>
      <c r="H2687" t="str">
        <f t="shared" si="49"/>
        <v>TEXAS COUNTY &amp; DISTRICT RET</v>
      </c>
    </row>
    <row r="2688" spans="5:8" x14ac:dyDescent="0.25">
      <c r="E2688" t="str">
        <f>""</f>
        <v/>
      </c>
      <c r="F2688" t="str">
        <f>""</f>
        <v/>
      </c>
      <c r="H2688" t="str">
        <f t="shared" si="49"/>
        <v>TEXAS COUNTY &amp; DISTRICT RET</v>
      </c>
    </row>
    <row r="2689" spans="5:8" x14ac:dyDescent="0.25">
      <c r="E2689" t="str">
        <f>""</f>
        <v/>
      </c>
      <c r="F2689" t="str">
        <f>""</f>
        <v/>
      </c>
      <c r="H2689" t="str">
        <f t="shared" si="49"/>
        <v>TEXAS COUNTY &amp; DISTRICT RET</v>
      </c>
    </row>
    <row r="2690" spans="5:8" x14ac:dyDescent="0.25">
      <c r="E2690" t="str">
        <f>""</f>
        <v/>
      </c>
      <c r="F2690" t="str">
        <f>""</f>
        <v/>
      </c>
      <c r="H2690" t="str">
        <f t="shared" si="49"/>
        <v>TEXAS COUNTY &amp; DISTRICT RET</v>
      </c>
    </row>
    <row r="2691" spans="5:8" x14ac:dyDescent="0.25">
      <c r="E2691" t="str">
        <f>""</f>
        <v/>
      </c>
      <c r="F2691" t="str">
        <f>""</f>
        <v/>
      </c>
      <c r="H2691" t="str">
        <f t="shared" si="49"/>
        <v>TEXAS COUNTY &amp; DISTRICT RET</v>
      </c>
    </row>
    <row r="2692" spans="5:8" x14ac:dyDescent="0.25">
      <c r="E2692" t="str">
        <f>""</f>
        <v/>
      </c>
      <c r="F2692" t="str">
        <f>""</f>
        <v/>
      </c>
      <c r="H2692" t="str">
        <f t="shared" si="49"/>
        <v>TEXAS COUNTY &amp; DISTRICT RET</v>
      </c>
    </row>
    <row r="2693" spans="5:8" x14ac:dyDescent="0.25">
      <c r="E2693" t="str">
        <f>""</f>
        <v/>
      </c>
      <c r="F2693" t="str">
        <f>""</f>
        <v/>
      </c>
      <c r="H2693" t="str">
        <f t="shared" si="49"/>
        <v>TEXAS COUNTY &amp; DISTRICT RET</v>
      </c>
    </row>
    <row r="2694" spans="5:8" x14ac:dyDescent="0.25">
      <c r="E2694" t="str">
        <f>""</f>
        <v/>
      </c>
      <c r="F2694" t="str">
        <f>""</f>
        <v/>
      </c>
      <c r="H2694" t="str">
        <f t="shared" si="49"/>
        <v>TEXAS COUNTY &amp; DISTRICT RET</v>
      </c>
    </row>
    <row r="2695" spans="5:8" x14ac:dyDescent="0.25">
      <c r="E2695" t="str">
        <f>""</f>
        <v/>
      </c>
      <c r="F2695" t="str">
        <f>""</f>
        <v/>
      </c>
      <c r="H2695" t="str">
        <f t="shared" si="49"/>
        <v>TEXAS COUNTY &amp; DISTRICT RET</v>
      </c>
    </row>
    <row r="2696" spans="5:8" x14ac:dyDescent="0.25">
      <c r="E2696" t="str">
        <f>""</f>
        <v/>
      </c>
      <c r="F2696" t="str">
        <f>""</f>
        <v/>
      </c>
      <c r="H2696" t="str">
        <f t="shared" si="49"/>
        <v>TEXAS COUNTY &amp; DISTRICT RET</v>
      </c>
    </row>
    <row r="2697" spans="5:8" x14ac:dyDescent="0.25">
      <c r="E2697" t="str">
        <f>""</f>
        <v/>
      </c>
      <c r="F2697" t="str">
        <f>""</f>
        <v/>
      </c>
      <c r="H2697" t="str">
        <f t="shared" si="49"/>
        <v>TEXAS COUNTY &amp; DISTRICT RET</v>
      </c>
    </row>
    <row r="2698" spans="5:8" x14ac:dyDescent="0.25">
      <c r="E2698" t="str">
        <f>""</f>
        <v/>
      </c>
      <c r="F2698" t="str">
        <f>""</f>
        <v/>
      </c>
      <c r="H2698" t="str">
        <f t="shared" si="49"/>
        <v>TEXAS COUNTY &amp; DISTRICT RET</v>
      </c>
    </row>
    <row r="2699" spans="5:8" x14ac:dyDescent="0.25">
      <c r="E2699" t="str">
        <f>""</f>
        <v/>
      </c>
      <c r="F2699" t="str">
        <f>""</f>
        <v/>
      </c>
      <c r="H2699" t="str">
        <f t="shared" si="49"/>
        <v>TEXAS COUNTY &amp; DISTRICT RET</v>
      </c>
    </row>
    <row r="2700" spans="5:8" x14ac:dyDescent="0.25">
      <c r="E2700" t="str">
        <f>"RET201909031426"</f>
        <v>RET201909031426</v>
      </c>
      <c r="F2700" t="str">
        <f>"TEXAS COUNTY  DISTRICT RET"</f>
        <v>TEXAS COUNTY  DISTRICT RET</v>
      </c>
      <c r="G2700" s="2">
        <v>6241.27</v>
      </c>
      <c r="H2700" t="str">
        <f>"TEXAS COUNTY  DISTRICT RET"</f>
        <v>TEXAS COUNTY  DISTRICT RET</v>
      </c>
    </row>
    <row r="2701" spans="5:8" x14ac:dyDescent="0.25">
      <c r="E2701" t="str">
        <f>""</f>
        <v/>
      </c>
      <c r="F2701" t="str">
        <f>""</f>
        <v/>
      </c>
      <c r="H2701" t="str">
        <f>"TEXAS COUNTY  DISTRICT RET"</f>
        <v>TEXAS COUNTY  DISTRICT RET</v>
      </c>
    </row>
    <row r="2702" spans="5:8" x14ac:dyDescent="0.25">
      <c r="E2702" t="str">
        <f>"RET201909031427"</f>
        <v>RET201909031427</v>
      </c>
      <c r="F2702" t="str">
        <f>"TEXAS COUNTY &amp; DISTRICT RET"</f>
        <v>TEXAS COUNTY &amp; DISTRICT RET</v>
      </c>
      <c r="G2702" s="2">
        <v>7189.85</v>
      </c>
      <c r="H2702" t="str">
        <f t="shared" ref="H2702:H2733" si="50">"TEXAS COUNTY &amp; DISTRICT RET"</f>
        <v>TEXAS COUNTY &amp; DISTRICT RET</v>
      </c>
    </row>
    <row r="2703" spans="5:8" x14ac:dyDescent="0.25">
      <c r="E2703" t="str">
        <f>""</f>
        <v/>
      </c>
      <c r="F2703" t="str">
        <f>""</f>
        <v/>
      </c>
      <c r="H2703" t="str">
        <f t="shared" si="50"/>
        <v>TEXAS COUNTY &amp; DISTRICT RET</v>
      </c>
    </row>
    <row r="2704" spans="5:8" x14ac:dyDescent="0.25">
      <c r="E2704" t="str">
        <f>"RET201909181931"</f>
        <v>RET201909181931</v>
      </c>
      <c r="F2704" t="str">
        <f>"TEXAS COUNTY &amp; DISTRICT RET"</f>
        <v>TEXAS COUNTY &amp; DISTRICT RET</v>
      </c>
      <c r="G2704" s="2">
        <v>155781.04999999999</v>
      </c>
      <c r="H2704" t="str">
        <f t="shared" si="50"/>
        <v>TEXAS COUNTY &amp; DISTRICT RET</v>
      </c>
    </row>
    <row r="2705" spans="5:8" x14ac:dyDescent="0.25">
      <c r="E2705" t="str">
        <f>""</f>
        <v/>
      </c>
      <c r="F2705" t="str">
        <f>""</f>
        <v/>
      </c>
      <c r="H2705" t="str">
        <f t="shared" si="50"/>
        <v>TEXAS COUNTY &amp; DISTRICT RET</v>
      </c>
    </row>
    <row r="2706" spans="5:8" x14ac:dyDescent="0.25">
      <c r="E2706" t="str">
        <f>""</f>
        <v/>
      </c>
      <c r="F2706" t="str">
        <f>""</f>
        <v/>
      </c>
      <c r="H2706" t="str">
        <f t="shared" si="50"/>
        <v>TEXAS COUNTY &amp; DISTRICT RET</v>
      </c>
    </row>
    <row r="2707" spans="5:8" x14ac:dyDescent="0.25">
      <c r="E2707" t="str">
        <f>""</f>
        <v/>
      </c>
      <c r="F2707" t="str">
        <f>""</f>
        <v/>
      </c>
      <c r="H2707" t="str">
        <f t="shared" si="50"/>
        <v>TEXAS COUNTY &amp; DISTRICT RET</v>
      </c>
    </row>
    <row r="2708" spans="5:8" x14ac:dyDescent="0.25">
      <c r="E2708" t="str">
        <f>""</f>
        <v/>
      </c>
      <c r="F2708" t="str">
        <f>""</f>
        <v/>
      </c>
      <c r="H2708" t="str">
        <f t="shared" si="50"/>
        <v>TEXAS COUNTY &amp; DISTRICT RET</v>
      </c>
    </row>
    <row r="2709" spans="5:8" x14ac:dyDescent="0.25">
      <c r="E2709" t="str">
        <f>""</f>
        <v/>
      </c>
      <c r="F2709" t="str">
        <f>""</f>
        <v/>
      </c>
      <c r="H2709" t="str">
        <f t="shared" si="50"/>
        <v>TEXAS COUNTY &amp; DISTRICT RET</v>
      </c>
    </row>
    <row r="2710" spans="5:8" x14ac:dyDescent="0.25">
      <c r="E2710" t="str">
        <f>""</f>
        <v/>
      </c>
      <c r="F2710" t="str">
        <f>""</f>
        <v/>
      </c>
      <c r="H2710" t="str">
        <f t="shared" si="50"/>
        <v>TEXAS COUNTY &amp; DISTRICT RET</v>
      </c>
    </row>
    <row r="2711" spans="5:8" x14ac:dyDescent="0.25">
      <c r="E2711" t="str">
        <f>""</f>
        <v/>
      </c>
      <c r="F2711" t="str">
        <f>""</f>
        <v/>
      </c>
      <c r="H2711" t="str">
        <f t="shared" si="50"/>
        <v>TEXAS COUNTY &amp; DISTRICT RET</v>
      </c>
    </row>
    <row r="2712" spans="5:8" x14ac:dyDescent="0.25">
      <c r="E2712" t="str">
        <f>""</f>
        <v/>
      </c>
      <c r="F2712" t="str">
        <f>""</f>
        <v/>
      </c>
      <c r="H2712" t="str">
        <f t="shared" si="50"/>
        <v>TEXAS COUNTY &amp; DISTRICT RET</v>
      </c>
    </row>
    <row r="2713" spans="5:8" x14ac:dyDescent="0.25">
      <c r="E2713" t="str">
        <f>""</f>
        <v/>
      </c>
      <c r="F2713" t="str">
        <f>""</f>
        <v/>
      </c>
      <c r="H2713" t="str">
        <f t="shared" si="50"/>
        <v>TEXAS COUNTY &amp; DISTRICT RET</v>
      </c>
    </row>
    <row r="2714" spans="5:8" x14ac:dyDescent="0.25">
      <c r="E2714" t="str">
        <f>""</f>
        <v/>
      </c>
      <c r="F2714" t="str">
        <f>""</f>
        <v/>
      </c>
      <c r="H2714" t="str">
        <f t="shared" si="50"/>
        <v>TEXAS COUNTY &amp; DISTRICT RET</v>
      </c>
    </row>
    <row r="2715" spans="5:8" x14ac:dyDescent="0.25">
      <c r="E2715" t="str">
        <f>""</f>
        <v/>
      </c>
      <c r="F2715" t="str">
        <f>""</f>
        <v/>
      </c>
      <c r="H2715" t="str">
        <f t="shared" si="50"/>
        <v>TEXAS COUNTY &amp; DISTRICT RET</v>
      </c>
    </row>
    <row r="2716" spans="5:8" x14ac:dyDescent="0.25">
      <c r="E2716" t="str">
        <f>""</f>
        <v/>
      </c>
      <c r="F2716" t="str">
        <f>""</f>
        <v/>
      </c>
      <c r="H2716" t="str">
        <f t="shared" si="50"/>
        <v>TEXAS COUNTY &amp; DISTRICT RET</v>
      </c>
    </row>
    <row r="2717" spans="5:8" x14ac:dyDescent="0.25">
      <c r="E2717" t="str">
        <f>""</f>
        <v/>
      </c>
      <c r="F2717" t="str">
        <f>""</f>
        <v/>
      </c>
      <c r="H2717" t="str">
        <f t="shared" si="50"/>
        <v>TEXAS COUNTY &amp; DISTRICT RET</v>
      </c>
    </row>
    <row r="2718" spans="5:8" x14ac:dyDescent="0.25">
      <c r="E2718" t="str">
        <f>""</f>
        <v/>
      </c>
      <c r="F2718" t="str">
        <f>""</f>
        <v/>
      </c>
      <c r="H2718" t="str">
        <f t="shared" si="50"/>
        <v>TEXAS COUNTY &amp; DISTRICT RET</v>
      </c>
    </row>
    <row r="2719" spans="5:8" x14ac:dyDescent="0.25">
      <c r="E2719" t="str">
        <f>""</f>
        <v/>
      </c>
      <c r="F2719" t="str">
        <f>""</f>
        <v/>
      </c>
      <c r="H2719" t="str">
        <f t="shared" si="50"/>
        <v>TEXAS COUNTY &amp; DISTRICT RET</v>
      </c>
    </row>
    <row r="2720" spans="5:8" x14ac:dyDescent="0.25">
      <c r="E2720" t="str">
        <f>""</f>
        <v/>
      </c>
      <c r="F2720" t="str">
        <f>""</f>
        <v/>
      </c>
      <c r="H2720" t="str">
        <f t="shared" si="50"/>
        <v>TEXAS COUNTY &amp; DISTRICT RET</v>
      </c>
    </row>
    <row r="2721" spans="5:8" x14ac:dyDescent="0.25">
      <c r="E2721" t="str">
        <f>""</f>
        <v/>
      </c>
      <c r="F2721" t="str">
        <f>""</f>
        <v/>
      </c>
      <c r="H2721" t="str">
        <f t="shared" si="50"/>
        <v>TEXAS COUNTY &amp; DISTRICT RET</v>
      </c>
    </row>
    <row r="2722" spans="5:8" x14ac:dyDescent="0.25">
      <c r="E2722" t="str">
        <f>""</f>
        <v/>
      </c>
      <c r="F2722" t="str">
        <f>""</f>
        <v/>
      </c>
      <c r="H2722" t="str">
        <f t="shared" si="50"/>
        <v>TEXAS COUNTY &amp; DISTRICT RET</v>
      </c>
    </row>
    <row r="2723" spans="5:8" x14ac:dyDescent="0.25">
      <c r="E2723" t="str">
        <f>""</f>
        <v/>
      </c>
      <c r="F2723" t="str">
        <f>""</f>
        <v/>
      </c>
      <c r="H2723" t="str">
        <f t="shared" si="50"/>
        <v>TEXAS COUNTY &amp; DISTRICT RET</v>
      </c>
    </row>
    <row r="2724" spans="5:8" x14ac:dyDescent="0.25">
      <c r="E2724" t="str">
        <f>""</f>
        <v/>
      </c>
      <c r="F2724" t="str">
        <f>""</f>
        <v/>
      </c>
      <c r="H2724" t="str">
        <f t="shared" si="50"/>
        <v>TEXAS COUNTY &amp; DISTRICT RET</v>
      </c>
    </row>
    <row r="2725" spans="5:8" x14ac:dyDescent="0.25">
      <c r="E2725" t="str">
        <f>""</f>
        <v/>
      </c>
      <c r="F2725" t="str">
        <f>""</f>
        <v/>
      </c>
      <c r="H2725" t="str">
        <f t="shared" si="50"/>
        <v>TEXAS COUNTY &amp; DISTRICT RET</v>
      </c>
    </row>
    <row r="2726" spans="5:8" x14ac:dyDescent="0.25">
      <c r="E2726" t="str">
        <f>""</f>
        <v/>
      </c>
      <c r="F2726" t="str">
        <f>""</f>
        <v/>
      </c>
      <c r="H2726" t="str">
        <f t="shared" si="50"/>
        <v>TEXAS COUNTY &amp; DISTRICT RET</v>
      </c>
    </row>
    <row r="2727" spans="5:8" x14ac:dyDescent="0.25">
      <c r="E2727" t="str">
        <f>""</f>
        <v/>
      </c>
      <c r="F2727" t="str">
        <f>""</f>
        <v/>
      </c>
      <c r="H2727" t="str">
        <f t="shared" si="50"/>
        <v>TEXAS COUNTY &amp; DISTRICT RET</v>
      </c>
    </row>
    <row r="2728" spans="5:8" x14ac:dyDescent="0.25">
      <c r="E2728" t="str">
        <f>""</f>
        <v/>
      </c>
      <c r="F2728" t="str">
        <f>""</f>
        <v/>
      </c>
      <c r="H2728" t="str">
        <f t="shared" si="50"/>
        <v>TEXAS COUNTY &amp; DISTRICT RET</v>
      </c>
    </row>
    <row r="2729" spans="5:8" x14ac:dyDescent="0.25">
      <c r="E2729" t="str">
        <f>""</f>
        <v/>
      </c>
      <c r="F2729" t="str">
        <f>""</f>
        <v/>
      </c>
      <c r="H2729" t="str">
        <f t="shared" si="50"/>
        <v>TEXAS COUNTY &amp; DISTRICT RET</v>
      </c>
    </row>
    <row r="2730" spans="5:8" x14ac:dyDescent="0.25">
      <c r="E2730" t="str">
        <f>""</f>
        <v/>
      </c>
      <c r="F2730" t="str">
        <f>""</f>
        <v/>
      </c>
      <c r="H2730" t="str">
        <f t="shared" si="50"/>
        <v>TEXAS COUNTY &amp; DISTRICT RET</v>
      </c>
    </row>
    <row r="2731" spans="5:8" x14ac:dyDescent="0.25">
      <c r="E2731" t="str">
        <f>""</f>
        <v/>
      </c>
      <c r="F2731" t="str">
        <f>""</f>
        <v/>
      </c>
      <c r="H2731" t="str">
        <f t="shared" si="50"/>
        <v>TEXAS COUNTY &amp; DISTRICT RET</v>
      </c>
    </row>
    <row r="2732" spans="5:8" x14ac:dyDescent="0.25">
      <c r="E2732" t="str">
        <f>""</f>
        <v/>
      </c>
      <c r="F2732" t="str">
        <f>""</f>
        <v/>
      </c>
      <c r="H2732" t="str">
        <f t="shared" si="50"/>
        <v>TEXAS COUNTY &amp; DISTRICT RET</v>
      </c>
    </row>
    <row r="2733" spans="5:8" x14ac:dyDescent="0.25">
      <c r="E2733" t="str">
        <f>""</f>
        <v/>
      </c>
      <c r="F2733" t="str">
        <f>""</f>
        <v/>
      </c>
      <c r="H2733" t="str">
        <f t="shared" si="50"/>
        <v>TEXAS COUNTY &amp; DISTRICT RET</v>
      </c>
    </row>
    <row r="2734" spans="5:8" x14ac:dyDescent="0.25">
      <c r="E2734" t="str">
        <f>""</f>
        <v/>
      </c>
      <c r="F2734" t="str">
        <f>""</f>
        <v/>
      </c>
      <c r="H2734" t="str">
        <f t="shared" ref="H2734:H2754" si="51">"TEXAS COUNTY &amp; DISTRICT RET"</f>
        <v>TEXAS COUNTY &amp; DISTRICT RET</v>
      </c>
    </row>
    <row r="2735" spans="5:8" x14ac:dyDescent="0.25">
      <c r="E2735" t="str">
        <f>""</f>
        <v/>
      </c>
      <c r="F2735" t="str">
        <f>""</f>
        <v/>
      </c>
      <c r="H2735" t="str">
        <f t="shared" si="51"/>
        <v>TEXAS COUNTY &amp; DISTRICT RET</v>
      </c>
    </row>
    <row r="2736" spans="5:8" x14ac:dyDescent="0.25">
      <c r="E2736" t="str">
        <f>""</f>
        <v/>
      </c>
      <c r="F2736" t="str">
        <f>""</f>
        <v/>
      </c>
      <c r="H2736" t="str">
        <f t="shared" si="51"/>
        <v>TEXAS COUNTY &amp; DISTRICT RET</v>
      </c>
    </row>
    <row r="2737" spans="5:8" x14ac:dyDescent="0.25">
      <c r="E2737" t="str">
        <f>""</f>
        <v/>
      </c>
      <c r="F2737" t="str">
        <f>""</f>
        <v/>
      </c>
      <c r="H2737" t="str">
        <f t="shared" si="51"/>
        <v>TEXAS COUNTY &amp; DISTRICT RET</v>
      </c>
    </row>
    <row r="2738" spans="5:8" x14ac:dyDescent="0.25">
      <c r="E2738" t="str">
        <f>""</f>
        <v/>
      </c>
      <c r="F2738" t="str">
        <f>""</f>
        <v/>
      </c>
      <c r="H2738" t="str">
        <f t="shared" si="51"/>
        <v>TEXAS COUNTY &amp; DISTRICT RET</v>
      </c>
    </row>
    <row r="2739" spans="5:8" x14ac:dyDescent="0.25">
      <c r="E2739" t="str">
        <f>""</f>
        <v/>
      </c>
      <c r="F2739" t="str">
        <f>""</f>
        <v/>
      </c>
      <c r="H2739" t="str">
        <f t="shared" si="51"/>
        <v>TEXAS COUNTY &amp; DISTRICT RET</v>
      </c>
    </row>
    <row r="2740" spans="5:8" x14ac:dyDescent="0.25">
      <c r="E2740" t="str">
        <f>""</f>
        <v/>
      </c>
      <c r="F2740" t="str">
        <f>""</f>
        <v/>
      </c>
      <c r="H2740" t="str">
        <f t="shared" si="51"/>
        <v>TEXAS COUNTY &amp; DISTRICT RET</v>
      </c>
    </row>
    <row r="2741" spans="5:8" x14ac:dyDescent="0.25">
      <c r="E2741" t="str">
        <f>""</f>
        <v/>
      </c>
      <c r="F2741" t="str">
        <f>""</f>
        <v/>
      </c>
      <c r="H2741" t="str">
        <f t="shared" si="51"/>
        <v>TEXAS COUNTY &amp; DISTRICT RET</v>
      </c>
    </row>
    <row r="2742" spans="5:8" x14ac:dyDescent="0.25">
      <c r="E2742" t="str">
        <f>""</f>
        <v/>
      </c>
      <c r="F2742" t="str">
        <f>""</f>
        <v/>
      </c>
      <c r="H2742" t="str">
        <f t="shared" si="51"/>
        <v>TEXAS COUNTY &amp; DISTRICT RET</v>
      </c>
    </row>
    <row r="2743" spans="5:8" x14ac:dyDescent="0.25">
      <c r="E2743" t="str">
        <f>""</f>
        <v/>
      </c>
      <c r="F2743" t="str">
        <f>""</f>
        <v/>
      </c>
      <c r="H2743" t="str">
        <f t="shared" si="51"/>
        <v>TEXAS COUNTY &amp; DISTRICT RET</v>
      </c>
    </row>
    <row r="2744" spans="5:8" x14ac:dyDescent="0.25">
      <c r="E2744" t="str">
        <f>""</f>
        <v/>
      </c>
      <c r="F2744" t="str">
        <f>""</f>
        <v/>
      </c>
      <c r="H2744" t="str">
        <f t="shared" si="51"/>
        <v>TEXAS COUNTY &amp; DISTRICT RET</v>
      </c>
    </row>
    <row r="2745" spans="5:8" x14ac:dyDescent="0.25">
      <c r="E2745" t="str">
        <f>""</f>
        <v/>
      </c>
      <c r="F2745" t="str">
        <f>""</f>
        <v/>
      </c>
      <c r="H2745" t="str">
        <f t="shared" si="51"/>
        <v>TEXAS COUNTY &amp; DISTRICT RET</v>
      </c>
    </row>
    <row r="2746" spans="5:8" x14ac:dyDescent="0.25">
      <c r="E2746" t="str">
        <f>""</f>
        <v/>
      </c>
      <c r="F2746" t="str">
        <f>""</f>
        <v/>
      </c>
      <c r="H2746" t="str">
        <f t="shared" si="51"/>
        <v>TEXAS COUNTY &amp; DISTRICT RET</v>
      </c>
    </row>
    <row r="2747" spans="5:8" x14ac:dyDescent="0.25">
      <c r="E2747" t="str">
        <f>""</f>
        <v/>
      </c>
      <c r="F2747" t="str">
        <f>""</f>
        <v/>
      </c>
      <c r="H2747" t="str">
        <f t="shared" si="51"/>
        <v>TEXAS COUNTY &amp; DISTRICT RET</v>
      </c>
    </row>
    <row r="2748" spans="5:8" x14ac:dyDescent="0.25">
      <c r="E2748" t="str">
        <f>""</f>
        <v/>
      </c>
      <c r="F2748" t="str">
        <f>""</f>
        <v/>
      </c>
      <c r="H2748" t="str">
        <f t="shared" si="51"/>
        <v>TEXAS COUNTY &amp; DISTRICT RET</v>
      </c>
    </row>
    <row r="2749" spans="5:8" x14ac:dyDescent="0.25">
      <c r="E2749" t="str">
        <f>""</f>
        <v/>
      </c>
      <c r="F2749" t="str">
        <f>""</f>
        <v/>
      </c>
      <c r="H2749" t="str">
        <f t="shared" si="51"/>
        <v>TEXAS COUNTY &amp; DISTRICT RET</v>
      </c>
    </row>
    <row r="2750" spans="5:8" x14ac:dyDescent="0.25">
      <c r="E2750" t="str">
        <f>""</f>
        <v/>
      </c>
      <c r="F2750" t="str">
        <f>""</f>
        <v/>
      </c>
      <c r="H2750" t="str">
        <f t="shared" si="51"/>
        <v>TEXAS COUNTY &amp; DISTRICT RET</v>
      </c>
    </row>
    <row r="2751" spans="5:8" x14ac:dyDescent="0.25">
      <c r="E2751" t="str">
        <f>""</f>
        <v/>
      </c>
      <c r="F2751" t="str">
        <f>""</f>
        <v/>
      </c>
      <c r="H2751" t="str">
        <f t="shared" si="51"/>
        <v>TEXAS COUNTY &amp; DISTRICT RET</v>
      </c>
    </row>
    <row r="2752" spans="5:8" x14ac:dyDescent="0.25">
      <c r="E2752" t="str">
        <f>""</f>
        <v/>
      </c>
      <c r="F2752" t="str">
        <f>""</f>
        <v/>
      </c>
      <c r="H2752" t="str">
        <f t="shared" si="51"/>
        <v>TEXAS COUNTY &amp; DISTRICT RET</v>
      </c>
    </row>
    <row r="2753" spans="1:8" x14ac:dyDescent="0.25">
      <c r="E2753" t="str">
        <f>""</f>
        <v/>
      </c>
      <c r="F2753" t="str">
        <f>""</f>
        <v/>
      </c>
      <c r="H2753" t="str">
        <f t="shared" si="51"/>
        <v>TEXAS COUNTY &amp; DISTRICT RET</v>
      </c>
    </row>
    <row r="2754" spans="1:8" x14ac:dyDescent="0.25">
      <c r="E2754" t="str">
        <f>""</f>
        <v/>
      </c>
      <c r="F2754" t="str">
        <f>""</f>
        <v/>
      </c>
      <c r="H2754" t="str">
        <f t="shared" si="51"/>
        <v>TEXAS COUNTY &amp; DISTRICT RET</v>
      </c>
    </row>
    <row r="2755" spans="1:8" x14ac:dyDescent="0.25">
      <c r="E2755" t="str">
        <f>"RET201909181934"</f>
        <v>RET201909181934</v>
      </c>
      <c r="F2755" t="str">
        <f>"TEXAS COUNTY  DISTRICT RET"</f>
        <v>TEXAS COUNTY  DISTRICT RET</v>
      </c>
      <c r="G2755" s="2">
        <v>6392.65</v>
      </c>
      <c r="H2755" t="str">
        <f>"TEXAS COUNTY  DISTRICT RET"</f>
        <v>TEXAS COUNTY  DISTRICT RET</v>
      </c>
    </row>
    <row r="2756" spans="1:8" x14ac:dyDescent="0.25">
      <c r="E2756" t="str">
        <f>""</f>
        <v/>
      </c>
      <c r="F2756" t="str">
        <f>""</f>
        <v/>
      </c>
      <c r="H2756" t="str">
        <f>"TEXAS COUNTY  DISTRICT RET"</f>
        <v>TEXAS COUNTY  DISTRICT RET</v>
      </c>
    </row>
    <row r="2757" spans="1:8" x14ac:dyDescent="0.25">
      <c r="E2757" t="str">
        <f>"RET201909181935"</f>
        <v>RET201909181935</v>
      </c>
      <c r="F2757" t="str">
        <f>"TEXAS COUNTY &amp; DISTRICT RET"</f>
        <v>TEXAS COUNTY &amp; DISTRICT RET</v>
      </c>
      <c r="G2757" s="2">
        <v>7234.44</v>
      </c>
      <c r="H2757" t="str">
        <f>"TEXAS COUNTY &amp; DISTRICT RET"</f>
        <v>TEXAS COUNTY &amp; DISTRICT RET</v>
      </c>
    </row>
    <row r="2758" spans="1:8" x14ac:dyDescent="0.25">
      <c r="E2758" t="str">
        <f>""</f>
        <v/>
      </c>
      <c r="F2758" t="str">
        <f>""</f>
        <v/>
      </c>
      <c r="H2758" t="str">
        <f>"TEXAS COUNTY &amp; DISTRICT RET"</f>
        <v>TEXAS COUNTY &amp; DISTRICT RET</v>
      </c>
    </row>
    <row r="2759" spans="1:8" x14ac:dyDescent="0.25">
      <c r="A2759" t="s">
        <v>469</v>
      </c>
      <c r="B2759">
        <v>47633</v>
      </c>
      <c r="C2759" s="2">
        <v>1290</v>
      </c>
      <c r="D2759" s="1">
        <v>43734</v>
      </c>
      <c r="E2759" t="str">
        <f>"LEG201909031425"</f>
        <v>LEG201909031425</v>
      </c>
      <c r="F2759" t="str">
        <f>"TEXAS LEGAL PROTECTION PLAN"</f>
        <v>TEXAS LEGAL PROTECTION PLAN</v>
      </c>
      <c r="G2759" s="2">
        <v>645</v>
      </c>
      <c r="H2759" t="str">
        <f>"TEXAS LEGAL PROTECTION PLAN"</f>
        <v>TEXAS LEGAL PROTECTION PLAN</v>
      </c>
    </row>
    <row r="2760" spans="1:8" x14ac:dyDescent="0.25">
      <c r="E2760" t="str">
        <f>"LEG201909181931"</f>
        <v>LEG201909181931</v>
      </c>
      <c r="F2760" t="str">
        <f>"TEXAS LEGAL PROTECTION PLAN"</f>
        <v>TEXAS LEGAL PROTECTION PLAN</v>
      </c>
      <c r="G2760" s="2">
        <v>645</v>
      </c>
      <c r="H2760" t="str">
        <f>"TEXAS LEGAL PROTECTION PLAN"</f>
        <v>TEXAS LEGAL PROTECTION PLAN</v>
      </c>
    </row>
    <row r="2761" spans="1:8" x14ac:dyDescent="0.25">
      <c r="A2761" t="s">
        <v>470</v>
      </c>
      <c r="B2761">
        <v>234</v>
      </c>
      <c r="C2761" s="2">
        <v>96.75</v>
      </c>
      <c r="D2761" s="1">
        <v>43731</v>
      </c>
      <c r="E2761" t="str">
        <f>"201909231978"</f>
        <v>201909231978</v>
      </c>
      <c r="F2761" t="str">
        <f>"THOMAS GOODNIGHT REFUND"</f>
        <v>THOMAS GOODNIGHT REFUND</v>
      </c>
      <c r="G2761" s="2">
        <v>96.75</v>
      </c>
      <c r="H2761" t="str">
        <f>"THOMAS GOODNIGHT REFUND"</f>
        <v>THOMAS GOODNIGHT REFUND</v>
      </c>
    </row>
    <row r="2762" spans="1:8" x14ac:dyDescent="0.25">
      <c r="A2762" t="s">
        <v>471</v>
      </c>
      <c r="B2762">
        <v>47613</v>
      </c>
      <c r="C2762" s="2">
        <v>212.65</v>
      </c>
      <c r="D2762" s="1">
        <v>43714</v>
      </c>
      <c r="E2762" t="str">
        <f>"SL9201909031425"</f>
        <v>SL9201909031425</v>
      </c>
      <c r="F2762" t="str">
        <f>"STUDENT LOAN"</f>
        <v>STUDENT LOAN</v>
      </c>
      <c r="G2762" s="2">
        <v>212.65</v>
      </c>
      <c r="H2762" t="str">
        <f>"STUDENT LOAN"</f>
        <v>STUDENT LOAN</v>
      </c>
    </row>
    <row r="2763" spans="1:8" x14ac:dyDescent="0.25">
      <c r="A2763" t="s">
        <v>471</v>
      </c>
      <c r="B2763">
        <v>47632</v>
      </c>
      <c r="C2763" s="2">
        <v>212.65</v>
      </c>
      <c r="D2763" s="1">
        <v>43728</v>
      </c>
      <c r="E2763" t="str">
        <f>"SL9201909181931"</f>
        <v>SL9201909181931</v>
      </c>
      <c r="F2763" t="str">
        <f>"STUDENT LOAN"</f>
        <v>STUDENT LOAN</v>
      </c>
      <c r="G2763" s="2">
        <v>212.65</v>
      </c>
      <c r="H2763" t="str">
        <f>"STUDENT LOAN"</f>
        <v>STUDENT LOAN</v>
      </c>
    </row>
    <row r="2764" spans="1:8" x14ac:dyDescent="0.25">
      <c r="B2764" s="3" t="s">
        <v>472</v>
      </c>
      <c r="C2764" s="2">
        <f>SUM(C2:C2763)</f>
        <v>3308832.3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AP-CHK-RPT-20191210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Ingram</dc:creator>
  <cp:lastModifiedBy>Laurie Ingram</cp:lastModifiedBy>
  <dcterms:created xsi:type="dcterms:W3CDTF">2019-12-10T21:55:57Z</dcterms:created>
  <dcterms:modified xsi:type="dcterms:W3CDTF">2019-12-10T21:55:57Z</dcterms:modified>
</cp:coreProperties>
</file>